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codeName="ThisWorkbook" defaultThemeVersion="124226"/>
  <mc:AlternateContent xmlns:mc="http://schemas.openxmlformats.org/markup-compatibility/2006">
    <mc:Choice Requires="x15">
      <x15ac:absPath xmlns:x15ac="http://schemas.microsoft.com/office/spreadsheetml/2010/11/ac" url="/Users/kapt8/Box/USS_all_documents/Git_Hub_files/"/>
    </mc:Choice>
  </mc:AlternateContent>
  <xr:revisionPtr revIDLastSave="0" documentId="8_{7182E580-84E0-894B-8894-303AE669183C}" xr6:coauthVersionLast="47" xr6:coauthVersionMax="47" xr10:uidLastSave="{00000000-0000-0000-0000-000000000000}"/>
  <bookViews>
    <workbookView xWindow="3240" yWindow="1000" windowWidth="31780" windowHeight="18260" activeTab="2" xr2:uid="{00000000-000D-0000-FFFF-FFFF00000000}"/>
  </bookViews>
  <sheets>
    <sheet name="Summary" sheetId="8" r:id="rId1"/>
    <sheet name="Valuation analysis" sheetId="1" r:id="rId2"/>
    <sheet name="Cash flows as at 31032017" sheetId="4" r:id="rId3"/>
    <sheet name="CPI inflation and discount rate" sheetId="6" r:id="rId4"/>
    <sheet name="Gilt yields" sheetId="7"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L8" i="1" l="1"/>
  <c r="CL9" i="1"/>
  <c r="CL10" i="1"/>
  <c r="CL11" i="1"/>
  <c r="CL12" i="1"/>
  <c r="CL13" i="1"/>
  <c r="CL14" i="1"/>
  <c r="CL15" i="1"/>
  <c r="CL16" i="1"/>
  <c r="CL17" i="1"/>
  <c r="CL18" i="1"/>
  <c r="CL19" i="1"/>
  <c r="CL20" i="1"/>
  <c r="CL21" i="1"/>
  <c r="CL22" i="1"/>
  <c r="CL23" i="1"/>
  <c r="CK8" i="1"/>
  <c r="CK9" i="1"/>
  <c r="CK10" i="1"/>
  <c r="CK11" i="1"/>
  <c r="CK12" i="1"/>
  <c r="CK13" i="1"/>
  <c r="CK14" i="1"/>
  <c r="CK15" i="1"/>
  <c r="CK16" i="1"/>
  <c r="CK17" i="1"/>
  <c r="CK18" i="1"/>
  <c r="CK19" i="1"/>
  <c r="CK20" i="1"/>
  <c r="CK21" i="1"/>
  <c r="CK22" i="1"/>
  <c r="CK23" i="1"/>
  <c r="CJ24" i="1"/>
  <c r="CL24" i="1" l="1"/>
  <c r="AI25" i="1"/>
  <c r="A2" i="8"/>
  <c r="CI8" i="1"/>
  <c r="CI9" i="1"/>
  <c r="CI10" i="1"/>
  <c r="CI11" i="1"/>
  <c r="CI12" i="1"/>
  <c r="CI13" i="1"/>
  <c r="CI14" i="1"/>
  <c r="CI15" i="1"/>
  <c r="CI16" i="1"/>
  <c r="CI17" i="1"/>
  <c r="CI18" i="1"/>
  <c r="CI19" i="1"/>
  <c r="CI20" i="1"/>
  <c r="CI21" i="1"/>
  <c r="CI22" i="1"/>
  <c r="CI23" i="1"/>
  <c r="CF8" i="1"/>
  <c r="CF9" i="1"/>
  <c r="CF10" i="1"/>
  <c r="CF11" i="1"/>
  <c r="CF12" i="1"/>
  <c r="CF13" i="1"/>
  <c r="CF14" i="1"/>
  <c r="CF15" i="1"/>
  <c r="CF16" i="1"/>
  <c r="CF17" i="1"/>
  <c r="CF18" i="1"/>
  <c r="CF19" i="1"/>
  <c r="CF20" i="1"/>
  <c r="CF21" i="1"/>
  <c r="CF22" i="1"/>
  <c r="CF23" i="1"/>
  <c r="CC8" i="1"/>
  <c r="CC9" i="1"/>
  <c r="CC10" i="1"/>
  <c r="CC11" i="1"/>
  <c r="CC12" i="1"/>
  <c r="CC13" i="1"/>
  <c r="CC14" i="1"/>
  <c r="CC15" i="1"/>
  <c r="CC16" i="1"/>
  <c r="CC17" i="1"/>
  <c r="CC18" i="1"/>
  <c r="CC19" i="1"/>
  <c r="CC20" i="1"/>
  <c r="CC21" i="1"/>
  <c r="CC22" i="1"/>
  <c r="CC23" i="1"/>
  <c r="AI26" i="1" l="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BV46" i="1" l="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45" i="1"/>
  <c r="CR25" i="1" l="1"/>
  <c r="CR26" i="1" s="1"/>
  <c r="CR27" i="1" s="1"/>
  <c r="CR28" i="1" s="1"/>
  <c r="CR29" i="1" s="1"/>
  <c r="CR30" i="1" s="1"/>
  <c r="CR31" i="1" s="1"/>
  <c r="CR32" i="1" s="1"/>
  <c r="CR33" i="1" s="1"/>
  <c r="CR34" i="1" s="1"/>
  <c r="CR35" i="1" s="1"/>
  <c r="CR36" i="1" s="1"/>
  <c r="CR37" i="1" s="1"/>
  <c r="CR38" i="1" s="1"/>
  <c r="CR39" i="1" s="1"/>
  <c r="CR40" i="1" s="1"/>
  <c r="CR41" i="1" s="1"/>
  <c r="CR42" i="1" s="1"/>
  <c r="CR43" i="1" s="1"/>
  <c r="CR44" i="1" s="1"/>
  <c r="CR45" i="1" s="1"/>
  <c r="CR46" i="1" s="1"/>
  <c r="CR47" i="1" s="1"/>
  <c r="CR48" i="1" s="1"/>
  <c r="CR49" i="1" s="1"/>
  <c r="CR50" i="1" s="1"/>
  <c r="CR51" i="1" s="1"/>
  <c r="CR52" i="1" s="1"/>
  <c r="CR53" i="1" s="1"/>
  <c r="CR54" i="1" s="1"/>
  <c r="CR55" i="1" s="1"/>
  <c r="CR56" i="1" s="1"/>
  <c r="CR57" i="1" s="1"/>
  <c r="CR58" i="1" s="1"/>
  <c r="CR59" i="1" s="1"/>
  <c r="CR60" i="1" s="1"/>
  <c r="CR61" i="1" s="1"/>
  <c r="CR62" i="1" s="1"/>
  <c r="CR63" i="1" s="1"/>
  <c r="CR64" i="1" s="1"/>
  <c r="CR65" i="1" s="1"/>
  <c r="CR66" i="1" s="1"/>
  <c r="CR67" i="1" s="1"/>
  <c r="CR68" i="1" s="1"/>
  <c r="CR69" i="1" s="1"/>
  <c r="CR70" i="1" s="1"/>
  <c r="CR71" i="1" s="1"/>
  <c r="CR72" i="1" s="1"/>
  <c r="CR73" i="1" s="1"/>
  <c r="CR74" i="1" s="1"/>
  <c r="CR75" i="1" s="1"/>
  <c r="CN25" i="1"/>
  <c r="CN26" i="1" s="1"/>
  <c r="CN27" i="1" s="1"/>
  <c r="CN28" i="1" s="1"/>
  <c r="CN29" i="1" s="1"/>
  <c r="CN30" i="1" s="1"/>
  <c r="CN31" i="1" s="1"/>
  <c r="CN32" i="1" s="1"/>
  <c r="CN33" i="1" s="1"/>
  <c r="CN34" i="1" s="1"/>
  <c r="CN35" i="1" s="1"/>
  <c r="CN36" i="1" s="1"/>
  <c r="CN37" i="1" s="1"/>
  <c r="CN38" i="1" s="1"/>
  <c r="CN39" i="1" s="1"/>
  <c r="CN40" i="1" s="1"/>
  <c r="CN41" i="1" s="1"/>
  <c r="CN42" i="1" s="1"/>
  <c r="CN43" i="1" s="1"/>
  <c r="CN44" i="1" s="1"/>
  <c r="CN45" i="1" s="1"/>
  <c r="CN46" i="1" s="1"/>
  <c r="CN47" i="1" s="1"/>
  <c r="CN48" i="1" s="1"/>
  <c r="CN49" i="1" s="1"/>
  <c r="CN50" i="1" s="1"/>
  <c r="CN51" i="1" s="1"/>
  <c r="CN52" i="1" s="1"/>
  <c r="CN53" i="1" s="1"/>
  <c r="CN54" i="1" s="1"/>
  <c r="CN55" i="1" s="1"/>
  <c r="CN56" i="1" s="1"/>
  <c r="CN57" i="1" s="1"/>
  <c r="CN58" i="1" s="1"/>
  <c r="CN59" i="1" s="1"/>
  <c r="CN60" i="1" s="1"/>
  <c r="CN61" i="1" s="1"/>
  <c r="CN62" i="1" s="1"/>
  <c r="CN63" i="1" s="1"/>
  <c r="CN64" i="1" s="1"/>
  <c r="CN65" i="1" s="1"/>
  <c r="CN66" i="1" s="1"/>
  <c r="CN67" i="1" s="1"/>
  <c r="CN68" i="1" s="1"/>
  <c r="CN69" i="1" s="1"/>
  <c r="CN70" i="1" s="1"/>
  <c r="CN71" i="1" s="1"/>
  <c r="CN72" i="1" s="1"/>
  <c r="CN73" i="1" s="1"/>
  <c r="CN74" i="1" s="1"/>
  <c r="CN75" i="1" s="1"/>
  <c r="BW45" i="1" l="1"/>
  <c r="BW46" i="1" s="1"/>
  <c r="BW47" i="1" s="1"/>
  <c r="BW48" i="1" s="1"/>
  <c r="BW49" i="1" s="1"/>
  <c r="BW50" i="1" s="1"/>
  <c r="BW51" i="1" s="1"/>
  <c r="BW52" i="1" s="1"/>
  <c r="BW53" i="1" s="1"/>
  <c r="BW54" i="1" s="1"/>
  <c r="BW55" i="1" s="1"/>
  <c r="BW56" i="1" s="1"/>
  <c r="BW57" i="1" s="1"/>
  <c r="BW58" i="1" s="1"/>
  <c r="BW59" i="1" s="1"/>
  <c r="BW60" i="1" s="1"/>
  <c r="BW61" i="1" s="1"/>
  <c r="BW62" i="1" s="1"/>
  <c r="BW63" i="1" s="1"/>
  <c r="BW64" i="1" s="1"/>
  <c r="BW65" i="1" s="1"/>
  <c r="BW66" i="1" s="1"/>
  <c r="BW67" i="1" s="1"/>
  <c r="BW68" i="1" s="1"/>
  <c r="BW69" i="1" s="1"/>
  <c r="BW70" i="1" s="1"/>
  <c r="BW71" i="1" s="1"/>
  <c r="BW72" i="1" s="1"/>
  <c r="BW73" i="1" s="1"/>
  <c r="BW74" i="1" s="1"/>
  <c r="BW75" i="1" s="1"/>
  <c r="CE8" i="1"/>
  <c r="CE9" i="1"/>
  <c r="CE10" i="1"/>
  <c r="CE11" i="1"/>
  <c r="CE12" i="1"/>
  <c r="CE13" i="1"/>
  <c r="CE14" i="1"/>
  <c r="CE15" i="1"/>
  <c r="CE16" i="1"/>
  <c r="CE17" i="1"/>
  <c r="CE18" i="1"/>
  <c r="CE19" i="1"/>
  <c r="CE20" i="1"/>
  <c r="CE21" i="1"/>
  <c r="CE22" i="1"/>
  <c r="CE23" i="1"/>
  <c r="CD24" i="1" l="1"/>
  <c r="BO45" i="1"/>
  <c r="BO46" i="1" s="1"/>
  <c r="BO47" i="1" s="1"/>
  <c r="BO48" i="1" s="1"/>
  <c r="BO49" i="1" s="1"/>
  <c r="BO50" i="1" s="1"/>
  <c r="BO51" i="1" s="1"/>
  <c r="BO52" i="1" s="1"/>
  <c r="BO53" i="1" s="1"/>
  <c r="BO54" i="1" s="1"/>
  <c r="BO55" i="1" s="1"/>
  <c r="BO56" i="1" s="1"/>
  <c r="BO57" i="1" s="1"/>
  <c r="BO58" i="1" s="1"/>
  <c r="BO59" i="1" s="1"/>
  <c r="BO60" i="1" s="1"/>
  <c r="BO61" i="1" s="1"/>
  <c r="BO62" i="1" s="1"/>
  <c r="BO63" i="1" s="1"/>
  <c r="BO64" i="1" s="1"/>
  <c r="BO65" i="1" s="1"/>
  <c r="BO66" i="1" s="1"/>
  <c r="BO67" i="1" s="1"/>
  <c r="BO68" i="1" s="1"/>
  <c r="BO69" i="1" s="1"/>
  <c r="BO70" i="1" s="1"/>
  <c r="BO71" i="1" s="1"/>
  <c r="BO72" i="1" s="1"/>
  <c r="BO73" i="1" s="1"/>
  <c r="BO74" i="1" s="1"/>
  <c r="CE24" i="1" l="1"/>
  <c r="CF24" i="1"/>
  <c r="CO26" i="1"/>
  <c r="BG26" i="1" s="1"/>
  <c r="CO27" i="1"/>
  <c r="BG27" i="1" s="1"/>
  <c r="CO28" i="1"/>
  <c r="BG28" i="1" s="1"/>
  <c r="CO29" i="1"/>
  <c r="BG29" i="1" s="1"/>
  <c r="CO30" i="1"/>
  <c r="BG30" i="1" s="1"/>
  <c r="CO31" i="1"/>
  <c r="BG31" i="1" s="1"/>
  <c r="CO32" i="1"/>
  <c r="BG32" i="1" s="1"/>
  <c r="CO33" i="1"/>
  <c r="BG33" i="1" s="1"/>
  <c r="CO34" i="1"/>
  <c r="BG34" i="1" s="1"/>
  <c r="CO35" i="1"/>
  <c r="BG35" i="1" s="1"/>
  <c r="CO36" i="1"/>
  <c r="BG36" i="1" s="1"/>
  <c r="CO37" i="1"/>
  <c r="BG37" i="1" s="1"/>
  <c r="CO38" i="1"/>
  <c r="BG38" i="1" s="1"/>
  <c r="CO39" i="1"/>
  <c r="BG39" i="1" s="1"/>
  <c r="CO40" i="1"/>
  <c r="BG40" i="1" s="1"/>
  <c r="CO41" i="1"/>
  <c r="BG41" i="1" s="1"/>
  <c r="CO42" i="1"/>
  <c r="BG42" i="1" s="1"/>
  <c r="CO43" i="1"/>
  <c r="BG43" i="1" s="1"/>
  <c r="CO44" i="1"/>
  <c r="BG44" i="1" s="1"/>
  <c r="CO45" i="1"/>
  <c r="BG45" i="1" s="1"/>
  <c r="CO46" i="1"/>
  <c r="BG46" i="1" s="1"/>
  <c r="CO47" i="1"/>
  <c r="BG47" i="1" s="1"/>
  <c r="CO48" i="1"/>
  <c r="BG48" i="1" s="1"/>
  <c r="CO49" i="1"/>
  <c r="BG49" i="1" s="1"/>
  <c r="CO50" i="1"/>
  <c r="BG50" i="1" s="1"/>
  <c r="CO51" i="1"/>
  <c r="BG51" i="1" s="1"/>
  <c r="CO52" i="1"/>
  <c r="BG52" i="1" s="1"/>
  <c r="CO53" i="1"/>
  <c r="BG53" i="1" s="1"/>
  <c r="CO54" i="1"/>
  <c r="BG54" i="1" s="1"/>
  <c r="CO55" i="1"/>
  <c r="BG55" i="1" s="1"/>
  <c r="CO56" i="1"/>
  <c r="BG56" i="1" s="1"/>
  <c r="CO57" i="1"/>
  <c r="BG57" i="1" s="1"/>
  <c r="CO58" i="1"/>
  <c r="BG58" i="1" s="1"/>
  <c r="CO59" i="1"/>
  <c r="BG59" i="1" s="1"/>
  <c r="CO60" i="1"/>
  <c r="BG60" i="1" s="1"/>
  <c r="CO61" i="1"/>
  <c r="BG61" i="1" s="1"/>
  <c r="CO62" i="1"/>
  <c r="BG62" i="1" s="1"/>
  <c r="CO63" i="1"/>
  <c r="BG63" i="1" s="1"/>
  <c r="CO64" i="1"/>
  <c r="BG64" i="1" s="1"/>
  <c r="CO65" i="1"/>
  <c r="BG65" i="1" s="1"/>
  <c r="CO66" i="1"/>
  <c r="BG66" i="1" s="1"/>
  <c r="CO67" i="1"/>
  <c r="BG67" i="1" s="1"/>
  <c r="CO68" i="1"/>
  <c r="BG68" i="1" s="1"/>
  <c r="CO69" i="1"/>
  <c r="BG69" i="1" s="1"/>
  <c r="CO70" i="1"/>
  <c r="BG70" i="1" s="1"/>
  <c r="CO71" i="1"/>
  <c r="BG71" i="1" s="1"/>
  <c r="CO72" i="1"/>
  <c r="BG72" i="1" s="1"/>
  <c r="CO73" i="1"/>
  <c r="BG73" i="1" s="1"/>
  <c r="CO74" i="1"/>
  <c r="BG74" i="1" s="1"/>
  <c r="CO25" i="1"/>
  <c r="BG25" i="1" s="1"/>
  <c r="CO75" i="1" l="1"/>
  <c r="BG75" i="1" s="1"/>
  <c r="CA24" i="1"/>
  <c r="CC24" i="1" s="1"/>
  <c r="CO76" i="1" l="1"/>
  <c r="CO77" i="1" s="1"/>
  <c r="CG24" i="1"/>
  <c r="BX45" i="1" l="1"/>
  <c r="BG76" i="1"/>
  <c r="CI24" i="1"/>
  <c r="BP45" i="1"/>
  <c r="CO78" i="1"/>
  <c r="BG77" i="1"/>
  <c r="AY64" i="1"/>
  <c r="AY65" i="1"/>
  <c r="AY66" i="1"/>
  <c r="AY67" i="1"/>
  <c r="AY68" i="1"/>
  <c r="AY69" i="1"/>
  <c r="AY70" i="1"/>
  <c r="AY71" i="1"/>
  <c r="AY72" i="1"/>
  <c r="AY73" i="1"/>
  <c r="AY74" i="1"/>
  <c r="AY75" i="1"/>
  <c r="BH24" i="1"/>
  <c r="AZ24" i="1"/>
  <c r="CK24" i="1" s="1"/>
  <c r="AR24" i="1"/>
  <c r="AJ24" i="1"/>
  <c r="AB8" i="1"/>
  <c r="CH8" i="1" s="1"/>
  <c r="AB9" i="1"/>
  <c r="CH9" i="1" s="1"/>
  <c r="AB10" i="1"/>
  <c r="CH10" i="1" s="1"/>
  <c r="AB11" i="1"/>
  <c r="CH11" i="1" s="1"/>
  <c r="AB12" i="1"/>
  <c r="CH12" i="1" s="1"/>
  <c r="AB13" i="1"/>
  <c r="CH13" i="1" s="1"/>
  <c r="AB14" i="1"/>
  <c r="CH14" i="1" s="1"/>
  <c r="AB15" i="1"/>
  <c r="CH15" i="1" s="1"/>
  <c r="AB16" i="1"/>
  <c r="CH16" i="1" s="1"/>
  <c r="AB17" i="1"/>
  <c r="CH17" i="1" s="1"/>
  <c r="AB18" i="1"/>
  <c r="CH18" i="1" s="1"/>
  <c r="AB19" i="1"/>
  <c r="CH19" i="1" s="1"/>
  <c r="AB20" i="1"/>
  <c r="CH20" i="1" s="1"/>
  <c r="AB21" i="1"/>
  <c r="CH21" i="1" s="1"/>
  <c r="AB22" i="1"/>
  <c r="CH22" i="1" s="1"/>
  <c r="AB23" i="1"/>
  <c r="CH23" i="1" s="1"/>
  <c r="AB24" i="1"/>
  <c r="CH24" i="1" s="1"/>
  <c r="T24" i="1"/>
  <c r="CO79" i="1" l="1"/>
  <c r="BG78" i="1"/>
  <c r="CB24" i="1"/>
  <c r="AD24" i="1"/>
  <c r="CV99" i="1"/>
  <c r="CX99" i="1" s="1"/>
  <c r="CV100" i="1"/>
  <c r="CX100" i="1" s="1"/>
  <c r="CV101" i="1"/>
  <c r="CX101" i="1" s="1"/>
  <c r="CV102" i="1"/>
  <c r="CX102" i="1" s="1"/>
  <c r="CV103" i="1"/>
  <c r="CX103" i="1" s="1"/>
  <c r="CV104" i="1"/>
  <c r="CX104" i="1" s="1"/>
  <c r="CV105" i="1"/>
  <c r="CX105" i="1" s="1"/>
  <c r="CV106" i="1"/>
  <c r="CX106" i="1" s="1"/>
  <c r="CV107" i="1"/>
  <c r="CX107" i="1" s="1"/>
  <c r="CV108" i="1"/>
  <c r="CX108" i="1" s="1"/>
  <c r="CV109" i="1"/>
  <c r="CX109" i="1" s="1"/>
  <c r="CV110" i="1"/>
  <c r="CX110" i="1" s="1"/>
  <c r="CV111" i="1"/>
  <c r="CX111" i="1" s="1"/>
  <c r="CV112" i="1"/>
  <c r="CX112" i="1" s="1"/>
  <c r="CV113" i="1"/>
  <c r="CX113" i="1" s="1"/>
  <c r="CV114" i="1"/>
  <c r="CX114" i="1" s="1"/>
  <c r="CV115" i="1"/>
  <c r="CX115" i="1" s="1"/>
  <c r="CV116" i="1"/>
  <c r="CX116" i="1" s="1"/>
  <c r="CV117" i="1"/>
  <c r="CX117" i="1" s="1"/>
  <c r="CV118" i="1"/>
  <c r="CX118" i="1" s="1"/>
  <c r="CV119" i="1"/>
  <c r="CX119" i="1" s="1"/>
  <c r="CV120" i="1"/>
  <c r="CX120" i="1" s="1"/>
  <c r="CV121" i="1"/>
  <c r="CX121" i="1" s="1"/>
  <c r="CV122" i="1"/>
  <c r="CX122" i="1" s="1"/>
  <c r="CV123" i="1"/>
  <c r="CX123" i="1" s="1"/>
  <c r="CV124" i="1"/>
  <c r="CX124" i="1" s="1"/>
  <c r="CV125" i="1"/>
  <c r="CX125" i="1" s="1"/>
  <c r="CV126" i="1"/>
  <c r="CX126" i="1" s="1"/>
  <c r="CV127" i="1"/>
  <c r="CX127" i="1" s="1"/>
  <c r="CV128" i="1"/>
  <c r="CX128" i="1" s="1"/>
  <c r="CV129" i="1"/>
  <c r="CX129" i="1" s="1"/>
  <c r="CV130" i="1"/>
  <c r="CX130" i="1" s="1"/>
  <c r="CV131" i="1"/>
  <c r="CX131" i="1" s="1"/>
  <c r="CV132" i="1"/>
  <c r="CX132" i="1" s="1"/>
  <c r="CV133" i="1"/>
  <c r="CX133" i="1" s="1"/>
  <c r="CV134" i="1"/>
  <c r="CX134" i="1" s="1"/>
  <c r="CV135" i="1"/>
  <c r="CX135" i="1" s="1"/>
  <c r="CV136" i="1"/>
  <c r="CX136" i="1" s="1"/>
  <c r="CV137" i="1"/>
  <c r="CX137" i="1" s="1"/>
  <c r="CV138" i="1"/>
  <c r="CX138" i="1" s="1"/>
  <c r="CV139" i="1"/>
  <c r="CX139" i="1" s="1"/>
  <c r="CV140" i="1"/>
  <c r="CX140" i="1" s="1"/>
  <c r="CV141" i="1"/>
  <c r="CX141" i="1" s="1"/>
  <c r="CV142" i="1"/>
  <c r="CX142" i="1" s="1"/>
  <c r="CV143" i="1"/>
  <c r="CX143" i="1" s="1"/>
  <c r="CV144" i="1"/>
  <c r="CX144" i="1" s="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26" i="1"/>
  <c r="CV25" i="1"/>
  <c r="M25" i="1" s="1"/>
  <c r="BX46" i="1" l="1"/>
  <c r="BX47" i="1" s="1"/>
  <c r="BX48" i="1" s="1"/>
  <c r="BX49" i="1" s="1"/>
  <c r="BX50" i="1" s="1"/>
  <c r="BX51" i="1" s="1"/>
  <c r="BX52" i="1" s="1"/>
  <c r="BX53" i="1" s="1"/>
  <c r="BX54" i="1" s="1"/>
  <c r="BX55" i="1" s="1"/>
  <c r="BX56" i="1" s="1"/>
  <c r="BX57" i="1" s="1"/>
  <c r="BX58" i="1" s="1"/>
  <c r="BX59" i="1" s="1"/>
  <c r="BX60" i="1" s="1"/>
  <c r="BX61" i="1" s="1"/>
  <c r="BX62" i="1" s="1"/>
  <c r="BX63" i="1" s="1"/>
  <c r="BX64" i="1" s="1"/>
  <c r="BX65" i="1" s="1"/>
  <c r="BX66" i="1" s="1"/>
  <c r="BX67" i="1" s="1"/>
  <c r="BX68" i="1" s="1"/>
  <c r="BX69" i="1" s="1"/>
  <c r="BX70" i="1" s="1"/>
  <c r="BX71" i="1" s="1"/>
  <c r="BX72" i="1" s="1"/>
  <c r="BX73" i="1" s="1"/>
  <c r="BX74" i="1" s="1"/>
  <c r="BX75" i="1" s="1"/>
  <c r="BP46" i="1"/>
  <c r="BP47" i="1" s="1"/>
  <c r="BP48" i="1" s="1"/>
  <c r="BP49" i="1" s="1"/>
  <c r="BP50" i="1" s="1"/>
  <c r="BP51" i="1" s="1"/>
  <c r="BP52" i="1" s="1"/>
  <c r="BP53" i="1" s="1"/>
  <c r="BP54" i="1" s="1"/>
  <c r="BP55" i="1" s="1"/>
  <c r="BP56" i="1" s="1"/>
  <c r="BP57" i="1" s="1"/>
  <c r="BP58" i="1" s="1"/>
  <c r="BP59" i="1" s="1"/>
  <c r="BP60" i="1" s="1"/>
  <c r="BP61" i="1" s="1"/>
  <c r="BP62" i="1" s="1"/>
  <c r="BP63" i="1" s="1"/>
  <c r="BP64" i="1" s="1"/>
  <c r="BP65" i="1" s="1"/>
  <c r="BP66" i="1" s="1"/>
  <c r="BP67" i="1" s="1"/>
  <c r="BP68" i="1" s="1"/>
  <c r="BP69" i="1" s="1"/>
  <c r="BP70" i="1" s="1"/>
  <c r="BP71" i="1" s="1"/>
  <c r="BP72" i="1" s="1"/>
  <c r="BP73" i="1" s="1"/>
  <c r="BP74" i="1" s="1"/>
  <c r="CO80" i="1"/>
  <c r="BG79" i="1"/>
  <c r="U25" i="1"/>
  <c r="BI25" i="1"/>
  <c r="CO81" i="1" l="1"/>
  <c r="BG80"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25" i="1"/>
  <c r="CA25" i="1" l="1"/>
  <c r="CC25" i="1" s="1"/>
  <c r="CD25" i="1"/>
  <c r="CF25" i="1" s="1"/>
  <c r="CO82" i="1"/>
  <c r="BG81" i="1"/>
  <c r="S75" i="1"/>
  <c r="BP75" i="1" s="1"/>
  <c r="CD26" i="1" l="1"/>
  <c r="CF26" i="1" s="1"/>
  <c r="CA26" i="1"/>
  <c r="BO75" i="1"/>
  <c r="CO83" i="1"/>
  <c r="BG82" i="1"/>
  <c r="CA27" i="1" l="1"/>
  <c r="CC27" i="1" s="1"/>
  <c r="CC26" i="1"/>
  <c r="CD27" i="1"/>
  <c r="CF27" i="1" s="1"/>
  <c r="CO84" i="1"/>
  <c r="BG83" i="1"/>
  <c r="CA28" i="1" l="1"/>
  <c r="CC28" i="1" s="1"/>
  <c r="CD28" i="1"/>
  <c r="CF28" i="1" s="1"/>
  <c r="CO85" i="1"/>
  <c r="BG84" i="1"/>
  <c r="U8" i="1"/>
  <c r="U9" i="1"/>
  <c r="U10" i="1"/>
  <c r="U11" i="1"/>
  <c r="U12" i="1"/>
  <c r="U13" i="1"/>
  <c r="U14" i="1"/>
  <c r="U15" i="1"/>
  <c r="U16" i="1"/>
  <c r="U17" i="1"/>
  <c r="U18" i="1"/>
  <c r="U19" i="1"/>
  <c r="U20" i="1"/>
  <c r="U21" i="1"/>
  <c r="U22" i="1"/>
  <c r="U23" i="1"/>
  <c r="T25" i="1"/>
  <c r="BB24"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35" i="1"/>
  <c r="AY34" i="1"/>
  <c r="AY26" i="1"/>
  <c r="AY27" i="1"/>
  <c r="AY28" i="1"/>
  <c r="AY29" i="1"/>
  <c r="AY30" i="1"/>
  <c r="AY31" i="1"/>
  <c r="AY32" i="1"/>
  <c r="AY33" i="1"/>
  <c r="AY25" i="1"/>
  <c r="AT24" i="1"/>
  <c r="AQ43" i="1"/>
  <c r="AQ42" i="1"/>
  <c r="AQ41" i="1"/>
  <c r="AQ40" i="1"/>
  <c r="AQ39" i="1"/>
  <c r="AQ38" i="1"/>
  <c r="AQ37" i="1"/>
  <c r="AQ36" i="1"/>
  <c r="AQ33" i="1"/>
  <c r="AQ32" i="1"/>
  <c r="AQ31" i="1"/>
  <c r="AQ30" i="1"/>
  <c r="AQ29" i="1"/>
  <c r="AQ28" i="1"/>
  <c r="AQ27" i="1"/>
  <c r="AQ26"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44" i="1"/>
  <c r="AQ35" i="1"/>
  <c r="AQ34" i="1"/>
  <c r="AQ25" i="1"/>
  <c r="AS25" i="1" s="1"/>
  <c r="AM8" i="1"/>
  <c r="AM9" i="1"/>
  <c r="AM10" i="1"/>
  <c r="AM11" i="1"/>
  <c r="AM12" i="1"/>
  <c r="AM13" i="1"/>
  <c r="AM14" i="1"/>
  <c r="AM15" i="1"/>
  <c r="AM16" i="1"/>
  <c r="AM17" i="1"/>
  <c r="AM18" i="1"/>
  <c r="AM19" i="1"/>
  <c r="AM20" i="1"/>
  <c r="AM21" i="1"/>
  <c r="AM22" i="1"/>
  <c r="AM23" i="1"/>
  <c r="AL24" i="1"/>
  <c r="AK25" i="1"/>
  <c r="BT45" i="1" l="1"/>
  <c r="BU45" i="1"/>
  <c r="BA25" i="1"/>
  <c r="CJ25" i="1"/>
  <c r="CA29" i="1"/>
  <c r="CC29" i="1" s="1"/>
  <c r="CD29" i="1"/>
  <c r="CF29" i="1" s="1"/>
  <c r="CO86" i="1"/>
  <c r="BG85" i="1"/>
  <c r="U26" i="1"/>
  <c r="CB25" i="1"/>
  <c r="AN24" i="1"/>
  <c r="AN25" i="1" s="1"/>
  <c r="AN26" i="1" s="1"/>
  <c r="AN27" i="1" s="1"/>
  <c r="AN28" i="1" s="1"/>
  <c r="AN29" i="1" s="1"/>
  <c r="AN30" i="1" s="1"/>
  <c r="AN31" i="1" s="1"/>
  <c r="AN32" i="1" s="1"/>
  <c r="AN33" i="1" s="1"/>
  <c r="AN34" i="1" s="1"/>
  <c r="AN35" i="1" s="1"/>
  <c r="AN36" i="1" s="1"/>
  <c r="AN37" i="1" s="1"/>
  <c r="AN38" i="1" s="1"/>
  <c r="AN39" i="1" s="1"/>
  <c r="AN40" i="1" s="1"/>
  <c r="AN41" i="1" s="1"/>
  <c r="AN42" i="1" s="1"/>
  <c r="AN43" i="1" s="1"/>
  <c r="AN44" i="1" s="1"/>
  <c r="AN45" i="1" s="1"/>
  <c r="AN46" i="1" s="1"/>
  <c r="AN47" i="1" s="1"/>
  <c r="AN48" i="1" s="1"/>
  <c r="AN49" i="1" s="1"/>
  <c r="AN50" i="1" s="1"/>
  <c r="AN51" i="1" s="1"/>
  <c r="AN52" i="1" s="1"/>
  <c r="AN53" i="1" s="1"/>
  <c r="AN54" i="1" s="1"/>
  <c r="AN55" i="1" s="1"/>
  <c r="AN56" i="1" s="1"/>
  <c r="AN57" i="1" s="1"/>
  <c r="AN58" i="1" s="1"/>
  <c r="AN59" i="1" s="1"/>
  <c r="AN60" i="1" s="1"/>
  <c r="AN61" i="1" s="1"/>
  <c r="AN62" i="1" s="1"/>
  <c r="AN63" i="1" s="1"/>
  <c r="AN64" i="1" s="1"/>
  <c r="AN65" i="1" s="1"/>
  <c r="AN66" i="1" s="1"/>
  <c r="AN67" i="1" s="1"/>
  <c r="AN68" i="1" s="1"/>
  <c r="AN69" i="1" s="1"/>
  <c r="AN70" i="1" s="1"/>
  <c r="AN71" i="1" s="1"/>
  <c r="AN72" i="1" s="1"/>
  <c r="AN73" i="1" s="1"/>
  <c r="AN74" i="1" s="1"/>
  <c r="AN75" i="1" s="1"/>
  <c r="AL25" i="1"/>
  <c r="AL26" i="1" s="1"/>
  <c r="AL27" i="1" s="1"/>
  <c r="AL28" i="1" s="1"/>
  <c r="AL29" i="1" s="1"/>
  <c r="AL30" i="1" s="1"/>
  <c r="AL31" i="1" s="1"/>
  <c r="AL32" i="1" s="1"/>
  <c r="AL33" i="1" s="1"/>
  <c r="AL34" i="1" s="1"/>
  <c r="AL35" i="1" s="1"/>
  <c r="AL36" i="1" s="1"/>
  <c r="AL37" i="1" s="1"/>
  <c r="AL38" i="1" s="1"/>
  <c r="AL39" i="1" s="1"/>
  <c r="AL40" i="1" s="1"/>
  <c r="AL41" i="1" s="1"/>
  <c r="AL42" i="1" s="1"/>
  <c r="AL43" i="1" s="1"/>
  <c r="AL44" i="1" s="1"/>
  <c r="AL45" i="1" s="1"/>
  <c r="AL46" i="1" s="1"/>
  <c r="AL47" i="1" s="1"/>
  <c r="AL48" i="1" s="1"/>
  <c r="AL49" i="1" s="1"/>
  <c r="AL50" i="1" s="1"/>
  <c r="AL51" i="1" s="1"/>
  <c r="AL52" i="1" s="1"/>
  <c r="AL53" i="1" s="1"/>
  <c r="AL54" i="1" s="1"/>
  <c r="AL55" i="1" s="1"/>
  <c r="AL56" i="1" s="1"/>
  <c r="AL57" i="1" s="1"/>
  <c r="AL58" i="1" s="1"/>
  <c r="AL59" i="1" s="1"/>
  <c r="AL60" i="1" s="1"/>
  <c r="AL61" i="1" s="1"/>
  <c r="AL62" i="1" s="1"/>
  <c r="AL63" i="1" s="1"/>
  <c r="AL64" i="1" s="1"/>
  <c r="AL65" i="1" s="1"/>
  <c r="AL66" i="1" s="1"/>
  <c r="AL67" i="1" s="1"/>
  <c r="AL68" i="1" s="1"/>
  <c r="AL69" i="1" s="1"/>
  <c r="AL70" i="1" s="1"/>
  <c r="AL71" i="1" s="1"/>
  <c r="AL72" i="1" s="1"/>
  <c r="AL73" i="1" s="1"/>
  <c r="AL74" i="1" s="1"/>
  <c r="AL75" i="1" s="1"/>
  <c r="AT25" i="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BD24" i="1"/>
  <c r="BD25" i="1" s="1"/>
  <c r="BD26" i="1" s="1"/>
  <c r="BD27" i="1" s="1"/>
  <c r="BD28" i="1" s="1"/>
  <c r="BD29" i="1" s="1"/>
  <c r="BD30" i="1" s="1"/>
  <c r="BD31" i="1" s="1"/>
  <c r="BD32" i="1" s="1"/>
  <c r="BD33" i="1" s="1"/>
  <c r="BD34" i="1" s="1"/>
  <c r="BD35" i="1" s="1"/>
  <c r="BD36" i="1" s="1"/>
  <c r="BD37" i="1" s="1"/>
  <c r="BD38" i="1" s="1"/>
  <c r="BD39" i="1" s="1"/>
  <c r="BD40" i="1" s="1"/>
  <c r="BD41" i="1" s="1"/>
  <c r="BD42" i="1" s="1"/>
  <c r="BD43" i="1" s="1"/>
  <c r="BD44" i="1" s="1"/>
  <c r="BD45" i="1" s="1"/>
  <c r="BD46" i="1" s="1"/>
  <c r="BD47" i="1" s="1"/>
  <c r="BD48" i="1" s="1"/>
  <c r="BD49" i="1" s="1"/>
  <c r="BD50" i="1" s="1"/>
  <c r="BD51" i="1" s="1"/>
  <c r="BD52" i="1" s="1"/>
  <c r="BD53" i="1" s="1"/>
  <c r="BD54" i="1" s="1"/>
  <c r="BD55" i="1" s="1"/>
  <c r="BD56" i="1" s="1"/>
  <c r="BD57" i="1" s="1"/>
  <c r="BD58" i="1" s="1"/>
  <c r="BD59" i="1" s="1"/>
  <c r="BD60" i="1" s="1"/>
  <c r="BD61" i="1" s="1"/>
  <c r="BD62" i="1" s="1"/>
  <c r="BD63" i="1" s="1"/>
  <c r="BD64" i="1" s="1"/>
  <c r="BD65" i="1" s="1"/>
  <c r="BD66" i="1" s="1"/>
  <c r="BD67" i="1" s="1"/>
  <c r="BD68" i="1" s="1"/>
  <c r="BD69" i="1" s="1"/>
  <c r="BD70" i="1" s="1"/>
  <c r="BD71" i="1" s="1"/>
  <c r="BD72" i="1" s="1"/>
  <c r="BD73" i="1" s="1"/>
  <c r="BD74" i="1" s="1"/>
  <c r="BD75" i="1" s="1"/>
  <c r="BB25" i="1"/>
  <c r="BB26" i="1" s="1"/>
  <c r="BB27" i="1" s="1"/>
  <c r="BB28" i="1" s="1"/>
  <c r="BB29" i="1" s="1"/>
  <c r="BB30" i="1" s="1"/>
  <c r="BB31" i="1" s="1"/>
  <c r="BB32" i="1" s="1"/>
  <c r="BB33" i="1" s="1"/>
  <c r="BB34" i="1" s="1"/>
  <c r="BB35" i="1" s="1"/>
  <c r="BB36" i="1" s="1"/>
  <c r="BB37" i="1" s="1"/>
  <c r="BB38" i="1" s="1"/>
  <c r="BB39" i="1" s="1"/>
  <c r="BB40" i="1" s="1"/>
  <c r="BB41" i="1" s="1"/>
  <c r="BB42" i="1" s="1"/>
  <c r="BB43" i="1" s="1"/>
  <c r="BB44" i="1" s="1"/>
  <c r="BB45" i="1" s="1"/>
  <c r="BB46" i="1" s="1"/>
  <c r="BB47" i="1" s="1"/>
  <c r="BB48" i="1" s="1"/>
  <c r="BB49" i="1" s="1"/>
  <c r="BB50" i="1" s="1"/>
  <c r="BB51" i="1" s="1"/>
  <c r="BB52" i="1" s="1"/>
  <c r="BB53" i="1" s="1"/>
  <c r="BB54" i="1" s="1"/>
  <c r="BB55" i="1" s="1"/>
  <c r="BB56" i="1" s="1"/>
  <c r="BB57" i="1" s="1"/>
  <c r="BB58" i="1" s="1"/>
  <c r="BB59" i="1" s="1"/>
  <c r="BB60" i="1" s="1"/>
  <c r="BB61" i="1" s="1"/>
  <c r="BB62" i="1" s="1"/>
  <c r="BB63" i="1" s="1"/>
  <c r="BB64" i="1" s="1"/>
  <c r="BB65" i="1" s="1"/>
  <c r="BB66" i="1" s="1"/>
  <c r="BB67" i="1" s="1"/>
  <c r="BB68" i="1" s="1"/>
  <c r="BB69" i="1" s="1"/>
  <c r="BB70" i="1" s="1"/>
  <c r="BB71" i="1" s="1"/>
  <c r="BB72" i="1" s="1"/>
  <c r="BB73" i="1" s="1"/>
  <c r="BB74" i="1" s="1"/>
  <c r="BB75" i="1" s="1"/>
  <c r="AR25" i="1"/>
  <c r="AR26" i="1" s="1"/>
  <c r="AZ25" i="1"/>
  <c r="AJ25" i="1"/>
  <c r="AJ26" i="1" s="1"/>
  <c r="BC24" i="1"/>
  <c r="AU24" i="1"/>
  <c r="AV24" i="1"/>
  <c r="AV25" i="1" s="1"/>
  <c r="AV26" i="1" s="1"/>
  <c r="AV27" i="1" s="1"/>
  <c r="AV28" i="1" s="1"/>
  <c r="AV29" i="1" s="1"/>
  <c r="AV30" i="1" s="1"/>
  <c r="AV31" i="1" s="1"/>
  <c r="AV32" i="1" s="1"/>
  <c r="AV33" i="1" s="1"/>
  <c r="AV34" i="1" s="1"/>
  <c r="AV35" i="1" s="1"/>
  <c r="AV36" i="1" s="1"/>
  <c r="AV37" i="1" s="1"/>
  <c r="AV38" i="1" s="1"/>
  <c r="AV39" i="1" s="1"/>
  <c r="AV40" i="1" s="1"/>
  <c r="AV41" i="1" s="1"/>
  <c r="AV42" i="1" s="1"/>
  <c r="AV43" i="1" s="1"/>
  <c r="AV44" i="1" s="1"/>
  <c r="AV45" i="1" s="1"/>
  <c r="AV46" i="1" s="1"/>
  <c r="AV47" i="1" s="1"/>
  <c r="AV48" i="1" s="1"/>
  <c r="AV49" i="1" s="1"/>
  <c r="AV50" i="1" s="1"/>
  <c r="AV51" i="1" s="1"/>
  <c r="AV52" i="1" s="1"/>
  <c r="AV53" i="1" s="1"/>
  <c r="AV54" i="1" s="1"/>
  <c r="AV55" i="1" s="1"/>
  <c r="AV56" i="1" s="1"/>
  <c r="AV57" i="1" s="1"/>
  <c r="AV58" i="1" s="1"/>
  <c r="AV59" i="1" s="1"/>
  <c r="AV60" i="1" s="1"/>
  <c r="AV61" i="1" s="1"/>
  <c r="AV62" i="1" s="1"/>
  <c r="AV63" i="1" s="1"/>
  <c r="AV64" i="1" s="1"/>
  <c r="AV65" i="1" s="1"/>
  <c r="AV66" i="1" s="1"/>
  <c r="AV67" i="1" s="1"/>
  <c r="AV68" i="1" s="1"/>
  <c r="AV69" i="1" s="1"/>
  <c r="AV70" i="1" s="1"/>
  <c r="AV71" i="1" s="1"/>
  <c r="AV72" i="1" s="1"/>
  <c r="AV73" i="1" s="1"/>
  <c r="AV74" i="1" s="1"/>
  <c r="AV75" i="1" s="1"/>
  <c r="T26" i="1"/>
  <c r="AA25" i="1"/>
  <c r="AC25" i="1" s="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BF24" i="1" l="1"/>
  <c r="BT46" i="1"/>
  <c r="BT47" i="1" s="1"/>
  <c r="BT48" i="1" s="1"/>
  <c r="BT49" i="1" s="1"/>
  <c r="BT50" i="1" s="1"/>
  <c r="BT51" i="1" s="1"/>
  <c r="BT52" i="1" s="1"/>
  <c r="BT53" i="1" s="1"/>
  <c r="BT54" i="1" s="1"/>
  <c r="BT55" i="1" s="1"/>
  <c r="BT56" i="1" s="1"/>
  <c r="BT57" i="1" s="1"/>
  <c r="BT58" i="1" s="1"/>
  <c r="BT59" i="1" s="1"/>
  <c r="BT60" i="1" s="1"/>
  <c r="BT61" i="1" s="1"/>
  <c r="BT62" i="1" s="1"/>
  <c r="BT63" i="1" s="1"/>
  <c r="BT64" i="1" s="1"/>
  <c r="BT65" i="1" s="1"/>
  <c r="BT66" i="1" s="1"/>
  <c r="BT67" i="1" s="1"/>
  <c r="BT68" i="1" s="1"/>
  <c r="BT69" i="1" s="1"/>
  <c r="BT70" i="1" s="1"/>
  <c r="BT71" i="1" s="1"/>
  <c r="BT72" i="1" s="1"/>
  <c r="BT73" i="1" s="1"/>
  <c r="BT74" i="1" s="1"/>
  <c r="BT75" i="1" s="1"/>
  <c r="BU46" i="1"/>
  <c r="CL25" i="1"/>
  <c r="CK25" i="1"/>
  <c r="CJ26" i="1"/>
  <c r="CA30" i="1"/>
  <c r="CC30" i="1" s="1"/>
  <c r="CD30" i="1"/>
  <c r="CF30" i="1" s="1"/>
  <c r="CO87" i="1"/>
  <c r="BG86" i="1"/>
  <c r="BR45" i="1"/>
  <c r="BR46" i="1" s="1"/>
  <c r="BS45" i="1"/>
  <c r="U27" i="1"/>
  <c r="CB26" i="1"/>
  <c r="AP24" i="1"/>
  <c r="AO24" i="1"/>
  <c r="CG25" i="1"/>
  <c r="AD25" i="1"/>
  <c r="AD26" i="1" s="1"/>
  <c r="AD27" i="1" s="1"/>
  <c r="AD28" i="1" s="1"/>
  <c r="AD29" i="1" s="1"/>
  <c r="AD30" i="1" s="1"/>
  <c r="AD31" i="1" s="1"/>
  <c r="AD32" i="1" s="1"/>
  <c r="AD33" i="1" s="1"/>
  <c r="AD34" i="1" s="1"/>
  <c r="AD35" i="1" s="1"/>
  <c r="AD36" i="1" s="1"/>
  <c r="AD37" i="1" s="1"/>
  <c r="AD38" i="1" s="1"/>
  <c r="AD39" i="1" s="1"/>
  <c r="AD40" i="1" s="1"/>
  <c r="AD41" i="1" s="1"/>
  <c r="AD42" i="1" s="1"/>
  <c r="AD43" i="1" s="1"/>
  <c r="AD44" i="1" s="1"/>
  <c r="AD45" i="1" s="1"/>
  <c r="AD46" i="1" s="1"/>
  <c r="AD47" i="1" s="1"/>
  <c r="AD48" i="1" s="1"/>
  <c r="AD49" i="1" s="1"/>
  <c r="AD50" i="1" s="1"/>
  <c r="AD51" i="1" s="1"/>
  <c r="AD52" i="1" s="1"/>
  <c r="AD53" i="1" s="1"/>
  <c r="AD54" i="1" s="1"/>
  <c r="AD55" i="1" s="1"/>
  <c r="AD56" i="1" s="1"/>
  <c r="AD57" i="1" s="1"/>
  <c r="AD58" i="1" s="1"/>
  <c r="AD59" i="1" s="1"/>
  <c r="AD60" i="1" s="1"/>
  <c r="AD61" i="1" s="1"/>
  <c r="AD62" i="1" s="1"/>
  <c r="AD63" i="1" s="1"/>
  <c r="AD64" i="1" s="1"/>
  <c r="AD65" i="1" s="1"/>
  <c r="AD66" i="1" s="1"/>
  <c r="AD67" i="1" s="1"/>
  <c r="AD68" i="1" s="1"/>
  <c r="AD69" i="1" s="1"/>
  <c r="AD70" i="1" s="1"/>
  <c r="AD71" i="1" s="1"/>
  <c r="AD72" i="1" s="1"/>
  <c r="AD73" i="1" s="1"/>
  <c r="AD74" i="1" s="1"/>
  <c r="AD75" i="1" s="1"/>
  <c r="BE24" i="1"/>
  <c r="AR27" i="1"/>
  <c r="AR28" i="1" s="1"/>
  <c r="AR29" i="1" s="1"/>
  <c r="AR30" i="1" s="1"/>
  <c r="AR31" i="1" s="1"/>
  <c r="AR32" i="1" s="1"/>
  <c r="AR33" i="1" s="1"/>
  <c r="AR34" i="1" s="1"/>
  <c r="AR35" i="1" s="1"/>
  <c r="AR36" i="1" s="1"/>
  <c r="AR37" i="1" s="1"/>
  <c r="AR38" i="1" s="1"/>
  <c r="AR39" i="1" s="1"/>
  <c r="AR40" i="1" s="1"/>
  <c r="AR41" i="1" s="1"/>
  <c r="AR42" i="1" s="1"/>
  <c r="AR43" i="1" s="1"/>
  <c r="AR44" i="1" s="1"/>
  <c r="AR45" i="1" s="1"/>
  <c r="AR46" i="1" s="1"/>
  <c r="AR47" i="1" s="1"/>
  <c r="AR48" i="1" s="1"/>
  <c r="AR49" i="1" s="1"/>
  <c r="AR50" i="1" s="1"/>
  <c r="AR51" i="1" s="1"/>
  <c r="AR52" i="1" s="1"/>
  <c r="AR53" i="1" s="1"/>
  <c r="AR54" i="1" s="1"/>
  <c r="AR55" i="1" s="1"/>
  <c r="AR56" i="1" s="1"/>
  <c r="AR57" i="1" s="1"/>
  <c r="AR58" i="1" s="1"/>
  <c r="AR59" i="1" s="1"/>
  <c r="AR60" i="1" s="1"/>
  <c r="AR61" i="1" s="1"/>
  <c r="AR62" i="1" s="1"/>
  <c r="AR63" i="1" s="1"/>
  <c r="AR64" i="1" s="1"/>
  <c r="AR65" i="1" s="1"/>
  <c r="AR66" i="1" s="1"/>
  <c r="AR67" i="1" s="1"/>
  <c r="AR68" i="1" s="1"/>
  <c r="AR69" i="1" s="1"/>
  <c r="AR70" i="1" s="1"/>
  <c r="AR71" i="1" s="1"/>
  <c r="AR72" i="1" s="1"/>
  <c r="AR73" i="1" s="1"/>
  <c r="AR74" i="1" s="1"/>
  <c r="AR75" i="1" s="1"/>
  <c r="AJ27" i="1"/>
  <c r="AJ28" i="1" s="1"/>
  <c r="AJ29" i="1" s="1"/>
  <c r="AJ30" i="1" s="1"/>
  <c r="AJ31" i="1" s="1"/>
  <c r="AJ32" i="1" s="1"/>
  <c r="AJ33" i="1" s="1"/>
  <c r="AJ34" i="1" s="1"/>
  <c r="AJ35" i="1" s="1"/>
  <c r="AJ36" i="1" s="1"/>
  <c r="AJ37" i="1" s="1"/>
  <c r="AJ38" i="1" s="1"/>
  <c r="AJ39" i="1" s="1"/>
  <c r="AJ40" i="1" s="1"/>
  <c r="AJ41" i="1" s="1"/>
  <c r="AJ42" i="1" s="1"/>
  <c r="AJ43" i="1" s="1"/>
  <c r="AJ44" i="1" s="1"/>
  <c r="AJ45" i="1" s="1"/>
  <c r="AJ46" i="1" s="1"/>
  <c r="AJ47" i="1" s="1"/>
  <c r="AJ48" i="1" s="1"/>
  <c r="AJ49" i="1" s="1"/>
  <c r="AJ50" i="1" s="1"/>
  <c r="AJ51" i="1" s="1"/>
  <c r="AJ52" i="1" s="1"/>
  <c r="AJ53" i="1" s="1"/>
  <c r="AJ54" i="1" s="1"/>
  <c r="AJ55" i="1" s="1"/>
  <c r="AJ56" i="1" s="1"/>
  <c r="AJ57" i="1" s="1"/>
  <c r="AJ58" i="1" s="1"/>
  <c r="AJ59" i="1" s="1"/>
  <c r="AJ60" i="1" s="1"/>
  <c r="AJ61" i="1" s="1"/>
  <c r="AJ62" i="1" s="1"/>
  <c r="AJ63" i="1" s="1"/>
  <c r="AJ64" i="1" s="1"/>
  <c r="AJ65" i="1" s="1"/>
  <c r="AJ66" i="1" s="1"/>
  <c r="AJ67" i="1" s="1"/>
  <c r="AJ68" i="1" s="1"/>
  <c r="AJ69" i="1" s="1"/>
  <c r="AJ70" i="1" s="1"/>
  <c r="AJ71" i="1" s="1"/>
  <c r="AJ72" i="1" s="1"/>
  <c r="AJ73" i="1" s="1"/>
  <c r="AJ74" i="1" s="1"/>
  <c r="AJ75" i="1" s="1"/>
  <c r="AZ26" i="1"/>
  <c r="BA26" i="1"/>
  <c r="AK26" i="1"/>
  <c r="AK27" i="1" s="1"/>
  <c r="AS26" i="1"/>
  <c r="AS27" i="1" s="1"/>
  <c r="BF25" i="1"/>
  <c r="AP25" i="1"/>
  <c r="AX24" i="1"/>
  <c r="AW24" i="1"/>
  <c r="T27" i="1"/>
  <c r="AC23" i="1"/>
  <c r="AC22" i="1"/>
  <c r="AC21" i="1"/>
  <c r="AC20" i="1"/>
  <c r="AC19" i="1"/>
  <c r="AC18" i="1"/>
  <c r="AC17" i="1"/>
  <c r="AC16" i="1"/>
  <c r="AC15" i="1"/>
  <c r="AC14" i="1"/>
  <c r="AC13" i="1"/>
  <c r="AC12" i="1"/>
  <c r="AC11" i="1"/>
  <c r="AC10" i="1"/>
  <c r="AC9" i="1"/>
  <c r="AC8" i="1"/>
  <c r="M8" i="1"/>
  <c r="M9" i="1"/>
  <c r="M10" i="1"/>
  <c r="M11" i="1"/>
  <c r="M12" i="1"/>
  <c r="M13" i="1"/>
  <c r="M14" i="1"/>
  <c r="M15" i="1"/>
  <c r="M16" i="1"/>
  <c r="M17" i="1"/>
  <c r="M18" i="1"/>
  <c r="M19" i="1"/>
  <c r="M20" i="1"/>
  <c r="M21" i="1"/>
  <c r="M22" i="1"/>
  <c r="M23" i="1"/>
  <c r="CA31" i="1" l="1"/>
  <c r="CC31" i="1" s="1"/>
  <c r="AS28" i="1"/>
  <c r="AS29" i="1" s="1"/>
  <c r="AS30" i="1" s="1"/>
  <c r="AS31" i="1" s="1"/>
  <c r="AS32" i="1" s="1"/>
  <c r="AS33" i="1" s="1"/>
  <c r="AS34" i="1" s="1"/>
  <c r="AS35" i="1" s="1"/>
  <c r="AS36" i="1" s="1"/>
  <c r="AS37" i="1" s="1"/>
  <c r="AS38" i="1" s="1"/>
  <c r="AS39" i="1" s="1"/>
  <c r="AS40" i="1" s="1"/>
  <c r="AS41" i="1" s="1"/>
  <c r="AS42" i="1" s="1"/>
  <c r="AS43" i="1" s="1"/>
  <c r="AS44" i="1" s="1"/>
  <c r="AS45" i="1" s="1"/>
  <c r="AS46" i="1" s="1"/>
  <c r="AS47" i="1" s="1"/>
  <c r="AS48" i="1" s="1"/>
  <c r="AS49" i="1" s="1"/>
  <c r="AS50" i="1" s="1"/>
  <c r="AS51" i="1" s="1"/>
  <c r="AS52" i="1" s="1"/>
  <c r="AS53" i="1" s="1"/>
  <c r="AS54" i="1" s="1"/>
  <c r="AS55" i="1" s="1"/>
  <c r="AS56" i="1" s="1"/>
  <c r="AS57" i="1" s="1"/>
  <c r="AS58" i="1" s="1"/>
  <c r="AS59" i="1" s="1"/>
  <c r="AS60" i="1" s="1"/>
  <c r="AS61" i="1" s="1"/>
  <c r="AS62" i="1" s="1"/>
  <c r="AS63" i="1" s="1"/>
  <c r="AS64" i="1" s="1"/>
  <c r="AS65" i="1" s="1"/>
  <c r="AS66" i="1" s="1"/>
  <c r="AS67" i="1" s="1"/>
  <c r="AS68" i="1" s="1"/>
  <c r="AS69" i="1" s="1"/>
  <c r="AS70" i="1" s="1"/>
  <c r="AS71" i="1" s="1"/>
  <c r="AS72" i="1" s="1"/>
  <c r="AS73" i="1" s="1"/>
  <c r="AS74" i="1" s="1"/>
  <c r="AS75" i="1" s="1"/>
  <c r="BU47" i="1"/>
  <c r="BU48" i="1" s="1"/>
  <c r="BU49" i="1" s="1"/>
  <c r="BU50" i="1" s="1"/>
  <c r="BU51" i="1" s="1"/>
  <c r="BU52" i="1" s="1"/>
  <c r="BU53" i="1" s="1"/>
  <c r="BU54" i="1" s="1"/>
  <c r="BU55" i="1" s="1"/>
  <c r="BU56" i="1" s="1"/>
  <c r="BU57" i="1" s="1"/>
  <c r="BU58" i="1" s="1"/>
  <c r="BU59" i="1" s="1"/>
  <c r="BU60" i="1" s="1"/>
  <c r="BU61" i="1" s="1"/>
  <c r="BU62" i="1" s="1"/>
  <c r="BU63" i="1" s="1"/>
  <c r="BU64" i="1" s="1"/>
  <c r="BU65" i="1" s="1"/>
  <c r="BU66" i="1" s="1"/>
  <c r="BU67" i="1" s="1"/>
  <c r="BU68" i="1" s="1"/>
  <c r="BU69" i="1" s="1"/>
  <c r="BU70" i="1" s="1"/>
  <c r="BU71" i="1" s="1"/>
  <c r="BU72" i="1" s="1"/>
  <c r="BU73" i="1" s="1"/>
  <c r="BU74" i="1" s="1"/>
  <c r="BU75" i="1" s="1"/>
  <c r="CJ27" i="1"/>
  <c r="CL26" i="1"/>
  <c r="CK26" i="1"/>
  <c r="CI25" i="1"/>
  <c r="CD31" i="1"/>
  <c r="CF31" i="1" s="1"/>
  <c r="CO88" i="1"/>
  <c r="BG87" i="1"/>
  <c r="BS46" i="1"/>
  <c r="BS47" i="1" s="1"/>
  <c r="BR47" i="1"/>
  <c r="BR48" i="1" s="1"/>
  <c r="CA32" i="1"/>
  <c r="CC32" i="1" s="1"/>
  <c r="U28" i="1"/>
  <c r="CB27" i="1"/>
  <c r="CG26" i="1"/>
  <c r="AK28" i="1"/>
  <c r="AK29" i="1" s="1"/>
  <c r="AK30" i="1" s="1"/>
  <c r="AK31" i="1" s="1"/>
  <c r="AK32" i="1" s="1"/>
  <c r="AK33" i="1" s="1"/>
  <c r="AK34" i="1" s="1"/>
  <c r="AK35" i="1" s="1"/>
  <c r="AK36" i="1" s="1"/>
  <c r="AK37" i="1" s="1"/>
  <c r="AK38" i="1" s="1"/>
  <c r="AK39" i="1" s="1"/>
  <c r="AK40" i="1" s="1"/>
  <c r="AK41" i="1" s="1"/>
  <c r="AK42" i="1" s="1"/>
  <c r="AK43" i="1" s="1"/>
  <c r="AK44" i="1" s="1"/>
  <c r="AK45" i="1" s="1"/>
  <c r="AK46" i="1" s="1"/>
  <c r="AK47" i="1" s="1"/>
  <c r="AK48" i="1" s="1"/>
  <c r="AK49" i="1" s="1"/>
  <c r="AK50" i="1" s="1"/>
  <c r="AK51" i="1" s="1"/>
  <c r="AK52" i="1" s="1"/>
  <c r="AK53" i="1" s="1"/>
  <c r="AK54" i="1" s="1"/>
  <c r="AK55" i="1" s="1"/>
  <c r="AK56" i="1" s="1"/>
  <c r="AK57" i="1" s="1"/>
  <c r="AK58" i="1" s="1"/>
  <c r="AK59" i="1" s="1"/>
  <c r="AK60" i="1" s="1"/>
  <c r="AK61" i="1" s="1"/>
  <c r="AK62" i="1" s="1"/>
  <c r="AK63" i="1" s="1"/>
  <c r="AK64" i="1" s="1"/>
  <c r="AK65" i="1" s="1"/>
  <c r="AK66" i="1" s="1"/>
  <c r="AK67" i="1" s="1"/>
  <c r="AK68" i="1" s="1"/>
  <c r="AK69" i="1" s="1"/>
  <c r="AK70" i="1" s="1"/>
  <c r="AK71" i="1" s="1"/>
  <c r="AK72" i="1" s="1"/>
  <c r="AK73" i="1" s="1"/>
  <c r="AK74" i="1" s="1"/>
  <c r="AK75" i="1" s="1"/>
  <c r="BA27" i="1"/>
  <c r="AZ27" i="1"/>
  <c r="AZ28" i="1" s="1"/>
  <c r="AZ29" i="1" s="1"/>
  <c r="AZ30" i="1" s="1"/>
  <c r="AZ31" i="1" s="1"/>
  <c r="AZ32" i="1" s="1"/>
  <c r="AZ33" i="1" s="1"/>
  <c r="AZ34" i="1" s="1"/>
  <c r="AZ35" i="1" s="1"/>
  <c r="AZ36" i="1" s="1"/>
  <c r="AZ37" i="1" s="1"/>
  <c r="AZ38" i="1" s="1"/>
  <c r="AZ39" i="1" s="1"/>
  <c r="AZ40" i="1" s="1"/>
  <c r="AZ41" i="1" s="1"/>
  <c r="AZ42" i="1" s="1"/>
  <c r="AZ43" i="1" s="1"/>
  <c r="AZ44" i="1" s="1"/>
  <c r="AZ45" i="1" s="1"/>
  <c r="AZ46" i="1" s="1"/>
  <c r="AZ47" i="1" s="1"/>
  <c r="AZ48" i="1" s="1"/>
  <c r="AZ49" i="1" s="1"/>
  <c r="AZ50" i="1" s="1"/>
  <c r="AZ51" i="1" s="1"/>
  <c r="AZ52" i="1" s="1"/>
  <c r="AZ53" i="1" s="1"/>
  <c r="AZ54" i="1" s="1"/>
  <c r="AZ55" i="1" s="1"/>
  <c r="AZ56" i="1" s="1"/>
  <c r="AZ57" i="1" s="1"/>
  <c r="AZ58" i="1" s="1"/>
  <c r="AZ59" i="1" s="1"/>
  <c r="AZ60" i="1" s="1"/>
  <c r="AZ61" i="1" s="1"/>
  <c r="AZ62" i="1" s="1"/>
  <c r="AZ63" i="1" s="1"/>
  <c r="BF26" i="1"/>
  <c r="AX25" i="1"/>
  <c r="AP26" i="1"/>
  <c r="T28" i="1"/>
  <c r="BH25" i="1"/>
  <c r="BI26" i="1" s="1"/>
  <c r="CJ28" i="1" l="1"/>
  <c r="CK27" i="1"/>
  <c r="CL27" i="1"/>
  <c r="CI26" i="1"/>
  <c r="CD32" i="1"/>
  <c r="CF32" i="1" s="1"/>
  <c r="CO89" i="1"/>
  <c r="BG88" i="1"/>
  <c r="BS48" i="1"/>
  <c r="BS49" i="1" s="1"/>
  <c r="BR49" i="1"/>
  <c r="U29" i="1"/>
  <c r="CB28" i="1"/>
  <c r="CA33" i="1"/>
  <c r="CC33" i="1" s="1"/>
  <c r="CG27" i="1"/>
  <c r="BA28" i="1"/>
  <c r="BA29" i="1" s="1"/>
  <c r="BA30" i="1" s="1"/>
  <c r="BA31" i="1" s="1"/>
  <c r="BA32" i="1" s="1"/>
  <c r="BA33" i="1" s="1"/>
  <c r="BA34" i="1" s="1"/>
  <c r="BA35" i="1" s="1"/>
  <c r="BA36" i="1" s="1"/>
  <c r="BA37" i="1" s="1"/>
  <c r="BA38" i="1" s="1"/>
  <c r="BA39" i="1" s="1"/>
  <c r="BA40" i="1" s="1"/>
  <c r="BA41" i="1" s="1"/>
  <c r="BA42" i="1" s="1"/>
  <c r="BA43" i="1" s="1"/>
  <c r="BA44" i="1" s="1"/>
  <c r="BA45" i="1" s="1"/>
  <c r="BA46" i="1" s="1"/>
  <c r="BA47" i="1" s="1"/>
  <c r="BA48" i="1" s="1"/>
  <c r="BA49" i="1" s="1"/>
  <c r="BA50" i="1" s="1"/>
  <c r="BA51" i="1" s="1"/>
  <c r="BA52" i="1" s="1"/>
  <c r="BA53" i="1" s="1"/>
  <c r="BA54" i="1" s="1"/>
  <c r="BA55" i="1" s="1"/>
  <c r="BA56" i="1" s="1"/>
  <c r="BA57" i="1" s="1"/>
  <c r="BA58" i="1" s="1"/>
  <c r="BA59" i="1" s="1"/>
  <c r="BA60" i="1" s="1"/>
  <c r="BA61" i="1" s="1"/>
  <c r="BA62" i="1" s="1"/>
  <c r="BA63" i="1" s="1"/>
  <c r="BA64" i="1" s="1"/>
  <c r="AZ64" i="1"/>
  <c r="BF27" i="1"/>
  <c r="AX26" i="1"/>
  <c r="AP27" i="1"/>
  <c r="T29" i="1"/>
  <c r="BH26" i="1"/>
  <c r="BI27" i="1" s="1"/>
  <c r="CJ29" i="1" l="1"/>
  <c r="CL28" i="1"/>
  <c r="CK28" i="1"/>
  <c r="CI27" i="1"/>
  <c r="CD33" i="1"/>
  <c r="CF33" i="1" s="1"/>
  <c r="CO90" i="1"/>
  <c r="BG89" i="1"/>
  <c r="BR50" i="1"/>
  <c r="BS50" i="1"/>
  <c r="U30" i="1"/>
  <c r="CB29" i="1"/>
  <c r="CA34" i="1"/>
  <c r="CC34" i="1" s="1"/>
  <c r="CG28" i="1"/>
  <c r="AZ65" i="1"/>
  <c r="AZ66" i="1" s="1"/>
  <c r="AZ67" i="1" s="1"/>
  <c r="AZ68" i="1" s="1"/>
  <c r="AZ69" i="1" s="1"/>
  <c r="AZ70" i="1" s="1"/>
  <c r="AZ71" i="1" s="1"/>
  <c r="AZ72" i="1" s="1"/>
  <c r="AZ73" i="1" s="1"/>
  <c r="AZ74" i="1" s="1"/>
  <c r="AZ75" i="1" s="1"/>
  <c r="BA65" i="1"/>
  <c r="BF28" i="1"/>
  <c r="AP28" i="1"/>
  <c r="AX27" i="1"/>
  <c r="T30" i="1"/>
  <c r="BH27" i="1"/>
  <c r="BI28" i="1" s="1"/>
  <c r="CJ30" i="1" l="1"/>
  <c r="CL29" i="1"/>
  <c r="CK29" i="1"/>
  <c r="CI28" i="1"/>
  <c r="CD34" i="1"/>
  <c r="CF34" i="1" s="1"/>
  <c r="CO91" i="1"/>
  <c r="BG90" i="1"/>
  <c r="BR51" i="1"/>
  <c r="BS51" i="1"/>
  <c r="CA35" i="1"/>
  <c r="CC35" i="1" s="1"/>
  <c r="U31" i="1"/>
  <c r="CB30" i="1"/>
  <c r="CG29" i="1"/>
  <c r="BA66" i="1"/>
  <c r="BA67" i="1" s="1"/>
  <c r="BA68" i="1" s="1"/>
  <c r="BA69" i="1" s="1"/>
  <c r="BA70" i="1" s="1"/>
  <c r="BA71" i="1" s="1"/>
  <c r="BA72" i="1" s="1"/>
  <c r="BA73" i="1" s="1"/>
  <c r="BA74" i="1" s="1"/>
  <c r="BA75" i="1" s="1"/>
  <c r="BF29" i="1"/>
  <c r="AP29" i="1"/>
  <c r="AX28" i="1"/>
  <c r="T31" i="1"/>
  <c r="BH28" i="1"/>
  <c r="BI29" i="1" s="1"/>
  <c r="CJ31" i="1" l="1"/>
  <c r="CL30" i="1"/>
  <c r="CK30" i="1"/>
  <c r="CI29" i="1"/>
  <c r="CD35" i="1"/>
  <c r="CF35" i="1" s="1"/>
  <c r="CO92" i="1"/>
  <c r="BG91" i="1"/>
  <c r="BR52" i="1"/>
  <c r="BS52" i="1"/>
  <c r="U32" i="1"/>
  <c r="CB31" i="1"/>
  <c r="CA36" i="1"/>
  <c r="CC36" i="1" s="1"/>
  <c r="CG30" i="1"/>
  <c r="BH29" i="1"/>
  <c r="BI30" i="1" s="1"/>
  <c r="BF30" i="1"/>
  <c r="AP30" i="1"/>
  <c r="AX29" i="1"/>
  <c r="T32" i="1"/>
  <c r="CM76" i="1"/>
  <c r="K75" i="1"/>
  <c r="CP75" i="1"/>
  <c r="CP73" i="1"/>
  <c r="CJ32" i="1" l="1"/>
  <c r="CL31" i="1"/>
  <c r="CK31" i="1"/>
  <c r="CI30" i="1"/>
  <c r="AI76" i="1"/>
  <c r="BV76" i="1"/>
  <c r="BX76" i="1" s="1"/>
  <c r="CN76" i="1"/>
  <c r="CR76" i="1"/>
  <c r="CD36" i="1"/>
  <c r="CF36" i="1" s="1"/>
  <c r="CO93" i="1"/>
  <c r="BG92" i="1"/>
  <c r="BR53" i="1"/>
  <c r="BS53" i="1"/>
  <c r="U33" i="1"/>
  <c r="CB32" i="1"/>
  <c r="CA37" i="1"/>
  <c r="CC37" i="1" s="1"/>
  <c r="CG31" i="1"/>
  <c r="S76" i="1"/>
  <c r="BP76" i="1" s="1"/>
  <c r="AY76" i="1"/>
  <c r="BH30" i="1"/>
  <c r="BI31" i="1" s="1"/>
  <c r="BF31" i="1"/>
  <c r="AP31" i="1"/>
  <c r="AX30" i="1"/>
  <c r="AA76" i="1"/>
  <c r="AD76" i="1" s="1"/>
  <c r="AQ76" i="1"/>
  <c r="T33" i="1"/>
  <c r="K76" i="1"/>
  <c r="CM77" i="1"/>
  <c r="CP76" i="1"/>
  <c r="BT76" i="1" l="1"/>
  <c r="BU76" i="1"/>
  <c r="CJ33" i="1"/>
  <c r="CL32" i="1"/>
  <c r="CK32" i="1"/>
  <c r="CI31" i="1"/>
  <c r="CR77" i="1"/>
  <c r="AI77" i="1"/>
  <c r="BV77" i="1"/>
  <c r="CN77" i="1"/>
  <c r="BW76" i="1"/>
  <c r="CD37" i="1"/>
  <c r="CF37" i="1" s="1"/>
  <c r="BO76" i="1"/>
  <c r="CO94" i="1"/>
  <c r="BG93" i="1"/>
  <c r="BR54" i="1"/>
  <c r="BS54" i="1"/>
  <c r="CA38" i="1"/>
  <c r="CC38" i="1" s="1"/>
  <c r="U34" i="1"/>
  <c r="CB33" i="1"/>
  <c r="AN76" i="1"/>
  <c r="AL76" i="1"/>
  <c r="BA76" i="1"/>
  <c r="BD76" i="1"/>
  <c r="BB76" i="1"/>
  <c r="AT76" i="1"/>
  <c r="AV76" i="1"/>
  <c r="CG32" i="1"/>
  <c r="S77" i="1"/>
  <c r="AY77" i="1"/>
  <c r="AK76" i="1"/>
  <c r="AS76" i="1"/>
  <c r="BH31" i="1"/>
  <c r="BI32" i="1" s="1"/>
  <c r="BF32" i="1"/>
  <c r="AP32" i="1"/>
  <c r="AX31" i="1"/>
  <c r="AJ76" i="1"/>
  <c r="AQ77" i="1"/>
  <c r="AZ76" i="1"/>
  <c r="AR76" i="1"/>
  <c r="T34" i="1"/>
  <c r="AA77" i="1"/>
  <c r="AD77" i="1" s="1"/>
  <c r="K77" i="1"/>
  <c r="CM78" i="1"/>
  <c r="CR78" i="1" s="1"/>
  <c r="CP77" i="1"/>
  <c r="BU77" i="1" l="1"/>
  <c r="BT77" i="1"/>
  <c r="CJ34" i="1"/>
  <c r="CL33" i="1"/>
  <c r="CK33" i="1"/>
  <c r="BX77" i="1"/>
  <c r="CI32" i="1"/>
  <c r="BW77" i="1"/>
  <c r="AI78" i="1"/>
  <c r="BV78" i="1"/>
  <c r="BP77" i="1"/>
  <c r="CN78" i="1"/>
  <c r="CD38" i="1"/>
  <c r="CF38" i="1" s="1"/>
  <c r="BO77" i="1"/>
  <c r="CO95" i="1"/>
  <c r="BG94" i="1"/>
  <c r="BR55" i="1"/>
  <c r="BS55" i="1"/>
  <c r="U35" i="1"/>
  <c r="CB34" i="1"/>
  <c r="CA39" i="1"/>
  <c r="CC39" i="1" s="1"/>
  <c r="BD77" i="1"/>
  <c r="AV77" i="1"/>
  <c r="AT77" i="1"/>
  <c r="AL77" i="1"/>
  <c r="CG33" i="1"/>
  <c r="BB77" i="1"/>
  <c r="AN77" i="1"/>
  <c r="BA77" i="1"/>
  <c r="AK77" i="1"/>
  <c r="AS77" i="1"/>
  <c r="S78" i="1"/>
  <c r="AY78" i="1"/>
  <c r="BH32" i="1"/>
  <c r="BI33" i="1" s="1"/>
  <c r="BF33" i="1"/>
  <c r="AX32" i="1"/>
  <c r="AP33" i="1"/>
  <c r="AQ78" i="1"/>
  <c r="AR77" i="1"/>
  <c r="AZ77" i="1"/>
  <c r="AJ77" i="1"/>
  <c r="T35" i="1"/>
  <c r="AA78" i="1"/>
  <c r="AD78" i="1" s="1"/>
  <c r="K78" i="1"/>
  <c r="CP78" i="1"/>
  <c r="CM79" i="1"/>
  <c r="CR79" i="1" s="1"/>
  <c r="C9" i="1"/>
  <c r="C10" i="1" s="1"/>
  <c r="C11" i="1" s="1"/>
  <c r="C12" i="1" s="1"/>
  <c r="C13" i="1" s="1"/>
  <c r="C14" i="1" s="1"/>
  <c r="C15" i="1" s="1"/>
  <c r="C16" i="1" s="1"/>
  <c r="C17" i="1" s="1"/>
  <c r="C18" i="1" s="1"/>
  <c r="C19" i="1" s="1"/>
  <c r="C20" i="1" s="1"/>
  <c r="C21" i="1" s="1"/>
  <c r="C22" i="1" s="1"/>
  <c r="C23" i="1" s="1"/>
  <c r="C24" i="1" s="1"/>
  <c r="BT78" i="1" l="1"/>
  <c r="BU78" i="1"/>
  <c r="CJ35" i="1"/>
  <c r="CL34" i="1"/>
  <c r="CK34" i="1"/>
  <c r="BX78" i="1"/>
  <c r="CI33" i="1"/>
  <c r="BW78" i="1"/>
  <c r="AI79" i="1"/>
  <c r="BV79" i="1"/>
  <c r="CN79" i="1"/>
  <c r="BP78" i="1"/>
  <c r="CD39" i="1"/>
  <c r="CF39" i="1" s="1"/>
  <c r="BO78" i="1"/>
  <c r="CO96" i="1"/>
  <c r="BG95" i="1"/>
  <c r="BD78" i="1"/>
  <c r="BR56" i="1"/>
  <c r="BS56" i="1"/>
  <c r="CA40" i="1"/>
  <c r="CC40" i="1" s="1"/>
  <c r="U36" i="1"/>
  <c r="CB35" i="1"/>
  <c r="AT78" i="1"/>
  <c r="BA78" i="1"/>
  <c r="AV78" i="1"/>
  <c r="BB78" i="1"/>
  <c r="CG34" i="1"/>
  <c r="AN78" i="1"/>
  <c r="AL78" i="1"/>
  <c r="S79" i="1"/>
  <c r="AY79" i="1"/>
  <c r="AK78" i="1"/>
  <c r="AS78" i="1"/>
  <c r="BH33" i="1"/>
  <c r="BI34" i="1" s="1"/>
  <c r="BF34" i="1"/>
  <c r="AR78" i="1"/>
  <c r="AJ78" i="1"/>
  <c r="AP34" i="1"/>
  <c r="AX33" i="1"/>
  <c r="AZ78" i="1"/>
  <c r="AQ79" i="1"/>
  <c r="T36" i="1"/>
  <c r="AA79" i="1"/>
  <c r="AD79" i="1" s="1"/>
  <c r="K79" i="1"/>
  <c r="CP79" i="1"/>
  <c r="CM80" i="1"/>
  <c r="CR80" i="1" s="1"/>
  <c r="D23" i="1"/>
  <c r="D22" i="1" s="1"/>
  <c r="D21" i="1" s="1"/>
  <c r="D20" i="1" s="1"/>
  <c r="D19" i="1" s="1"/>
  <c r="D18" i="1" s="1"/>
  <c r="D17" i="1" s="1"/>
  <c r="D16" i="1" s="1"/>
  <c r="D15" i="1" s="1"/>
  <c r="BT79" i="1" l="1"/>
  <c r="BU79" i="1"/>
  <c r="CJ36" i="1"/>
  <c r="CK35" i="1"/>
  <c r="CL35" i="1"/>
  <c r="CI34" i="1"/>
  <c r="BX79" i="1"/>
  <c r="BW79" i="1"/>
  <c r="AI80" i="1"/>
  <c r="BV80" i="1"/>
  <c r="BP79" i="1"/>
  <c r="CN80" i="1"/>
  <c r="CD40" i="1"/>
  <c r="CF40" i="1" s="1"/>
  <c r="BO79" i="1"/>
  <c r="BD79" i="1"/>
  <c r="CO97" i="1"/>
  <c r="BG96" i="1"/>
  <c r="BR57" i="1"/>
  <c r="BS57" i="1"/>
  <c r="U37" i="1"/>
  <c r="CB36" i="1"/>
  <c r="CA41" i="1"/>
  <c r="CC41" i="1" s="1"/>
  <c r="AT79" i="1"/>
  <c r="BA79" i="1"/>
  <c r="AN79" i="1"/>
  <c r="AV79" i="1"/>
  <c r="CG35" i="1"/>
  <c r="AL79" i="1"/>
  <c r="BB79" i="1"/>
  <c r="AS79" i="1"/>
  <c r="S80" i="1"/>
  <c r="AY80" i="1"/>
  <c r="AK79" i="1"/>
  <c r="BH34" i="1"/>
  <c r="BI35" i="1" s="1"/>
  <c r="AJ79" i="1"/>
  <c r="AR79" i="1"/>
  <c r="BF35" i="1"/>
  <c r="AZ79" i="1"/>
  <c r="AX34" i="1"/>
  <c r="AP35" i="1"/>
  <c r="AQ80" i="1"/>
  <c r="T37" i="1"/>
  <c r="AA80" i="1"/>
  <c r="AD80" i="1" s="1"/>
  <c r="K80" i="1"/>
  <c r="CP80" i="1"/>
  <c r="CM81" i="1"/>
  <c r="D14" i="1"/>
  <c r="D13" i="1" s="1"/>
  <c r="D12" i="1" s="1"/>
  <c r="D11" i="1" s="1"/>
  <c r="D10" i="1" s="1"/>
  <c r="D9" i="1" s="1"/>
  <c r="D8" i="1" s="1"/>
  <c r="F15" i="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J21" i="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H18" i="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BT80" i="1" l="1"/>
  <c r="BU80" i="1"/>
  <c r="CJ37" i="1"/>
  <c r="CL36" i="1"/>
  <c r="CK36" i="1"/>
  <c r="BW80" i="1"/>
  <c r="CI35" i="1"/>
  <c r="BX80" i="1"/>
  <c r="AI81" i="1"/>
  <c r="BV81" i="1"/>
  <c r="CN81" i="1"/>
  <c r="BP80" i="1"/>
  <c r="CR81" i="1"/>
  <c r="CD41" i="1"/>
  <c r="CF41" i="1" s="1"/>
  <c r="BO80" i="1"/>
  <c r="BD80" i="1"/>
  <c r="CO98" i="1"/>
  <c r="BG97" i="1"/>
  <c r="BR58" i="1"/>
  <c r="BS58" i="1"/>
  <c r="CA42" i="1"/>
  <c r="CC42" i="1" s="1"/>
  <c r="U38" i="1"/>
  <c r="CB37" i="1"/>
  <c r="AT80" i="1"/>
  <c r="AN80" i="1"/>
  <c r="AL80" i="1"/>
  <c r="CG36" i="1"/>
  <c r="BB80" i="1"/>
  <c r="AV80" i="1"/>
  <c r="BA80" i="1"/>
  <c r="AK80" i="1"/>
  <c r="AS80" i="1"/>
  <c r="S81" i="1"/>
  <c r="AY81" i="1"/>
  <c r="BT81" i="1" s="1"/>
  <c r="BH35" i="1"/>
  <c r="BI36" i="1" s="1"/>
  <c r="AR80" i="1"/>
  <c r="AZ80" i="1"/>
  <c r="AJ80" i="1"/>
  <c r="BF36" i="1"/>
  <c r="AP36" i="1"/>
  <c r="AX35" i="1"/>
  <c r="AQ81" i="1"/>
  <c r="T38" i="1"/>
  <c r="AA81" i="1"/>
  <c r="AD81" i="1" s="1"/>
  <c r="K81" i="1"/>
  <c r="CP81" i="1"/>
  <c r="CM82" i="1"/>
  <c r="BU81" i="1" l="1"/>
  <c r="CJ38" i="1"/>
  <c r="CL37" i="1"/>
  <c r="CK37" i="1"/>
  <c r="CI36" i="1"/>
  <c r="AT81" i="1"/>
  <c r="BD81" i="1"/>
  <c r="BX81" i="1"/>
  <c r="BW81" i="1"/>
  <c r="CR82" i="1"/>
  <c r="AI82" i="1"/>
  <c r="BV82" i="1"/>
  <c r="CN82" i="1"/>
  <c r="BP81" i="1"/>
  <c r="CD42" i="1"/>
  <c r="CF42" i="1" s="1"/>
  <c r="BO81" i="1"/>
  <c r="CO99" i="1"/>
  <c r="BG98" i="1"/>
  <c r="BR59" i="1"/>
  <c r="BS59" i="1"/>
  <c r="U39" i="1"/>
  <c r="CB38" i="1"/>
  <c r="AN81" i="1"/>
  <c r="CA43" i="1"/>
  <c r="CC43" i="1" s="1"/>
  <c r="BB81" i="1"/>
  <c r="CG37" i="1"/>
  <c r="AV81" i="1"/>
  <c r="AL81" i="1"/>
  <c r="BA81" i="1"/>
  <c r="AK81" i="1"/>
  <c r="S82" i="1"/>
  <c r="AY82" i="1"/>
  <c r="BT82" i="1" s="1"/>
  <c r="AS81" i="1"/>
  <c r="BH36" i="1"/>
  <c r="BI37" i="1" s="1"/>
  <c r="AR81" i="1"/>
  <c r="AZ81" i="1"/>
  <c r="AJ81" i="1"/>
  <c r="BF37" i="1"/>
  <c r="AX36" i="1"/>
  <c r="AP37" i="1"/>
  <c r="AQ82" i="1"/>
  <c r="T39" i="1"/>
  <c r="AA82" i="1"/>
  <c r="AD82" i="1" s="1"/>
  <c r="K82" i="1"/>
  <c r="CP82" i="1"/>
  <c r="CM83" i="1"/>
  <c r="CT24" i="1"/>
  <c r="AT82" i="1" l="1"/>
  <c r="BU82" i="1"/>
  <c r="CJ39" i="1"/>
  <c r="CL38" i="1"/>
  <c r="CK38" i="1"/>
  <c r="CI37" i="1"/>
  <c r="BD82" i="1"/>
  <c r="BX82" i="1"/>
  <c r="BW82" i="1"/>
  <c r="AI83" i="1"/>
  <c r="BV83" i="1"/>
  <c r="CR83" i="1"/>
  <c r="BP82" i="1"/>
  <c r="CN83" i="1"/>
  <c r="CD43" i="1"/>
  <c r="CF43" i="1" s="1"/>
  <c r="CA44" i="1"/>
  <c r="CC44" i="1" s="1"/>
  <c r="BO82" i="1"/>
  <c r="CO100" i="1"/>
  <c r="BG99" i="1"/>
  <c r="AN82" i="1"/>
  <c r="BR60" i="1"/>
  <c r="BS60" i="1"/>
  <c r="U40" i="1"/>
  <c r="CB39" i="1"/>
  <c r="AV82" i="1"/>
  <c r="CG38" i="1"/>
  <c r="AL82" i="1"/>
  <c r="BB82" i="1"/>
  <c r="BA82" i="1"/>
  <c r="AS82" i="1"/>
  <c r="S83" i="1"/>
  <c r="AY83" i="1"/>
  <c r="BD83" i="1" s="1"/>
  <c r="AK82" i="1"/>
  <c r="BH37" i="1"/>
  <c r="BI38" i="1" s="1"/>
  <c r="AR82" i="1"/>
  <c r="AJ82" i="1"/>
  <c r="AZ82" i="1"/>
  <c r="BF38" i="1"/>
  <c r="BE25" i="1"/>
  <c r="BC25" i="1"/>
  <c r="AU25" i="1"/>
  <c r="AO25" i="1"/>
  <c r="AM25" i="1"/>
  <c r="AW25" i="1"/>
  <c r="AP38" i="1"/>
  <c r="AX37" i="1"/>
  <c r="AQ83" i="1"/>
  <c r="AT83" i="1" s="1"/>
  <c r="T40" i="1"/>
  <c r="AA83" i="1"/>
  <c r="AD83" i="1" s="1"/>
  <c r="K83" i="1"/>
  <c r="CP83" i="1"/>
  <c r="CM84" i="1"/>
  <c r="AB25" i="1"/>
  <c r="CH25" i="1" s="1"/>
  <c r="L25" i="1"/>
  <c r="CE25" i="1" s="1"/>
  <c r="BU83" i="1" l="1"/>
  <c r="BT83" i="1"/>
  <c r="CJ40" i="1"/>
  <c r="CL39" i="1"/>
  <c r="CK39" i="1"/>
  <c r="BW83" i="1"/>
  <c r="CI38" i="1"/>
  <c r="BP83" i="1"/>
  <c r="CN84" i="1"/>
  <c r="BX83" i="1"/>
  <c r="AI84" i="1"/>
  <c r="BV84" i="1"/>
  <c r="CR84" i="1"/>
  <c r="CD44" i="1"/>
  <c r="CF44" i="1" s="1"/>
  <c r="M26" i="1"/>
  <c r="BO83" i="1"/>
  <c r="CO101" i="1"/>
  <c r="BG100" i="1"/>
  <c r="AN83" i="1"/>
  <c r="BR61" i="1"/>
  <c r="BS61" i="1"/>
  <c r="U41" i="1"/>
  <c r="CB40" i="1"/>
  <c r="CA45" i="1"/>
  <c r="CC45" i="1" s="1"/>
  <c r="AL83" i="1"/>
  <c r="AV83" i="1"/>
  <c r="AC26" i="1"/>
  <c r="BB83" i="1"/>
  <c r="CG39" i="1"/>
  <c r="BA83" i="1"/>
  <c r="AK83" i="1"/>
  <c r="AS83" i="1"/>
  <c r="S84" i="1"/>
  <c r="AY84" i="1"/>
  <c r="BD84" i="1" s="1"/>
  <c r="BH38" i="1"/>
  <c r="BI39" i="1" s="1"/>
  <c r="AR83" i="1"/>
  <c r="AJ83" i="1"/>
  <c r="AZ83" i="1"/>
  <c r="BF39" i="1"/>
  <c r="AP39" i="1"/>
  <c r="BE26" i="1"/>
  <c r="BC26" i="1"/>
  <c r="AU26" i="1"/>
  <c r="AM26" i="1"/>
  <c r="AO26" i="1"/>
  <c r="AW26" i="1"/>
  <c r="AX38" i="1"/>
  <c r="AQ84" i="1"/>
  <c r="AT84" i="1" s="1"/>
  <c r="T41" i="1"/>
  <c r="AA84" i="1"/>
  <c r="AD84" i="1" s="1"/>
  <c r="AB26" i="1"/>
  <c r="CH26" i="1" s="1"/>
  <c r="K84" i="1"/>
  <c r="CP84" i="1"/>
  <c r="CM85" i="1"/>
  <c r="L26" i="1"/>
  <c r="CE26" i="1" s="1"/>
  <c r="AL84" i="1" l="1"/>
  <c r="BT84" i="1"/>
  <c r="BU84" i="1"/>
  <c r="CJ41" i="1"/>
  <c r="CL40" i="1"/>
  <c r="CK40" i="1"/>
  <c r="CI39" i="1"/>
  <c r="BX84" i="1"/>
  <c r="AI85" i="1"/>
  <c r="BV85" i="1"/>
  <c r="BW84" i="1"/>
  <c r="CN85" i="1"/>
  <c r="BP84" i="1"/>
  <c r="CR85" i="1"/>
  <c r="CD45" i="1"/>
  <c r="CF45" i="1" s="1"/>
  <c r="M27" i="1"/>
  <c r="BO84" i="1"/>
  <c r="CO102" i="1"/>
  <c r="BG101" i="1"/>
  <c r="BR62" i="1"/>
  <c r="BS62" i="1"/>
  <c r="CA46" i="1"/>
  <c r="CC46" i="1" s="1"/>
  <c r="U42" i="1"/>
  <c r="CB41" i="1"/>
  <c r="BA84" i="1"/>
  <c r="AN84" i="1"/>
  <c r="CG40" i="1"/>
  <c r="AC27" i="1"/>
  <c r="BB84" i="1"/>
  <c r="AV84" i="1"/>
  <c r="AS84" i="1"/>
  <c r="S85" i="1"/>
  <c r="AY85" i="1"/>
  <c r="BD85" i="1" s="1"/>
  <c r="AK84" i="1"/>
  <c r="BH39" i="1"/>
  <c r="BI40" i="1" s="1"/>
  <c r="AZ84" i="1"/>
  <c r="AR84" i="1"/>
  <c r="AJ84" i="1"/>
  <c r="BF40" i="1"/>
  <c r="BC27" i="1"/>
  <c r="BE27" i="1"/>
  <c r="AU27" i="1"/>
  <c r="AO27" i="1"/>
  <c r="AM27" i="1"/>
  <c r="AW27" i="1"/>
  <c r="AX39" i="1"/>
  <c r="AP40" i="1"/>
  <c r="AQ85" i="1"/>
  <c r="AT85" i="1" s="1"/>
  <c r="T42" i="1"/>
  <c r="AA85" i="1"/>
  <c r="AD85" i="1" s="1"/>
  <c r="AB27" i="1"/>
  <c r="CH27" i="1" s="1"/>
  <c r="K85" i="1"/>
  <c r="CP85" i="1"/>
  <c r="CM86" i="1"/>
  <c r="L27" i="1"/>
  <c r="CE27" i="1" s="1"/>
  <c r="CU24"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4" i="1"/>
  <c r="CP27" i="1"/>
  <c r="CP26" i="1"/>
  <c r="CP25" i="1"/>
  <c r="BU85" i="1" l="1"/>
  <c r="BT85" i="1"/>
  <c r="CJ42" i="1"/>
  <c r="CL41" i="1"/>
  <c r="CK41" i="1"/>
  <c r="CI40" i="1"/>
  <c r="BX85" i="1"/>
  <c r="AI86" i="1"/>
  <c r="BV86" i="1"/>
  <c r="BW85" i="1"/>
  <c r="BP85" i="1"/>
  <c r="CR86" i="1"/>
  <c r="CN86" i="1"/>
  <c r="CD46" i="1"/>
  <c r="CF46" i="1" s="1"/>
  <c r="M28" i="1"/>
  <c r="BO85" i="1"/>
  <c r="CO103" i="1"/>
  <c r="BG102" i="1"/>
  <c r="BR63" i="1"/>
  <c r="BS63" i="1"/>
  <c r="CA47" i="1"/>
  <c r="CC47" i="1" s="1"/>
  <c r="U43" i="1"/>
  <c r="CB42" i="1"/>
  <c r="AN85" i="1"/>
  <c r="AC28" i="1"/>
  <c r="AV85" i="1"/>
  <c r="BB85" i="1"/>
  <c r="CG41" i="1"/>
  <c r="AL85" i="1"/>
  <c r="BA85" i="1"/>
  <c r="S86" i="1"/>
  <c r="AY86" i="1"/>
  <c r="BD86" i="1" s="1"/>
  <c r="AK85" i="1"/>
  <c r="AS85" i="1"/>
  <c r="BH40" i="1"/>
  <c r="BI41" i="1" s="1"/>
  <c r="AZ85" i="1"/>
  <c r="AR85" i="1"/>
  <c r="AJ85" i="1"/>
  <c r="BF41" i="1"/>
  <c r="AP41" i="1"/>
  <c r="BE28" i="1"/>
  <c r="BC28" i="1"/>
  <c r="AU28" i="1"/>
  <c r="AO28" i="1"/>
  <c r="AM28" i="1"/>
  <c r="AW28" i="1"/>
  <c r="AX40" i="1"/>
  <c r="AQ86" i="1"/>
  <c r="AT86" i="1" s="1"/>
  <c r="T43" i="1"/>
  <c r="AA86" i="1"/>
  <c r="AD86" i="1" s="1"/>
  <c r="AB28" i="1"/>
  <c r="CH28" i="1" s="1"/>
  <c r="K86" i="1"/>
  <c r="CP86" i="1"/>
  <c r="CM87" i="1"/>
  <c r="L28" i="1"/>
  <c r="CE28" i="1" s="1"/>
  <c r="CQ25" i="1"/>
  <c r="CT25" i="1"/>
  <c r="CT26" i="1" s="1"/>
  <c r="CT27" i="1" s="1"/>
  <c r="CT28" i="1" s="1"/>
  <c r="CT29" i="1" s="1"/>
  <c r="CT30" i="1" s="1"/>
  <c r="CT31" i="1" s="1"/>
  <c r="CT32" i="1" s="1"/>
  <c r="CT33" i="1" s="1"/>
  <c r="CT34" i="1" s="1"/>
  <c r="CT35" i="1" s="1"/>
  <c r="CT36" i="1" s="1"/>
  <c r="CT37" i="1" s="1"/>
  <c r="CT38" i="1" s="1"/>
  <c r="CT39" i="1" s="1"/>
  <c r="CT40" i="1" s="1"/>
  <c r="CT41" i="1" s="1"/>
  <c r="CT42" i="1" s="1"/>
  <c r="CT43" i="1" s="1"/>
  <c r="CT44" i="1" s="1"/>
  <c r="CT45" i="1" s="1"/>
  <c r="CT46" i="1" s="1"/>
  <c r="CT47" i="1" s="1"/>
  <c r="CT48" i="1" s="1"/>
  <c r="CT49" i="1" s="1"/>
  <c r="CT50" i="1" s="1"/>
  <c r="CT51" i="1" s="1"/>
  <c r="CT52" i="1" s="1"/>
  <c r="CT53" i="1" s="1"/>
  <c r="CT54" i="1" s="1"/>
  <c r="CT55" i="1" s="1"/>
  <c r="CT56" i="1" s="1"/>
  <c r="CT57" i="1" s="1"/>
  <c r="CT58" i="1" s="1"/>
  <c r="CT59" i="1" s="1"/>
  <c r="CT60" i="1" s="1"/>
  <c r="CT61" i="1" s="1"/>
  <c r="CT62" i="1" s="1"/>
  <c r="CT63" i="1" s="1"/>
  <c r="CT64" i="1" s="1"/>
  <c r="CT65" i="1" s="1"/>
  <c r="CT66" i="1" s="1"/>
  <c r="CT67" i="1" s="1"/>
  <c r="CT68" i="1" s="1"/>
  <c r="CT69" i="1" s="1"/>
  <c r="CT70" i="1" s="1"/>
  <c r="CT71" i="1" s="1"/>
  <c r="CT72" i="1" s="1"/>
  <c r="CT73" i="1" s="1"/>
  <c r="CT74" i="1" s="1"/>
  <c r="CT75" i="1" s="1"/>
  <c r="CT76" i="1" s="1"/>
  <c r="CT77" i="1" s="1"/>
  <c r="CT78" i="1" s="1"/>
  <c r="CT79" i="1" s="1"/>
  <c r="CT80" i="1" s="1"/>
  <c r="CT81" i="1" s="1"/>
  <c r="CT82" i="1" s="1"/>
  <c r="CT83" i="1" s="1"/>
  <c r="CT84" i="1" s="1"/>
  <c r="CT85" i="1" s="1"/>
  <c r="CU25" i="1"/>
  <c r="CU26" i="1" s="1"/>
  <c r="CU27" i="1" s="1"/>
  <c r="CU28" i="1" s="1"/>
  <c r="CU29" i="1" s="1"/>
  <c r="CU30" i="1" s="1"/>
  <c r="CU31" i="1" s="1"/>
  <c r="CU32" i="1" s="1"/>
  <c r="CU33" i="1" s="1"/>
  <c r="CU34" i="1" s="1"/>
  <c r="CU35" i="1" s="1"/>
  <c r="CU36" i="1" s="1"/>
  <c r="CU37" i="1" s="1"/>
  <c r="CU38" i="1" s="1"/>
  <c r="CU39" i="1" s="1"/>
  <c r="CU40" i="1" s="1"/>
  <c r="CU41" i="1" s="1"/>
  <c r="CU42" i="1" s="1"/>
  <c r="CU43" i="1" s="1"/>
  <c r="CU44" i="1" s="1"/>
  <c r="CU45" i="1" s="1"/>
  <c r="CU46" i="1" s="1"/>
  <c r="CU47" i="1" s="1"/>
  <c r="CU48" i="1" s="1"/>
  <c r="CU49" i="1" s="1"/>
  <c r="CU50" i="1" s="1"/>
  <c r="CU51" i="1" s="1"/>
  <c r="CU52" i="1" s="1"/>
  <c r="CU53" i="1" s="1"/>
  <c r="CU54" i="1" s="1"/>
  <c r="CU55" i="1" s="1"/>
  <c r="CU56" i="1" s="1"/>
  <c r="CU57" i="1" s="1"/>
  <c r="CU58" i="1" s="1"/>
  <c r="CU59" i="1" s="1"/>
  <c r="CU60" i="1" s="1"/>
  <c r="CU61" i="1" s="1"/>
  <c r="CU62" i="1" s="1"/>
  <c r="CU63" i="1" s="1"/>
  <c r="CU64" i="1" s="1"/>
  <c r="CU65" i="1" s="1"/>
  <c r="CU66" i="1" s="1"/>
  <c r="CU67" i="1" s="1"/>
  <c r="CU68" i="1" s="1"/>
  <c r="CU69" i="1" s="1"/>
  <c r="CU70" i="1" s="1"/>
  <c r="CU71" i="1" s="1"/>
  <c r="CU72" i="1" s="1"/>
  <c r="CU73" i="1" s="1"/>
  <c r="CU74" i="1" s="1"/>
  <c r="CU75" i="1" s="1"/>
  <c r="CU76" i="1" s="1"/>
  <c r="CU77" i="1" s="1"/>
  <c r="CU78" i="1" s="1"/>
  <c r="CU79" i="1" s="1"/>
  <c r="CU80" i="1" s="1"/>
  <c r="CU81" i="1" s="1"/>
  <c r="CU82" i="1" s="1"/>
  <c r="CU83" i="1" s="1"/>
  <c r="CU84" i="1" s="1"/>
  <c r="CU85" i="1" s="1"/>
  <c r="CS25" i="1"/>
  <c r="CS26" i="1" s="1"/>
  <c r="CS27" i="1" s="1"/>
  <c r="CS28" i="1" s="1"/>
  <c r="CS29" i="1" s="1"/>
  <c r="CS30" i="1" s="1"/>
  <c r="CS31" i="1" s="1"/>
  <c r="CS32" i="1" s="1"/>
  <c r="CS33" i="1" s="1"/>
  <c r="CS34" i="1" s="1"/>
  <c r="CS35" i="1" s="1"/>
  <c r="CS36" i="1" s="1"/>
  <c r="CS37" i="1" s="1"/>
  <c r="CS38" i="1" s="1"/>
  <c r="CS39" i="1" s="1"/>
  <c r="CS40" i="1" s="1"/>
  <c r="CS41" i="1" s="1"/>
  <c r="CS42" i="1" s="1"/>
  <c r="CS43" i="1" s="1"/>
  <c r="CS44" i="1" s="1"/>
  <c r="CS45" i="1" s="1"/>
  <c r="CS46" i="1" s="1"/>
  <c r="CS47" i="1" s="1"/>
  <c r="CS48" i="1" s="1"/>
  <c r="CS49" i="1" s="1"/>
  <c r="CS50" i="1" s="1"/>
  <c r="CS51" i="1" s="1"/>
  <c r="CS52" i="1" s="1"/>
  <c r="CS53" i="1" s="1"/>
  <c r="CS54" i="1" s="1"/>
  <c r="CS55" i="1" s="1"/>
  <c r="CS56" i="1" s="1"/>
  <c r="CS57" i="1" s="1"/>
  <c r="CS58" i="1" s="1"/>
  <c r="CS59" i="1" s="1"/>
  <c r="CS60" i="1" s="1"/>
  <c r="CS61" i="1" s="1"/>
  <c r="CS62" i="1" s="1"/>
  <c r="CS63" i="1" s="1"/>
  <c r="CS64" i="1" s="1"/>
  <c r="CS65" i="1" s="1"/>
  <c r="CS66" i="1" s="1"/>
  <c r="CS67" i="1" s="1"/>
  <c r="CS68" i="1" s="1"/>
  <c r="CS69" i="1" s="1"/>
  <c r="CS70" i="1" s="1"/>
  <c r="CS71" i="1" s="1"/>
  <c r="CS72" i="1" s="1"/>
  <c r="CS73" i="1" s="1"/>
  <c r="CS74" i="1" s="1"/>
  <c r="CS75" i="1" s="1"/>
  <c r="CS76" i="1" s="1"/>
  <c r="CS77" i="1" s="1"/>
  <c r="CS78" i="1" s="1"/>
  <c r="CS79" i="1" s="1"/>
  <c r="CS80" i="1" s="1"/>
  <c r="CS81" i="1" s="1"/>
  <c r="CS82" i="1" s="1"/>
  <c r="CS83" i="1" s="1"/>
  <c r="CS84" i="1" s="1"/>
  <c r="CS85" i="1" s="1"/>
  <c r="CS86" i="1" s="1"/>
  <c r="BT86" i="1" l="1"/>
  <c r="BU86" i="1"/>
  <c r="CJ43" i="1"/>
  <c r="CL42" i="1"/>
  <c r="CK42" i="1"/>
  <c r="BX86" i="1"/>
  <c r="CI41" i="1"/>
  <c r="BP86" i="1"/>
  <c r="CN87" i="1"/>
  <c r="CR87" i="1"/>
  <c r="AI87" i="1"/>
  <c r="BV87" i="1"/>
  <c r="BW86" i="1"/>
  <c r="CD47" i="1"/>
  <c r="CF47" i="1" s="1"/>
  <c r="M29" i="1"/>
  <c r="BO86" i="1"/>
  <c r="AN86" i="1"/>
  <c r="CO104" i="1"/>
  <c r="BG103" i="1"/>
  <c r="BR64" i="1"/>
  <c r="BS64" i="1"/>
  <c r="U44" i="1"/>
  <c r="CB43" i="1"/>
  <c r="CA48" i="1"/>
  <c r="CC48" i="1" s="1"/>
  <c r="AL86" i="1"/>
  <c r="AV86" i="1"/>
  <c r="BB86" i="1"/>
  <c r="AB29" i="1"/>
  <c r="CH29" i="1" s="1"/>
  <c r="CG42" i="1"/>
  <c r="BA86" i="1"/>
  <c r="S87" i="1"/>
  <c r="AY87" i="1"/>
  <c r="BD87" i="1" s="1"/>
  <c r="AK86" i="1"/>
  <c r="AC29" i="1"/>
  <c r="AS86" i="1"/>
  <c r="BH41" i="1"/>
  <c r="BI42" i="1" s="1"/>
  <c r="AZ86" i="1"/>
  <c r="AR86" i="1"/>
  <c r="AJ86" i="1"/>
  <c r="BF42" i="1"/>
  <c r="AX41" i="1"/>
  <c r="BE29" i="1"/>
  <c r="BC29" i="1"/>
  <c r="AU29" i="1"/>
  <c r="AO29" i="1"/>
  <c r="AM29" i="1"/>
  <c r="AW29" i="1"/>
  <c r="AP42" i="1"/>
  <c r="AQ87" i="1"/>
  <c r="AT87" i="1" s="1"/>
  <c r="T44" i="1"/>
  <c r="AA87" i="1"/>
  <c r="AD87" i="1" s="1"/>
  <c r="CT86" i="1"/>
  <c r="K87" i="1"/>
  <c r="CU86" i="1"/>
  <c r="CS87" i="1"/>
  <c r="CP87" i="1"/>
  <c r="CM88" i="1"/>
  <c r="L29" i="1"/>
  <c r="CE29" i="1" s="1"/>
  <c r="CQ26" i="1"/>
  <c r="CQ27" i="1" s="1"/>
  <c r="CQ28" i="1" s="1"/>
  <c r="CQ29" i="1" s="1"/>
  <c r="CQ30" i="1" s="1"/>
  <c r="CQ31" i="1" s="1"/>
  <c r="CQ32" i="1" s="1"/>
  <c r="CQ33" i="1" s="1"/>
  <c r="CQ34" i="1" s="1"/>
  <c r="CQ35" i="1" s="1"/>
  <c r="CQ36" i="1" s="1"/>
  <c r="CQ37" i="1" s="1"/>
  <c r="CQ38" i="1" s="1"/>
  <c r="CQ39" i="1" s="1"/>
  <c r="CQ40" i="1" s="1"/>
  <c r="CQ41" i="1" s="1"/>
  <c r="CQ42" i="1" s="1"/>
  <c r="CQ43" i="1" s="1"/>
  <c r="CQ44" i="1" s="1"/>
  <c r="CQ45" i="1" s="1"/>
  <c r="CQ46" i="1" s="1"/>
  <c r="CQ47" i="1" s="1"/>
  <c r="CQ48" i="1" s="1"/>
  <c r="CQ49" i="1" s="1"/>
  <c r="CQ50" i="1" s="1"/>
  <c r="CQ51" i="1" s="1"/>
  <c r="CQ52" i="1" s="1"/>
  <c r="CQ53" i="1" s="1"/>
  <c r="CQ54" i="1" s="1"/>
  <c r="CQ55" i="1" s="1"/>
  <c r="CQ56" i="1" s="1"/>
  <c r="CQ57" i="1" s="1"/>
  <c r="CQ58" i="1" s="1"/>
  <c r="CQ59" i="1" s="1"/>
  <c r="CQ60" i="1" s="1"/>
  <c r="CQ61" i="1" s="1"/>
  <c r="CQ62" i="1" s="1"/>
  <c r="CQ63" i="1" s="1"/>
  <c r="CQ64" i="1" s="1"/>
  <c r="CQ65" i="1" s="1"/>
  <c r="CQ66" i="1" s="1"/>
  <c r="CQ67" i="1" s="1"/>
  <c r="CQ68" i="1" s="1"/>
  <c r="CQ69" i="1" s="1"/>
  <c r="CQ70" i="1" s="1"/>
  <c r="CQ71" i="1" s="1"/>
  <c r="CQ72" i="1" s="1"/>
  <c r="CQ73" i="1" s="1"/>
  <c r="CQ74" i="1" s="1"/>
  <c r="CQ75" i="1" s="1"/>
  <c r="BU87" i="1" l="1"/>
  <c r="BT87" i="1"/>
  <c r="CJ44" i="1"/>
  <c r="CK43" i="1"/>
  <c r="CL43" i="1"/>
  <c r="CI42" i="1"/>
  <c r="BX87" i="1"/>
  <c r="BW87" i="1"/>
  <c r="AN87" i="1"/>
  <c r="CR88" i="1"/>
  <c r="AI88" i="1"/>
  <c r="BV88" i="1"/>
  <c r="BP87" i="1"/>
  <c r="CN88" i="1"/>
  <c r="CD48" i="1"/>
  <c r="CF48" i="1" s="1"/>
  <c r="M30" i="1"/>
  <c r="BO87" i="1"/>
  <c r="CO105" i="1"/>
  <c r="BG104" i="1"/>
  <c r="BR65" i="1"/>
  <c r="BS65" i="1"/>
  <c r="CA49" i="1"/>
  <c r="CC49" i="1" s="1"/>
  <c r="T45" i="1"/>
  <c r="CB44" i="1"/>
  <c r="AB30" i="1"/>
  <c r="CH30" i="1" s="1"/>
  <c r="AL87" i="1"/>
  <c r="AC30" i="1"/>
  <c r="CG43" i="1"/>
  <c r="BB87" i="1"/>
  <c r="AV87" i="1"/>
  <c r="BA87" i="1"/>
  <c r="S88" i="1"/>
  <c r="AY88" i="1"/>
  <c r="BD88" i="1" s="1"/>
  <c r="AK87" i="1"/>
  <c r="U45" i="1"/>
  <c r="AS87" i="1"/>
  <c r="AZ87" i="1"/>
  <c r="BH42" i="1"/>
  <c r="BI43" i="1" s="1"/>
  <c r="AR87" i="1"/>
  <c r="AJ87" i="1"/>
  <c r="BF43" i="1"/>
  <c r="AP43" i="1"/>
  <c r="BE30" i="1"/>
  <c r="BC30" i="1"/>
  <c r="AU30" i="1"/>
  <c r="AO30" i="1"/>
  <c r="AM30" i="1"/>
  <c r="AW30" i="1"/>
  <c r="AX42" i="1"/>
  <c r="AQ88" i="1"/>
  <c r="AT88" i="1" s="1"/>
  <c r="AA88" i="1"/>
  <c r="AD88" i="1" s="1"/>
  <c r="CQ76" i="1"/>
  <c r="K88" i="1"/>
  <c r="CS88" i="1"/>
  <c r="CU87" i="1"/>
  <c r="CT87" i="1"/>
  <c r="CP88" i="1"/>
  <c r="CM89" i="1"/>
  <c r="L30" i="1"/>
  <c r="CE30" i="1" s="1"/>
  <c r="BU88" i="1" l="1"/>
  <c r="BT88" i="1"/>
  <c r="CJ45" i="1"/>
  <c r="CL44" i="1"/>
  <c r="CK44" i="1"/>
  <c r="BX88" i="1"/>
  <c r="CI43" i="1"/>
  <c r="BW88" i="1"/>
  <c r="AN88" i="1"/>
  <c r="CN89" i="1"/>
  <c r="CR89" i="1"/>
  <c r="BP88" i="1"/>
  <c r="AI89" i="1"/>
  <c r="BV89" i="1"/>
  <c r="CD49" i="1"/>
  <c r="CF49" i="1" s="1"/>
  <c r="M31" i="1"/>
  <c r="BO88" i="1"/>
  <c r="CO106" i="1"/>
  <c r="BG105" i="1"/>
  <c r="BR66" i="1"/>
  <c r="BS66" i="1"/>
  <c r="U46" i="1"/>
  <c r="CA50" i="1"/>
  <c r="CC50" i="1" s="1"/>
  <c r="T46" i="1"/>
  <c r="CB45" i="1"/>
  <c r="AC31" i="1"/>
  <c r="BB88" i="1"/>
  <c r="AL88" i="1"/>
  <c r="AV88" i="1"/>
  <c r="CG44" i="1"/>
  <c r="AB31" i="1"/>
  <c r="CH31" i="1" s="1"/>
  <c r="BA88" i="1"/>
  <c r="S89" i="1"/>
  <c r="AY89" i="1"/>
  <c r="BD89" i="1" s="1"/>
  <c r="AK88" i="1"/>
  <c r="AS88" i="1"/>
  <c r="AZ88" i="1"/>
  <c r="BH43" i="1"/>
  <c r="BI44" i="1" s="1"/>
  <c r="AJ88" i="1"/>
  <c r="AR88" i="1"/>
  <c r="BF44" i="1"/>
  <c r="AX43" i="1"/>
  <c r="AP44" i="1"/>
  <c r="BE31" i="1"/>
  <c r="BC31" i="1"/>
  <c r="AU31" i="1"/>
  <c r="AM31" i="1"/>
  <c r="AO31" i="1"/>
  <c r="AW31" i="1"/>
  <c r="AQ89" i="1"/>
  <c r="AT89" i="1" s="1"/>
  <c r="AA89" i="1"/>
  <c r="AD89" i="1" s="1"/>
  <c r="CQ77" i="1"/>
  <c r="CQ78" i="1" s="1"/>
  <c r="CQ79" i="1" s="1"/>
  <c r="CQ80" i="1" s="1"/>
  <c r="CQ81" i="1" s="1"/>
  <c r="CQ82" i="1" s="1"/>
  <c r="CQ83" i="1" s="1"/>
  <c r="CQ84" i="1" s="1"/>
  <c r="CQ85" i="1" s="1"/>
  <c r="CQ86" i="1" s="1"/>
  <c r="CQ87" i="1" s="1"/>
  <c r="CQ88" i="1" s="1"/>
  <c r="K89" i="1"/>
  <c r="CT88" i="1"/>
  <c r="CU88" i="1"/>
  <c r="CS89" i="1"/>
  <c r="CP89" i="1"/>
  <c r="CM90" i="1"/>
  <c r="L31" i="1"/>
  <c r="CE31" i="1" s="1"/>
  <c r="BT89" i="1" l="1"/>
  <c r="BU89" i="1"/>
  <c r="CJ46" i="1"/>
  <c r="CL45" i="1"/>
  <c r="CK45" i="1"/>
  <c r="AN89" i="1"/>
  <c r="BX89" i="1"/>
  <c r="CI44" i="1"/>
  <c r="CR90" i="1"/>
  <c r="AI90" i="1"/>
  <c r="BV90" i="1"/>
  <c r="BW89" i="1"/>
  <c r="BP89" i="1"/>
  <c r="CN90" i="1"/>
  <c r="CD50" i="1"/>
  <c r="CF50" i="1" s="1"/>
  <c r="M32" i="1"/>
  <c r="BO89" i="1"/>
  <c r="CO107" i="1"/>
  <c r="BG106" i="1"/>
  <c r="BR67" i="1"/>
  <c r="BS67" i="1"/>
  <c r="CA51" i="1"/>
  <c r="CC51" i="1" s="1"/>
  <c r="U47" i="1"/>
  <c r="T47" i="1"/>
  <c r="CB46" i="1"/>
  <c r="AC32" i="1"/>
  <c r="AB32" i="1"/>
  <c r="CH32" i="1" s="1"/>
  <c r="AV89" i="1"/>
  <c r="AL89" i="1"/>
  <c r="CG45" i="1"/>
  <c r="BB89" i="1"/>
  <c r="BA89" i="1"/>
  <c r="AS89" i="1"/>
  <c r="AK89" i="1"/>
  <c r="S90" i="1"/>
  <c r="AY90" i="1"/>
  <c r="BD90" i="1" s="1"/>
  <c r="AZ89" i="1"/>
  <c r="BH44" i="1"/>
  <c r="BI45" i="1" s="1"/>
  <c r="AR89" i="1"/>
  <c r="AJ89" i="1"/>
  <c r="BF45" i="1"/>
  <c r="AX44" i="1"/>
  <c r="AP45" i="1"/>
  <c r="BE32" i="1"/>
  <c r="BC32" i="1"/>
  <c r="AU32" i="1"/>
  <c r="AO32" i="1"/>
  <c r="AM32" i="1"/>
  <c r="AW32" i="1"/>
  <c r="AQ90" i="1"/>
  <c r="AT90" i="1" s="1"/>
  <c r="AA90" i="1"/>
  <c r="AD90" i="1" s="1"/>
  <c r="CQ89" i="1"/>
  <c r="K90" i="1"/>
  <c r="CP90" i="1"/>
  <c r="CM91" i="1"/>
  <c r="CR91" i="1" s="1"/>
  <c r="CS90" i="1"/>
  <c r="CT89" i="1"/>
  <c r="CU89" i="1"/>
  <c r="L32" i="1"/>
  <c r="CE32" i="1" s="1"/>
  <c r="BU90" i="1" l="1"/>
  <c r="BT90" i="1"/>
  <c r="CJ47" i="1"/>
  <c r="CL46" i="1"/>
  <c r="CK46" i="1"/>
  <c r="BX90" i="1"/>
  <c r="AN90" i="1"/>
  <c r="CI45" i="1"/>
  <c r="BW90" i="1"/>
  <c r="BP90" i="1"/>
  <c r="CN91" i="1"/>
  <c r="AI91" i="1"/>
  <c r="BV91" i="1"/>
  <c r="CD51" i="1"/>
  <c r="CF51" i="1" s="1"/>
  <c r="M33" i="1"/>
  <c r="BO90" i="1"/>
  <c r="CO108" i="1"/>
  <c r="BG107" i="1"/>
  <c r="U48" i="1"/>
  <c r="BR68" i="1"/>
  <c r="BS68" i="1"/>
  <c r="CA52" i="1"/>
  <c r="CC52" i="1" s="1"/>
  <c r="T48" i="1"/>
  <c r="CB47" i="1"/>
  <c r="BB90" i="1"/>
  <c r="CG46" i="1"/>
  <c r="AV90" i="1"/>
  <c r="AB33" i="1"/>
  <c r="CH33" i="1" s="1"/>
  <c r="AL90" i="1"/>
  <c r="AC33" i="1"/>
  <c r="BA90" i="1"/>
  <c r="S91" i="1"/>
  <c r="AY91" i="1"/>
  <c r="BD91" i="1" s="1"/>
  <c r="AK90" i="1"/>
  <c r="AS90" i="1"/>
  <c r="AZ90" i="1"/>
  <c r="BH45" i="1"/>
  <c r="BI46" i="1" s="1"/>
  <c r="AR90" i="1"/>
  <c r="AJ90" i="1"/>
  <c r="BF46" i="1"/>
  <c r="AX45" i="1"/>
  <c r="AP46" i="1"/>
  <c r="BE33" i="1"/>
  <c r="BC33" i="1"/>
  <c r="AU33" i="1"/>
  <c r="AO33" i="1"/>
  <c r="AM33" i="1"/>
  <c r="AW33" i="1"/>
  <c r="AQ91" i="1"/>
  <c r="AT91" i="1" s="1"/>
  <c r="AA91" i="1"/>
  <c r="AD91" i="1" s="1"/>
  <c r="CQ90" i="1"/>
  <c r="K91" i="1"/>
  <c r="CT90" i="1"/>
  <c r="CS91" i="1"/>
  <c r="CU90" i="1"/>
  <c r="CP91" i="1"/>
  <c r="CM92" i="1"/>
  <c r="L33" i="1"/>
  <c r="CE33" i="1" s="1"/>
  <c r="BT91" i="1" l="1"/>
  <c r="BU91" i="1"/>
  <c r="CJ48" i="1"/>
  <c r="CL47" i="1"/>
  <c r="CK47" i="1"/>
  <c r="AN91" i="1"/>
  <c r="CI46" i="1"/>
  <c r="CN92" i="1"/>
  <c r="BW91" i="1"/>
  <c r="BX91" i="1"/>
  <c r="AI92" i="1"/>
  <c r="BV92" i="1"/>
  <c r="BP91" i="1"/>
  <c r="CR92" i="1"/>
  <c r="U49" i="1"/>
  <c r="CD52" i="1"/>
  <c r="CF52" i="1" s="1"/>
  <c r="M34" i="1"/>
  <c r="BO91" i="1"/>
  <c r="CO109" i="1"/>
  <c r="BG108" i="1"/>
  <c r="BR69" i="1"/>
  <c r="BS69" i="1"/>
  <c r="CA53" i="1"/>
  <c r="CC53" i="1" s="1"/>
  <c r="T49" i="1"/>
  <c r="CB48" i="1"/>
  <c r="AC34" i="1"/>
  <c r="AL91" i="1"/>
  <c r="AV91" i="1"/>
  <c r="AB34" i="1"/>
  <c r="CH34" i="1" s="1"/>
  <c r="BB91" i="1"/>
  <c r="CG47" i="1"/>
  <c r="BA91" i="1"/>
  <c r="S92" i="1"/>
  <c r="AY92" i="1"/>
  <c r="BD92" i="1" s="1"/>
  <c r="AK91" i="1"/>
  <c r="AS91" i="1"/>
  <c r="AZ91" i="1"/>
  <c r="BH46" i="1"/>
  <c r="BI47" i="1" s="1"/>
  <c r="AR91" i="1"/>
  <c r="AJ91" i="1"/>
  <c r="BF47" i="1"/>
  <c r="BE34" i="1"/>
  <c r="BC34" i="1"/>
  <c r="AU34" i="1"/>
  <c r="AO34" i="1"/>
  <c r="AM34" i="1"/>
  <c r="AW34" i="1"/>
  <c r="AP47" i="1"/>
  <c r="AX46" i="1"/>
  <c r="AQ92" i="1"/>
  <c r="AT92" i="1" s="1"/>
  <c r="AA92" i="1"/>
  <c r="AD92" i="1" s="1"/>
  <c r="CQ91" i="1"/>
  <c r="CU91" i="1"/>
  <c r="CS92" i="1"/>
  <c r="K92" i="1"/>
  <c r="CT91" i="1"/>
  <c r="CP92" i="1"/>
  <c r="CM93" i="1"/>
  <c r="L34" i="1"/>
  <c r="CE34" i="1" s="1"/>
  <c r="BU92" i="1" l="1"/>
  <c r="BT92" i="1"/>
  <c r="BP92" i="1"/>
  <c r="CJ49" i="1"/>
  <c r="CL48" i="1"/>
  <c r="CK48" i="1"/>
  <c r="AN92" i="1"/>
  <c r="CI47" i="1"/>
  <c r="BX92" i="1"/>
  <c r="AI93" i="1"/>
  <c r="BV93" i="1"/>
  <c r="BW92" i="1"/>
  <c r="CR93" i="1"/>
  <c r="CN93" i="1"/>
  <c r="CD53" i="1"/>
  <c r="CF53" i="1" s="1"/>
  <c r="M35" i="1"/>
  <c r="BO92" i="1"/>
  <c r="CO110" i="1"/>
  <c r="BG109" i="1"/>
  <c r="BR70" i="1"/>
  <c r="BS70" i="1"/>
  <c r="CA54" i="1"/>
  <c r="CC54" i="1" s="1"/>
  <c r="T50" i="1"/>
  <c r="CB49" i="1"/>
  <c r="U50" i="1"/>
  <c r="CG48" i="1"/>
  <c r="AV92" i="1"/>
  <c r="AB35" i="1"/>
  <c r="CH35" i="1" s="1"/>
  <c r="BB92" i="1"/>
  <c r="AL92" i="1"/>
  <c r="AC35" i="1"/>
  <c r="AZ92" i="1"/>
  <c r="BA92" i="1"/>
  <c r="S93" i="1"/>
  <c r="AY93" i="1"/>
  <c r="BD93" i="1" s="1"/>
  <c r="AK92" i="1"/>
  <c r="AS92" i="1"/>
  <c r="AR92" i="1"/>
  <c r="BH47" i="1"/>
  <c r="BI48" i="1" s="1"/>
  <c r="AJ92" i="1"/>
  <c r="BF48" i="1"/>
  <c r="AX47" i="1"/>
  <c r="BE35" i="1"/>
  <c r="BC35" i="1"/>
  <c r="AU35" i="1"/>
  <c r="AM35" i="1"/>
  <c r="AO35" i="1"/>
  <c r="AW35" i="1"/>
  <c r="AP48" i="1"/>
  <c r="AQ93" i="1"/>
  <c r="AT93" i="1" s="1"/>
  <c r="AA93" i="1"/>
  <c r="AD93" i="1" s="1"/>
  <c r="CQ92" i="1"/>
  <c r="CS93" i="1"/>
  <c r="K93" i="1"/>
  <c r="CT92" i="1"/>
  <c r="CP93" i="1"/>
  <c r="CM94" i="1"/>
  <c r="CU92" i="1"/>
  <c r="L35" i="1"/>
  <c r="CE35" i="1" s="1"/>
  <c r="BT93" i="1" l="1"/>
  <c r="BU93" i="1"/>
  <c r="CJ50" i="1"/>
  <c r="CL49" i="1"/>
  <c r="CK49" i="1"/>
  <c r="AN93" i="1"/>
  <c r="AC36" i="1"/>
  <c r="BX93" i="1"/>
  <c r="CI48" i="1"/>
  <c r="BW93" i="1"/>
  <c r="BP93" i="1"/>
  <c r="CN94" i="1"/>
  <c r="AI94" i="1"/>
  <c r="BV94" i="1"/>
  <c r="CR94" i="1"/>
  <c r="CD54" i="1"/>
  <c r="CF54" i="1" s="1"/>
  <c r="M36" i="1"/>
  <c r="BO93" i="1"/>
  <c r="CO111" i="1"/>
  <c r="BG110" i="1"/>
  <c r="U51" i="1"/>
  <c r="AZ93" i="1"/>
  <c r="BR71" i="1"/>
  <c r="BS71" i="1"/>
  <c r="CA55" i="1"/>
  <c r="CC55" i="1" s="1"/>
  <c r="T51" i="1"/>
  <c r="CB50" i="1"/>
  <c r="AL93" i="1"/>
  <c r="AV93" i="1"/>
  <c r="BB93" i="1"/>
  <c r="AB36" i="1"/>
  <c r="CG49" i="1"/>
  <c r="BA93" i="1"/>
  <c r="AK93" i="1"/>
  <c r="S94" i="1"/>
  <c r="AY94" i="1"/>
  <c r="AS93" i="1"/>
  <c r="AR93" i="1"/>
  <c r="BH48" i="1"/>
  <c r="BI49" i="1" s="1"/>
  <c r="AJ93" i="1"/>
  <c r="BF49" i="1"/>
  <c r="BE36" i="1"/>
  <c r="BC36" i="1"/>
  <c r="AU36" i="1"/>
  <c r="AO36" i="1"/>
  <c r="AM36" i="1"/>
  <c r="AW36" i="1"/>
  <c r="AX48" i="1"/>
  <c r="AP49" i="1"/>
  <c r="AQ94" i="1"/>
  <c r="AT94" i="1" s="1"/>
  <c r="AA94" i="1"/>
  <c r="AD94" i="1" s="1"/>
  <c r="CQ93" i="1"/>
  <c r="CS94" i="1"/>
  <c r="K94" i="1"/>
  <c r="CT93" i="1"/>
  <c r="CU93" i="1"/>
  <c r="CP94" i="1"/>
  <c r="CM95" i="1"/>
  <c r="L36" i="1"/>
  <c r="CE36" i="1" s="1"/>
  <c r="BU94" i="1" l="1"/>
  <c r="BT94" i="1"/>
  <c r="AN94" i="1"/>
  <c r="CJ51" i="1"/>
  <c r="CL50" i="1"/>
  <c r="CK50" i="1"/>
  <c r="BX94" i="1"/>
  <c r="AC37" i="1"/>
  <c r="CH36" i="1"/>
  <c r="CI49" i="1"/>
  <c r="BW94" i="1"/>
  <c r="BP94" i="1"/>
  <c r="CN95" i="1"/>
  <c r="AI95" i="1"/>
  <c r="BV95" i="1"/>
  <c r="BX95" i="1" s="1"/>
  <c r="CR95" i="1"/>
  <c r="CD55" i="1"/>
  <c r="CF55" i="1" s="1"/>
  <c r="M37" i="1"/>
  <c r="BO94" i="1"/>
  <c r="CO112" i="1"/>
  <c r="BG111" i="1"/>
  <c r="BA94" i="1"/>
  <c r="BR72" i="1"/>
  <c r="BS72" i="1"/>
  <c r="CA56" i="1"/>
  <c r="CC56" i="1" s="1"/>
  <c r="T52" i="1"/>
  <c r="CB51" i="1"/>
  <c r="U52" i="1"/>
  <c r="BB94" i="1"/>
  <c r="BD94" i="1"/>
  <c r="CG50" i="1"/>
  <c r="AV94" i="1"/>
  <c r="AB37" i="1"/>
  <c r="AL94" i="1"/>
  <c r="AZ94" i="1"/>
  <c r="S95" i="1"/>
  <c r="AY95" i="1"/>
  <c r="AK94" i="1"/>
  <c r="AS94" i="1"/>
  <c r="AR94" i="1"/>
  <c r="BH49" i="1"/>
  <c r="BI50" i="1" s="1"/>
  <c r="AJ94" i="1"/>
  <c r="BF50" i="1"/>
  <c r="BE37" i="1"/>
  <c r="BC37" i="1"/>
  <c r="AU37" i="1"/>
  <c r="AM37" i="1"/>
  <c r="AO37" i="1"/>
  <c r="AW37" i="1"/>
  <c r="AP50" i="1"/>
  <c r="AX49" i="1"/>
  <c r="AQ95" i="1"/>
  <c r="AT95" i="1" s="1"/>
  <c r="AA95" i="1"/>
  <c r="AD95" i="1" s="1"/>
  <c r="CQ94" i="1"/>
  <c r="K95" i="1"/>
  <c r="CU94" i="1"/>
  <c r="CT94" i="1"/>
  <c r="CP95" i="1"/>
  <c r="CM96" i="1"/>
  <c r="CS95" i="1"/>
  <c r="L37" i="1"/>
  <c r="CE37" i="1" s="1"/>
  <c r="AN95" i="1" l="1"/>
  <c r="BT95" i="1"/>
  <c r="BU95" i="1"/>
  <c r="CJ52" i="1"/>
  <c r="CK51" i="1"/>
  <c r="CL51" i="1"/>
  <c r="AC38" i="1"/>
  <c r="CH37" i="1"/>
  <c r="CI50" i="1"/>
  <c r="BW95" i="1"/>
  <c r="CR96" i="1"/>
  <c r="CN96" i="1"/>
  <c r="AI96" i="1"/>
  <c r="AN96" i="1" s="1"/>
  <c r="BV96" i="1"/>
  <c r="BX96" i="1" s="1"/>
  <c r="BP95" i="1"/>
  <c r="CD56" i="1"/>
  <c r="CF56" i="1" s="1"/>
  <c r="M38" i="1"/>
  <c r="BO95" i="1"/>
  <c r="U53" i="1"/>
  <c r="CO113" i="1"/>
  <c r="BG112" i="1"/>
  <c r="BR73" i="1"/>
  <c r="BS73" i="1"/>
  <c r="CA57" i="1"/>
  <c r="CC57" i="1" s="1"/>
  <c r="T53" i="1"/>
  <c r="CB52" i="1"/>
  <c r="AZ95" i="1"/>
  <c r="BA95" i="1"/>
  <c r="BB95" i="1"/>
  <c r="AL95" i="1"/>
  <c r="AB38" i="1"/>
  <c r="CG51" i="1"/>
  <c r="AV95" i="1"/>
  <c r="BD95" i="1"/>
  <c r="AR95" i="1"/>
  <c r="S96" i="1"/>
  <c r="AY96" i="1"/>
  <c r="AS95" i="1"/>
  <c r="AK95" i="1"/>
  <c r="BH50" i="1"/>
  <c r="BI51" i="1" s="1"/>
  <c r="AJ95" i="1"/>
  <c r="BF51" i="1"/>
  <c r="AX50" i="1"/>
  <c r="BE38" i="1"/>
  <c r="BC38" i="1"/>
  <c r="AU38" i="1"/>
  <c r="AM38" i="1"/>
  <c r="AO38" i="1"/>
  <c r="AW38" i="1"/>
  <c r="AP51" i="1"/>
  <c r="AQ96" i="1"/>
  <c r="AT96" i="1" s="1"/>
  <c r="AA96" i="1"/>
  <c r="AD96" i="1" s="1"/>
  <c r="CQ95" i="1"/>
  <c r="K96" i="1"/>
  <c r="CT95" i="1"/>
  <c r="CU95" i="1"/>
  <c r="CP96" i="1"/>
  <c r="CM97" i="1"/>
  <c r="CS96" i="1"/>
  <c r="L38" i="1"/>
  <c r="CE38" i="1" s="1"/>
  <c r="BU96" i="1" l="1"/>
  <c r="BT96" i="1"/>
  <c r="CJ53" i="1"/>
  <c r="CL52" i="1"/>
  <c r="CK52" i="1"/>
  <c r="CI51" i="1"/>
  <c r="AC39" i="1"/>
  <c r="CH38" i="1"/>
  <c r="BW96" i="1"/>
  <c r="CN97" i="1"/>
  <c r="AI97" i="1"/>
  <c r="AN97" i="1" s="1"/>
  <c r="BV97" i="1"/>
  <c r="BP96" i="1"/>
  <c r="CR97" i="1"/>
  <c r="CD57" i="1"/>
  <c r="CF57" i="1" s="1"/>
  <c r="M39" i="1"/>
  <c r="BO96" i="1"/>
  <c r="CO114" i="1"/>
  <c r="BG113" i="1"/>
  <c r="AZ96" i="1"/>
  <c r="BR74" i="1"/>
  <c r="BS74" i="1"/>
  <c r="CA58" i="1"/>
  <c r="CC58" i="1" s="1"/>
  <c r="T54" i="1"/>
  <c r="CB53" i="1"/>
  <c r="U54" i="1"/>
  <c r="BA96" i="1"/>
  <c r="BD96" i="1"/>
  <c r="AV96" i="1"/>
  <c r="AB39" i="1"/>
  <c r="AL96" i="1"/>
  <c r="AR96" i="1"/>
  <c r="CG52" i="1"/>
  <c r="BB96" i="1"/>
  <c r="AK96" i="1"/>
  <c r="AS96" i="1"/>
  <c r="S97" i="1"/>
  <c r="BP97" i="1" s="1"/>
  <c r="AY97" i="1"/>
  <c r="BH51" i="1"/>
  <c r="BI52" i="1" s="1"/>
  <c r="AJ96" i="1"/>
  <c r="BF52" i="1"/>
  <c r="BE39" i="1"/>
  <c r="BC39" i="1"/>
  <c r="AU39" i="1"/>
  <c r="AM39" i="1"/>
  <c r="AO39" i="1"/>
  <c r="AW39" i="1"/>
  <c r="AP52" i="1"/>
  <c r="AX51" i="1"/>
  <c r="AQ97" i="1"/>
  <c r="AA97" i="1"/>
  <c r="AD97" i="1" s="1"/>
  <c r="CT96" i="1"/>
  <c r="K97" i="1"/>
  <c r="CU96" i="1"/>
  <c r="CQ96" i="1"/>
  <c r="CP97" i="1"/>
  <c r="CM98" i="1"/>
  <c r="CS97" i="1"/>
  <c r="L39" i="1"/>
  <c r="CE39" i="1" s="1"/>
  <c r="BU97" i="1" l="1"/>
  <c r="BT97" i="1"/>
  <c r="CJ54" i="1"/>
  <c r="CL53" i="1"/>
  <c r="CK53" i="1"/>
  <c r="BX97" i="1"/>
  <c r="AC40" i="1"/>
  <c r="CH39" i="1"/>
  <c r="CI52" i="1"/>
  <c r="BW97" i="1"/>
  <c r="AI98" i="1"/>
  <c r="BV98" i="1"/>
  <c r="CR98" i="1"/>
  <c r="CN98" i="1"/>
  <c r="BA97" i="1"/>
  <c r="CD58" i="1"/>
  <c r="CF58" i="1" s="1"/>
  <c r="M40" i="1"/>
  <c r="BO97" i="1"/>
  <c r="U55" i="1"/>
  <c r="CO115" i="1"/>
  <c r="BG114" i="1"/>
  <c r="BR75" i="1"/>
  <c r="BS75" i="1"/>
  <c r="CA59" i="1"/>
  <c r="CC59" i="1" s="1"/>
  <c r="T55" i="1"/>
  <c r="CB54" i="1"/>
  <c r="AR97" i="1"/>
  <c r="AL97" i="1"/>
  <c r="AZ97" i="1"/>
  <c r="CG53" i="1"/>
  <c r="AB40" i="1"/>
  <c r="CH40" i="1" s="1"/>
  <c r="BB97" i="1"/>
  <c r="BD97" i="1"/>
  <c r="AV97" i="1"/>
  <c r="AT97" i="1"/>
  <c r="AK97" i="1"/>
  <c r="S98" i="1"/>
  <c r="AY98" i="1"/>
  <c r="CM99" i="1"/>
  <c r="AS97" i="1"/>
  <c r="BH52" i="1"/>
  <c r="BI53" i="1" s="1"/>
  <c r="AJ97" i="1"/>
  <c r="BF53" i="1"/>
  <c r="AP53" i="1"/>
  <c r="AX52" i="1"/>
  <c r="BE40" i="1"/>
  <c r="BC40" i="1"/>
  <c r="AU40" i="1"/>
  <c r="AO40" i="1"/>
  <c r="AM40" i="1"/>
  <c r="AW40" i="1"/>
  <c r="AN98" i="1"/>
  <c r="AQ98" i="1"/>
  <c r="AA98" i="1"/>
  <c r="AD98" i="1" s="1"/>
  <c r="CT97" i="1"/>
  <c r="K98" i="1"/>
  <c r="CQ97" i="1"/>
  <c r="CU97" i="1"/>
  <c r="CP98" i="1"/>
  <c r="CS98" i="1"/>
  <c r="L40" i="1"/>
  <c r="CE40" i="1" s="1"/>
  <c r="BT98" i="1" l="1"/>
  <c r="BU98" i="1"/>
  <c r="CJ55" i="1"/>
  <c r="CL54" i="1"/>
  <c r="CK54" i="1"/>
  <c r="BX98" i="1"/>
  <c r="CI53" i="1"/>
  <c r="BP98" i="1"/>
  <c r="CN99" i="1"/>
  <c r="BW98" i="1"/>
  <c r="AI99" i="1"/>
  <c r="BV99" i="1"/>
  <c r="CR99" i="1"/>
  <c r="CD59" i="1"/>
  <c r="CF59" i="1" s="1"/>
  <c r="M41" i="1"/>
  <c r="BO98" i="1"/>
  <c r="BA98" i="1"/>
  <c r="CO116" i="1"/>
  <c r="BG115" i="1"/>
  <c r="BR76" i="1"/>
  <c r="BS76" i="1"/>
  <c r="CA60" i="1"/>
  <c r="CC60" i="1" s="1"/>
  <c r="T56" i="1"/>
  <c r="CB55" i="1"/>
  <c r="U56" i="1"/>
  <c r="CS99" i="1"/>
  <c r="AR98" i="1"/>
  <c r="AV98" i="1"/>
  <c r="BD98" i="1"/>
  <c r="AB41" i="1"/>
  <c r="CH41" i="1" s="1"/>
  <c r="AL98" i="1"/>
  <c r="BB98" i="1"/>
  <c r="AT98" i="1"/>
  <c r="AC41" i="1"/>
  <c r="CG54" i="1"/>
  <c r="AZ98" i="1"/>
  <c r="AY99" i="1"/>
  <c r="CM100" i="1"/>
  <c r="CP99" i="1"/>
  <c r="AQ99" i="1"/>
  <c r="AA99" i="1"/>
  <c r="AD99" i="1" s="1"/>
  <c r="AN99" i="1"/>
  <c r="S99" i="1"/>
  <c r="K99" i="1"/>
  <c r="AK98" i="1"/>
  <c r="AS98" i="1"/>
  <c r="BH53" i="1"/>
  <c r="BI54" i="1" s="1"/>
  <c r="AJ98" i="1"/>
  <c r="BF54" i="1"/>
  <c r="AX53" i="1"/>
  <c r="BE41" i="1"/>
  <c r="BC41" i="1"/>
  <c r="AU41" i="1"/>
  <c r="AO41" i="1"/>
  <c r="AM41" i="1"/>
  <c r="AW41" i="1"/>
  <c r="AP54" i="1"/>
  <c r="CT98" i="1"/>
  <c r="CQ98" i="1"/>
  <c r="CU98" i="1"/>
  <c r="L41" i="1"/>
  <c r="CE41" i="1" s="1"/>
  <c r="BU99" i="1" l="1"/>
  <c r="BT99" i="1"/>
  <c r="BX99" i="1"/>
  <c r="CJ56" i="1"/>
  <c r="CL55" i="1"/>
  <c r="CK55" i="1"/>
  <c r="CI54" i="1"/>
  <c r="CR100" i="1"/>
  <c r="BP99" i="1"/>
  <c r="CN100" i="1"/>
  <c r="AI100" i="1"/>
  <c r="AN100" i="1" s="1"/>
  <c r="BV100" i="1"/>
  <c r="BW99" i="1"/>
  <c r="CD60" i="1"/>
  <c r="CF60" i="1" s="1"/>
  <c r="M42" i="1"/>
  <c r="BO99" i="1"/>
  <c r="CO117" i="1"/>
  <c r="BG116" i="1"/>
  <c r="BR77" i="1"/>
  <c r="BS77" i="1"/>
  <c r="T57" i="1"/>
  <c r="CB56" i="1"/>
  <c r="U57" i="1"/>
  <c r="CA61" i="1"/>
  <c r="CC61" i="1" s="1"/>
  <c r="AR99" i="1"/>
  <c r="BA99" i="1"/>
  <c r="AS99" i="1"/>
  <c r="BB99" i="1"/>
  <c r="AB42" i="1"/>
  <c r="CH42" i="1" s="1"/>
  <c r="CG55" i="1"/>
  <c r="AV99" i="1"/>
  <c r="BD99" i="1"/>
  <c r="AC42" i="1"/>
  <c r="AL99" i="1"/>
  <c r="AT99" i="1"/>
  <c r="CT99" i="1"/>
  <c r="CU99" i="1"/>
  <c r="CS100" i="1"/>
  <c r="AZ99" i="1"/>
  <c r="CQ99" i="1"/>
  <c r="AJ99" i="1"/>
  <c r="AK99" i="1"/>
  <c r="AY100" i="1"/>
  <c r="CM101" i="1"/>
  <c r="S100" i="1"/>
  <c r="CP100" i="1"/>
  <c r="AQ100" i="1"/>
  <c r="AA100" i="1"/>
  <c r="K100" i="1"/>
  <c r="BH54" i="1"/>
  <c r="BI55" i="1" s="1"/>
  <c r="BF55" i="1"/>
  <c r="BE42" i="1"/>
  <c r="BC42" i="1"/>
  <c r="AU42" i="1"/>
  <c r="AO42" i="1"/>
  <c r="AM42" i="1"/>
  <c r="AW42" i="1"/>
  <c r="AX54" i="1"/>
  <c r="AP55" i="1"/>
  <c r="L42" i="1"/>
  <c r="CE42" i="1" s="1"/>
  <c r="CR101" i="1" l="1"/>
  <c r="BX100" i="1"/>
  <c r="BU100" i="1"/>
  <c r="BT100" i="1"/>
  <c r="CJ57" i="1"/>
  <c r="CL56" i="1"/>
  <c r="CK56" i="1"/>
  <c r="CI55" i="1"/>
  <c r="BW100" i="1"/>
  <c r="BP100" i="1"/>
  <c r="AI101" i="1"/>
  <c r="AN101" i="1" s="1"/>
  <c r="BV101" i="1"/>
  <c r="CN101" i="1"/>
  <c r="CD61" i="1"/>
  <c r="CF61" i="1" s="1"/>
  <c r="M43" i="1"/>
  <c r="BO100" i="1"/>
  <c r="CO118" i="1"/>
  <c r="BG117" i="1"/>
  <c r="U58" i="1"/>
  <c r="AX99" i="1"/>
  <c r="BR78" i="1"/>
  <c r="BS78" i="1"/>
  <c r="CA62" i="1"/>
  <c r="CC62" i="1" s="1"/>
  <c r="T58" i="1"/>
  <c r="CB57" i="1"/>
  <c r="AC43" i="1"/>
  <c r="AT100" i="1"/>
  <c r="CU100" i="1"/>
  <c r="BB100" i="1"/>
  <c r="BD100" i="1"/>
  <c r="AV100" i="1"/>
  <c r="AB43" i="1"/>
  <c r="CH43" i="1" s="1"/>
  <c r="AL100" i="1"/>
  <c r="AD100" i="1"/>
  <c r="BF99" i="1"/>
  <c r="CG56" i="1"/>
  <c r="BA100" i="1"/>
  <c r="AR100" i="1"/>
  <c r="AS100" i="1"/>
  <c r="AP99" i="1"/>
  <c r="CT100" i="1"/>
  <c r="AZ100" i="1"/>
  <c r="AK100" i="1"/>
  <c r="CQ100" i="1"/>
  <c r="AY101" i="1"/>
  <c r="CM102" i="1"/>
  <c r="CP101" i="1"/>
  <c r="S101" i="1"/>
  <c r="AQ101" i="1"/>
  <c r="AA101" i="1"/>
  <c r="K101" i="1"/>
  <c r="CS101" i="1"/>
  <c r="AJ100" i="1"/>
  <c r="BH55" i="1"/>
  <c r="BI56" i="1" s="1"/>
  <c r="BF56" i="1"/>
  <c r="BE43" i="1"/>
  <c r="BC43" i="1"/>
  <c r="AU43" i="1"/>
  <c r="AO43" i="1"/>
  <c r="AM43" i="1"/>
  <c r="AW43" i="1"/>
  <c r="AP56" i="1"/>
  <c r="AX55" i="1"/>
  <c r="L43" i="1"/>
  <c r="CE43" i="1" s="1"/>
  <c r="BT101" i="1" l="1"/>
  <c r="BU101" i="1"/>
  <c r="CJ58" i="1"/>
  <c r="CL57" i="1"/>
  <c r="CK57" i="1"/>
  <c r="BX101" i="1"/>
  <c r="CI56" i="1"/>
  <c r="BP101" i="1"/>
  <c r="BW101" i="1"/>
  <c r="AI102" i="1"/>
  <c r="AN102" i="1" s="1"/>
  <c r="BV102" i="1"/>
  <c r="CN102" i="1"/>
  <c r="CR102" i="1"/>
  <c r="CD62" i="1"/>
  <c r="CF62" i="1" s="1"/>
  <c r="M44" i="1"/>
  <c r="BO101" i="1"/>
  <c r="CS102" i="1"/>
  <c r="CO119" i="1"/>
  <c r="BG118" i="1"/>
  <c r="BR79" i="1"/>
  <c r="BS79" i="1"/>
  <c r="CU101" i="1"/>
  <c r="AC44" i="1"/>
  <c r="T59" i="1"/>
  <c r="CB58" i="1"/>
  <c r="CA63" i="1"/>
  <c r="CC63" i="1" s="1"/>
  <c r="U59" i="1"/>
  <c r="AX100" i="1"/>
  <c r="AT101" i="1"/>
  <c r="BB101" i="1"/>
  <c r="BD101" i="1"/>
  <c r="CG57" i="1"/>
  <c r="AD101" i="1"/>
  <c r="AB44" i="1"/>
  <c r="CH44" i="1" s="1"/>
  <c r="AL101" i="1"/>
  <c r="AV101" i="1"/>
  <c r="BF100" i="1"/>
  <c r="AJ101" i="1"/>
  <c r="AP101" i="1" s="1"/>
  <c r="CT101" i="1"/>
  <c r="AK101" i="1"/>
  <c r="AS101" i="1"/>
  <c r="AR101" i="1"/>
  <c r="AP100" i="1"/>
  <c r="CQ101" i="1"/>
  <c r="AZ101" i="1"/>
  <c r="BA101" i="1"/>
  <c r="AY102" i="1"/>
  <c r="CM103" i="1"/>
  <c r="AQ102" i="1"/>
  <c r="AA102" i="1"/>
  <c r="K102" i="1"/>
  <c r="CP102" i="1"/>
  <c r="S102" i="1"/>
  <c r="BH56" i="1"/>
  <c r="BI57" i="1" s="1"/>
  <c r="BF57" i="1"/>
  <c r="AX56" i="1"/>
  <c r="BE44" i="1"/>
  <c r="BC44" i="1"/>
  <c r="AU44" i="1"/>
  <c r="AM44" i="1"/>
  <c r="AO44" i="1"/>
  <c r="AW44" i="1"/>
  <c r="AP57" i="1"/>
  <c r="L44" i="1"/>
  <c r="CE44" i="1" s="1"/>
  <c r="BP102" i="1" l="1"/>
  <c r="BU102" i="1"/>
  <c r="BT102" i="1"/>
  <c r="CJ59" i="1"/>
  <c r="CL58" i="1"/>
  <c r="CK58" i="1"/>
  <c r="BW102" i="1"/>
  <c r="CI57" i="1"/>
  <c r="BX102" i="1"/>
  <c r="CR103" i="1"/>
  <c r="AI103" i="1"/>
  <c r="AN103" i="1" s="1"/>
  <c r="BV103" i="1"/>
  <c r="CN103" i="1"/>
  <c r="CS103" i="1"/>
  <c r="CD63" i="1"/>
  <c r="CF63" i="1" s="1"/>
  <c r="M45" i="1"/>
  <c r="BO102" i="1"/>
  <c r="CO120" i="1"/>
  <c r="BG119" i="1"/>
  <c r="AC45" i="1"/>
  <c r="BB102" i="1"/>
  <c r="U60" i="1"/>
  <c r="BR80" i="1"/>
  <c r="BS80" i="1"/>
  <c r="T60" i="1"/>
  <c r="CB59" i="1"/>
  <c r="CA64" i="1"/>
  <c r="CC64" i="1" s="1"/>
  <c r="AT102" i="1"/>
  <c r="CT102" i="1"/>
  <c r="BF101" i="1"/>
  <c r="CG58" i="1"/>
  <c r="AV102" i="1"/>
  <c r="AB45" i="1"/>
  <c r="CH45" i="1" s="1"/>
  <c r="AL102" i="1"/>
  <c r="AD102" i="1"/>
  <c r="BD102" i="1"/>
  <c r="AS102" i="1"/>
  <c r="CQ102" i="1"/>
  <c r="AZ102" i="1"/>
  <c r="AR102" i="1"/>
  <c r="CU102" i="1"/>
  <c r="AX101" i="1"/>
  <c r="AJ102" i="1"/>
  <c r="AP102" i="1" s="1"/>
  <c r="AY103" i="1"/>
  <c r="CM104" i="1"/>
  <c r="CP103" i="1"/>
  <c r="AQ103" i="1"/>
  <c r="AA103" i="1"/>
  <c r="S103" i="1"/>
  <c r="K103" i="1"/>
  <c r="BA102" i="1"/>
  <c r="AK102" i="1"/>
  <c r="BH57" i="1"/>
  <c r="BI58" i="1" s="1"/>
  <c r="BF58" i="1"/>
  <c r="AP58" i="1"/>
  <c r="AX57" i="1"/>
  <c r="BE45" i="1"/>
  <c r="BC45" i="1"/>
  <c r="AU45" i="1"/>
  <c r="AM45" i="1"/>
  <c r="AO45" i="1"/>
  <c r="AW45" i="1"/>
  <c r="L45" i="1"/>
  <c r="CE45" i="1" s="1"/>
  <c r="BT103" i="1" l="1"/>
  <c r="BU103" i="1"/>
  <c r="CJ60" i="1"/>
  <c r="CK59" i="1"/>
  <c r="CL59" i="1"/>
  <c r="CI58" i="1"/>
  <c r="BX103" i="1"/>
  <c r="AI104" i="1"/>
  <c r="AN104" i="1" s="1"/>
  <c r="BV104" i="1"/>
  <c r="CR104" i="1"/>
  <c r="BP103" i="1"/>
  <c r="CN104" i="1"/>
  <c r="BW103" i="1"/>
  <c r="BW104" i="1" s="1"/>
  <c r="CD64" i="1"/>
  <c r="CF64" i="1" s="1"/>
  <c r="M46" i="1"/>
  <c r="BO103" i="1"/>
  <c r="BB103" i="1"/>
  <c r="CO121" i="1"/>
  <c r="BG120" i="1"/>
  <c r="U61" i="1"/>
  <c r="AC46" i="1"/>
  <c r="BR81" i="1"/>
  <c r="BS81" i="1"/>
  <c r="AT103" i="1"/>
  <c r="CA65" i="1"/>
  <c r="CC65" i="1" s="1"/>
  <c r="T61" i="1"/>
  <c r="CB60" i="1"/>
  <c r="CQ103" i="1"/>
  <c r="AK103" i="1"/>
  <c r="AD103" i="1"/>
  <c r="AV103" i="1"/>
  <c r="BF102" i="1"/>
  <c r="AL103" i="1"/>
  <c r="BD103" i="1"/>
  <c r="AB46" i="1"/>
  <c r="CH46" i="1" s="1"/>
  <c r="CG59" i="1"/>
  <c r="BA103" i="1"/>
  <c r="AS103" i="1"/>
  <c r="AY104" i="1"/>
  <c r="CM105" i="1"/>
  <c r="S104" i="1"/>
  <c r="AQ104" i="1"/>
  <c r="AA104" i="1"/>
  <c r="CP104" i="1"/>
  <c r="K104" i="1"/>
  <c r="CS104" i="1"/>
  <c r="CU103" i="1"/>
  <c r="AR103" i="1"/>
  <c r="CT103" i="1"/>
  <c r="AZ103" i="1"/>
  <c r="AX102" i="1"/>
  <c r="AJ103" i="1"/>
  <c r="BH58" i="1"/>
  <c r="BI59" i="1" s="1"/>
  <c r="BF59" i="1"/>
  <c r="BE46" i="1"/>
  <c r="BC46" i="1"/>
  <c r="AU46" i="1"/>
  <c r="AM46" i="1"/>
  <c r="AO46" i="1"/>
  <c r="AW46" i="1"/>
  <c r="AX58" i="1"/>
  <c r="AP59" i="1"/>
  <c r="L46" i="1"/>
  <c r="CE46" i="1" s="1"/>
  <c r="BU104" i="1" l="1"/>
  <c r="BT104" i="1"/>
  <c r="CJ61" i="1"/>
  <c r="CL60" i="1"/>
  <c r="CK60" i="1"/>
  <c r="CI59" i="1"/>
  <c r="CR105" i="1"/>
  <c r="BB104" i="1"/>
  <c r="AI105" i="1"/>
  <c r="BV105" i="1"/>
  <c r="BP104" i="1"/>
  <c r="CN105" i="1"/>
  <c r="BX104" i="1"/>
  <c r="BW105" i="1"/>
  <c r="CD65" i="1"/>
  <c r="CF65" i="1" s="1"/>
  <c r="M47" i="1"/>
  <c r="AD104" i="1"/>
  <c r="BO104" i="1"/>
  <c r="AT104" i="1"/>
  <c r="CO122" i="1"/>
  <c r="BG121" i="1"/>
  <c r="CS105" i="1"/>
  <c r="BR82" i="1"/>
  <c r="BS82" i="1"/>
  <c r="T62" i="1"/>
  <c r="CB61" i="1"/>
  <c r="U62" i="1"/>
  <c r="CA66" i="1"/>
  <c r="CC66" i="1" s="1"/>
  <c r="CQ104" i="1"/>
  <c r="AV104" i="1"/>
  <c r="BF103" i="1"/>
  <c r="AR104" i="1"/>
  <c r="AB47" i="1"/>
  <c r="CH47" i="1" s="1"/>
  <c r="AC47" i="1"/>
  <c r="CG60" i="1"/>
  <c r="BD104" i="1"/>
  <c r="AL104" i="1"/>
  <c r="AZ104" i="1"/>
  <c r="AJ104" i="1"/>
  <c r="AP104" i="1" s="1"/>
  <c r="CT104" i="1"/>
  <c r="CU104" i="1"/>
  <c r="AP103" i="1"/>
  <c r="AX103" i="1"/>
  <c r="BA104" i="1"/>
  <c r="AK104" i="1"/>
  <c r="AY105" i="1"/>
  <c r="CM106" i="1"/>
  <c r="CP105" i="1"/>
  <c r="AN105" i="1"/>
  <c r="S105" i="1"/>
  <c r="AQ105" i="1"/>
  <c r="AA105" i="1"/>
  <c r="K105" i="1"/>
  <c r="AS104" i="1"/>
  <c r="BH59" i="1"/>
  <c r="BI60" i="1" s="1"/>
  <c r="BF60" i="1"/>
  <c r="AX59" i="1"/>
  <c r="AP60" i="1"/>
  <c r="BE47" i="1"/>
  <c r="BC47" i="1"/>
  <c r="AU47" i="1"/>
  <c r="AO47" i="1"/>
  <c r="AM47" i="1"/>
  <c r="AW47" i="1"/>
  <c r="L47" i="1"/>
  <c r="CE47" i="1" s="1"/>
  <c r="BT105" i="1" l="1"/>
  <c r="BU105" i="1"/>
  <c r="CJ62" i="1"/>
  <c r="CL61" i="1"/>
  <c r="CK61" i="1"/>
  <c r="CI60" i="1"/>
  <c r="BX105" i="1"/>
  <c r="CN106" i="1"/>
  <c r="BP105" i="1"/>
  <c r="AI106" i="1"/>
  <c r="AN106" i="1" s="1"/>
  <c r="BV106" i="1"/>
  <c r="BW106" i="1" s="1"/>
  <c r="CR106" i="1"/>
  <c r="CS106" i="1"/>
  <c r="CD66" i="1"/>
  <c r="CF66" i="1" s="1"/>
  <c r="M48" i="1"/>
  <c r="BO105" i="1"/>
  <c r="CO123" i="1"/>
  <c r="BG122" i="1"/>
  <c r="AR105" i="1"/>
  <c r="U63" i="1"/>
  <c r="BR83" i="1"/>
  <c r="BS83" i="1"/>
  <c r="AC48" i="1"/>
  <c r="CA67" i="1"/>
  <c r="CC67" i="1" s="1"/>
  <c r="T63" i="1"/>
  <c r="CB62" i="1"/>
  <c r="BF104" i="1"/>
  <c r="AZ105" i="1"/>
  <c r="BD105" i="1"/>
  <c r="AB48" i="1"/>
  <c r="CH48" i="1" s="1"/>
  <c r="BB105" i="1"/>
  <c r="CG61" i="1"/>
  <c r="AT105" i="1"/>
  <c r="AL105" i="1"/>
  <c r="AV105" i="1"/>
  <c r="AD105" i="1"/>
  <c r="AS105" i="1"/>
  <c r="CU105" i="1"/>
  <c r="BA105" i="1"/>
  <c r="CQ105" i="1"/>
  <c r="AJ105" i="1"/>
  <c r="CT105" i="1"/>
  <c r="AX104" i="1"/>
  <c r="AY106" i="1"/>
  <c r="CM107" i="1"/>
  <c r="CP106" i="1"/>
  <c r="AQ106" i="1"/>
  <c r="AA106" i="1"/>
  <c r="K106" i="1"/>
  <c r="S106" i="1"/>
  <c r="AK105" i="1"/>
  <c r="BH60" i="1"/>
  <c r="BI61" i="1" s="1"/>
  <c r="BF61" i="1"/>
  <c r="BE48" i="1"/>
  <c r="BC48" i="1"/>
  <c r="AU48" i="1"/>
  <c r="AM48" i="1"/>
  <c r="AO48" i="1"/>
  <c r="AW48" i="1"/>
  <c r="AP61" i="1"/>
  <c r="AX60" i="1"/>
  <c r="L48" i="1"/>
  <c r="CE48" i="1" s="1"/>
  <c r="BU106" i="1" l="1"/>
  <c r="BT106" i="1"/>
  <c r="CJ63" i="1"/>
  <c r="CL62" i="1"/>
  <c r="CK62" i="1"/>
  <c r="BX106" i="1"/>
  <c r="CI61" i="1"/>
  <c r="BP106" i="1"/>
  <c r="CR107" i="1"/>
  <c r="AI107" i="1"/>
  <c r="AN107" i="1" s="1"/>
  <c r="BV107" i="1"/>
  <c r="CN107" i="1"/>
  <c r="CD67" i="1"/>
  <c r="CF67" i="1" s="1"/>
  <c r="M49" i="1"/>
  <c r="BO106" i="1"/>
  <c r="CO124" i="1"/>
  <c r="BG123" i="1"/>
  <c r="AZ106" i="1"/>
  <c r="AC49" i="1"/>
  <c r="BR84" i="1"/>
  <c r="BS84" i="1"/>
  <c r="T64" i="1"/>
  <c r="CB63" i="1"/>
  <c r="CA68" i="1"/>
  <c r="CC68" i="1" s="1"/>
  <c r="U64" i="1"/>
  <c r="BF105" i="1"/>
  <c r="CU106" i="1"/>
  <c r="BB106" i="1"/>
  <c r="BD106" i="1"/>
  <c r="AV106" i="1"/>
  <c r="AT106" i="1"/>
  <c r="AL106" i="1"/>
  <c r="AB49" i="1"/>
  <c r="CH49" i="1" s="1"/>
  <c r="AD106" i="1"/>
  <c r="CG62" i="1"/>
  <c r="AK106" i="1"/>
  <c r="AS106" i="1"/>
  <c r="AY107" i="1"/>
  <c r="CM108" i="1"/>
  <c r="CP107" i="1"/>
  <c r="AQ107" i="1"/>
  <c r="AA107" i="1"/>
  <c r="S107" i="1"/>
  <c r="K107" i="1"/>
  <c r="AR106" i="1"/>
  <c r="AX105" i="1"/>
  <c r="AJ106" i="1"/>
  <c r="BA106" i="1"/>
  <c r="AP105" i="1"/>
  <c r="CS107" i="1"/>
  <c r="CT106" i="1"/>
  <c r="CQ106" i="1"/>
  <c r="BH61" i="1"/>
  <c r="BI62" i="1" s="1"/>
  <c r="BF62" i="1"/>
  <c r="BE49" i="1"/>
  <c r="BC49" i="1"/>
  <c r="AU49" i="1"/>
  <c r="AM49" i="1"/>
  <c r="AO49" i="1"/>
  <c r="AW49" i="1"/>
  <c r="AP62" i="1"/>
  <c r="AX61" i="1"/>
  <c r="L49" i="1"/>
  <c r="CE49" i="1" s="1"/>
  <c r="BT107" i="1" l="1"/>
  <c r="BU107" i="1"/>
  <c r="CJ64" i="1"/>
  <c r="CL63" i="1"/>
  <c r="CK63" i="1"/>
  <c r="BX107" i="1"/>
  <c r="CI62" i="1"/>
  <c r="BW107" i="1"/>
  <c r="CT107" i="1"/>
  <c r="BF106" i="1"/>
  <c r="AI108" i="1"/>
  <c r="BV108" i="1"/>
  <c r="CN108" i="1"/>
  <c r="CR108" i="1"/>
  <c r="BP107" i="1"/>
  <c r="BW108" i="1"/>
  <c r="CD68" i="1"/>
  <c r="CF68" i="1" s="1"/>
  <c r="M50" i="1"/>
  <c r="BO107" i="1"/>
  <c r="AZ107" i="1"/>
  <c r="BA107" i="1"/>
  <c r="CO125" i="1"/>
  <c r="BG124" i="1"/>
  <c r="AC50" i="1"/>
  <c r="U65" i="1"/>
  <c r="BR85" i="1"/>
  <c r="BS85" i="1"/>
  <c r="CA69" i="1"/>
  <c r="CC69" i="1" s="1"/>
  <c r="T65" i="1"/>
  <c r="CB64" i="1"/>
  <c r="CU107" i="1"/>
  <c r="AV107" i="1"/>
  <c r="AT107" i="1"/>
  <c r="AD107" i="1"/>
  <c r="AL107" i="1"/>
  <c r="AB50" i="1"/>
  <c r="CH50" i="1" s="1"/>
  <c r="BB107" i="1"/>
  <c r="CG63" i="1"/>
  <c r="BD107" i="1"/>
  <c r="AJ107" i="1"/>
  <c r="AP107" i="1" s="1"/>
  <c r="AR107" i="1"/>
  <c r="CS108" i="1"/>
  <c r="CQ107" i="1"/>
  <c r="AK107" i="1"/>
  <c r="AX106" i="1"/>
  <c r="AP106" i="1"/>
  <c r="AY108" i="1"/>
  <c r="AN108" i="1"/>
  <c r="S108" i="1"/>
  <c r="CP108" i="1"/>
  <c r="CM109" i="1"/>
  <c r="AQ108" i="1"/>
  <c r="AA108" i="1"/>
  <c r="K108" i="1"/>
  <c r="AS107" i="1"/>
  <c r="BH62" i="1"/>
  <c r="BI63" i="1" s="1"/>
  <c r="BF63" i="1"/>
  <c r="AX62" i="1"/>
  <c r="BE50" i="1"/>
  <c r="BC50" i="1"/>
  <c r="AU50" i="1"/>
  <c r="AM50" i="1"/>
  <c r="AO50" i="1"/>
  <c r="AW50" i="1"/>
  <c r="AP63" i="1"/>
  <c r="L50" i="1"/>
  <c r="CE50" i="1" s="1"/>
  <c r="BU108" i="1" l="1"/>
  <c r="BT108" i="1"/>
  <c r="BX108" i="1"/>
  <c r="CJ65" i="1"/>
  <c r="CL64" i="1"/>
  <c r="CK64" i="1"/>
  <c r="BF107" i="1"/>
  <c r="CI63" i="1"/>
  <c r="AV108" i="1"/>
  <c r="CN109" i="1"/>
  <c r="AI109" i="1"/>
  <c r="BV109" i="1"/>
  <c r="BX109" i="1" s="1"/>
  <c r="BP108" i="1"/>
  <c r="BQ8" i="1" s="1"/>
  <c r="CR109" i="1"/>
  <c r="CD69" i="1"/>
  <c r="CF69" i="1" s="1"/>
  <c r="M51" i="1"/>
  <c r="BO108" i="1"/>
  <c r="CO126" i="1"/>
  <c r="BG125" i="1"/>
  <c r="AC51" i="1"/>
  <c r="U66" i="1"/>
  <c r="BR86" i="1"/>
  <c r="BS86" i="1"/>
  <c r="CU108" i="1"/>
  <c r="CA70" i="1"/>
  <c r="CC70" i="1" s="1"/>
  <c r="T66" i="1"/>
  <c r="CB65" i="1"/>
  <c r="AT108" i="1"/>
  <c r="CG64" i="1"/>
  <c r="AL108" i="1"/>
  <c r="BB108" i="1"/>
  <c r="AD108" i="1"/>
  <c r="AB51" i="1"/>
  <c r="CH51" i="1" s="1"/>
  <c r="CS109" i="1"/>
  <c r="BD108" i="1"/>
  <c r="AR108" i="1"/>
  <c r="AK108" i="1"/>
  <c r="BA108" i="1"/>
  <c r="AJ108" i="1"/>
  <c r="AZ108" i="1"/>
  <c r="CQ108" i="1"/>
  <c r="CT108" i="1"/>
  <c r="AS108" i="1"/>
  <c r="AY109" i="1"/>
  <c r="CM110" i="1"/>
  <c r="CP109" i="1"/>
  <c r="AN109" i="1"/>
  <c r="S109" i="1"/>
  <c r="AQ109" i="1"/>
  <c r="AV109" i="1" s="1"/>
  <c r="AA109" i="1"/>
  <c r="K109" i="1"/>
  <c r="AX107" i="1"/>
  <c r="BH63" i="1"/>
  <c r="BI64" i="1" s="1"/>
  <c r="BF64" i="1"/>
  <c r="AX63" i="1"/>
  <c r="AP64" i="1"/>
  <c r="BE51" i="1"/>
  <c r="BC51" i="1"/>
  <c r="AU51" i="1"/>
  <c r="AO51" i="1"/>
  <c r="AM51" i="1"/>
  <c r="AW51" i="1"/>
  <c r="L51" i="1"/>
  <c r="CE51" i="1" s="1"/>
  <c r="BT109" i="1" l="1"/>
  <c r="BU109" i="1"/>
  <c r="CJ66" i="1"/>
  <c r="CL65" i="1"/>
  <c r="CK65" i="1"/>
  <c r="CI64" i="1"/>
  <c r="BW109" i="1"/>
  <c r="BP109" i="1"/>
  <c r="BQ9" i="1" s="1"/>
  <c r="CR110" i="1"/>
  <c r="AI110" i="1"/>
  <c r="AN110" i="1" s="1"/>
  <c r="BV110" i="1"/>
  <c r="CN110" i="1"/>
  <c r="CD70" i="1"/>
  <c r="CF70" i="1" s="1"/>
  <c r="M52" i="1"/>
  <c r="BO109" i="1"/>
  <c r="CO127" i="1"/>
  <c r="BG126" i="1"/>
  <c r="CU109" i="1"/>
  <c r="BR87" i="1"/>
  <c r="BS87" i="1"/>
  <c r="T67" i="1"/>
  <c r="CB66" i="1"/>
  <c r="CA71" i="1"/>
  <c r="CC71" i="1" s="1"/>
  <c r="U67" i="1"/>
  <c r="CS110" i="1"/>
  <c r="AL109" i="1"/>
  <c r="BD109" i="1"/>
  <c r="AT109" i="1"/>
  <c r="BF108" i="1"/>
  <c r="AB52" i="1"/>
  <c r="CH52" i="1" s="1"/>
  <c r="AD109" i="1"/>
  <c r="CG65" i="1"/>
  <c r="BB109" i="1"/>
  <c r="AC52" i="1"/>
  <c r="AR109" i="1"/>
  <c r="BA109" i="1"/>
  <c r="AZ109" i="1"/>
  <c r="AX108" i="1"/>
  <c r="AS109" i="1"/>
  <c r="AJ109" i="1"/>
  <c r="CT109" i="1"/>
  <c r="AY110" i="1"/>
  <c r="CM111" i="1"/>
  <c r="AQ110" i="1"/>
  <c r="AA110" i="1"/>
  <c r="K110" i="1"/>
  <c r="S110" i="1"/>
  <c r="CP110" i="1"/>
  <c r="CQ109" i="1"/>
  <c r="AK109" i="1"/>
  <c r="AP108" i="1"/>
  <c r="BH64" i="1"/>
  <c r="BI65" i="1" s="1"/>
  <c r="BF65" i="1"/>
  <c r="BE52" i="1"/>
  <c r="BC52" i="1"/>
  <c r="AU52" i="1"/>
  <c r="AO52" i="1"/>
  <c r="AM52" i="1"/>
  <c r="AW52" i="1"/>
  <c r="AP65" i="1"/>
  <c r="AX64" i="1"/>
  <c r="L52" i="1"/>
  <c r="CE52" i="1" s="1"/>
  <c r="BX110" i="1" l="1"/>
  <c r="BP110" i="1"/>
  <c r="BU110" i="1"/>
  <c r="BT110" i="1"/>
  <c r="CJ67" i="1"/>
  <c r="CL66" i="1"/>
  <c r="CK66" i="1"/>
  <c r="U68" i="1"/>
  <c r="BW110" i="1"/>
  <c r="CI65" i="1"/>
  <c r="AI111" i="1"/>
  <c r="AN111" i="1" s="1"/>
  <c r="BV111" i="1"/>
  <c r="CN111" i="1"/>
  <c r="CR111" i="1"/>
  <c r="CD71" i="1"/>
  <c r="CF71" i="1" s="1"/>
  <c r="M53" i="1"/>
  <c r="BO110" i="1"/>
  <c r="CU110" i="1"/>
  <c r="CO128" i="1"/>
  <c r="BG127" i="1"/>
  <c r="BD110" i="1"/>
  <c r="BR88" i="1"/>
  <c r="BS88" i="1"/>
  <c r="CA72" i="1"/>
  <c r="CC72" i="1" s="1"/>
  <c r="AC53" i="1"/>
  <c r="T68" i="1"/>
  <c r="CB67" i="1"/>
  <c r="BF109" i="1"/>
  <c r="AT110" i="1"/>
  <c r="AL110" i="1"/>
  <c r="CG66" i="1"/>
  <c r="AB53" i="1"/>
  <c r="CH53" i="1" s="1"/>
  <c r="AR110" i="1"/>
  <c r="BB110" i="1"/>
  <c r="AD110" i="1"/>
  <c r="AV110" i="1"/>
  <c r="BA110" i="1"/>
  <c r="AK110" i="1"/>
  <c r="AY111" i="1"/>
  <c r="CM112" i="1"/>
  <c r="CP111" i="1"/>
  <c r="AQ111" i="1"/>
  <c r="AA111" i="1"/>
  <c r="S111" i="1"/>
  <c r="K111" i="1"/>
  <c r="AS110" i="1"/>
  <c r="CQ110" i="1"/>
  <c r="CT110" i="1"/>
  <c r="AZ110" i="1"/>
  <c r="CS111" i="1"/>
  <c r="AJ110" i="1"/>
  <c r="AX109" i="1"/>
  <c r="AP109" i="1"/>
  <c r="BH65" i="1"/>
  <c r="BI66" i="1" s="1"/>
  <c r="BF66" i="1"/>
  <c r="AP66" i="1"/>
  <c r="BE53" i="1"/>
  <c r="BC53" i="1"/>
  <c r="AU53" i="1"/>
  <c r="AO53" i="1"/>
  <c r="AM53" i="1"/>
  <c r="AW53" i="1"/>
  <c r="AX65" i="1"/>
  <c r="L53" i="1"/>
  <c r="CE53" i="1" s="1"/>
  <c r="BT111" i="1" l="1"/>
  <c r="BU111" i="1"/>
  <c r="CJ68" i="1"/>
  <c r="CK67" i="1"/>
  <c r="CL67" i="1"/>
  <c r="BX111" i="1"/>
  <c r="CI66" i="1"/>
  <c r="BW111" i="1"/>
  <c r="BP111" i="1"/>
  <c r="AI112" i="1"/>
  <c r="AN112" i="1" s="1"/>
  <c r="BV112" i="1"/>
  <c r="CR112" i="1"/>
  <c r="BD111" i="1"/>
  <c r="CN112" i="1"/>
  <c r="BF110" i="1"/>
  <c r="CQ111" i="1"/>
  <c r="CD72" i="1"/>
  <c r="CF72" i="1" s="1"/>
  <c r="M54" i="1"/>
  <c r="CU111" i="1"/>
  <c r="BO111" i="1"/>
  <c r="CO129" i="1"/>
  <c r="BG128" i="1"/>
  <c r="AC54" i="1"/>
  <c r="BR89" i="1"/>
  <c r="BS89" i="1"/>
  <c r="T69" i="1"/>
  <c r="CB68" i="1"/>
  <c r="CA73" i="1"/>
  <c r="CC73" i="1" s="1"/>
  <c r="U69" i="1"/>
  <c r="AR111" i="1"/>
  <c r="BB111" i="1"/>
  <c r="CG67" i="1"/>
  <c r="AT111" i="1"/>
  <c r="AV111" i="1"/>
  <c r="AD111" i="1"/>
  <c r="AB54" i="1"/>
  <c r="CH54" i="1" s="1"/>
  <c r="AL111" i="1"/>
  <c r="BQ10" i="1"/>
  <c r="CT111" i="1"/>
  <c r="CS112" i="1"/>
  <c r="AJ111" i="1"/>
  <c r="AP111" i="1" s="1"/>
  <c r="AZ111" i="1"/>
  <c r="AS111" i="1"/>
  <c r="AX110" i="1"/>
  <c r="BA111" i="1"/>
  <c r="AY112" i="1"/>
  <c r="AZ112" i="1" s="1"/>
  <c r="S112" i="1"/>
  <c r="CP112" i="1"/>
  <c r="AQ112" i="1"/>
  <c r="AA112" i="1"/>
  <c r="CM113" i="1"/>
  <c r="K112" i="1"/>
  <c r="AP110" i="1"/>
  <c r="AK111" i="1"/>
  <c r="AE24" i="1"/>
  <c r="AM24" i="1"/>
  <c r="AF24" i="1"/>
  <c r="AF25" i="1" s="1"/>
  <c r="AF26" i="1" s="1"/>
  <c r="AF27" i="1" s="1"/>
  <c r="AF28" i="1" s="1"/>
  <c r="AF29" i="1" s="1"/>
  <c r="AF30" i="1" s="1"/>
  <c r="AF31" i="1" s="1"/>
  <c r="AF32" i="1" s="1"/>
  <c r="AF33" i="1" s="1"/>
  <c r="AF34" i="1" s="1"/>
  <c r="AF35" i="1" s="1"/>
  <c r="AF36" i="1" s="1"/>
  <c r="AF37" i="1" s="1"/>
  <c r="AF38" i="1" s="1"/>
  <c r="AF39" i="1" s="1"/>
  <c r="AF40" i="1" s="1"/>
  <c r="AF41" i="1" s="1"/>
  <c r="AF42" i="1" s="1"/>
  <c r="AF43" i="1" s="1"/>
  <c r="AF44" i="1" s="1"/>
  <c r="AF45" i="1" s="1"/>
  <c r="AF46" i="1" s="1"/>
  <c r="AF47" i="1" s="1"/>
  <c r="AF48" i="1" s="1"/>
  <c r="AF49" i="1" s="1"/>
  <c r="AF50" i="1" s="1"/>
  <c r="AF51" i="1" s="1"/>
  <c r="AF52" i="1" s="1"/>
  <c r="AF53" i="1" s="1"/>
  <c r="AF54" i="1" s="1"/>
  <c r="AF55" i="1" s="1"/>
  <c r="AF56" i="1" s="1"/>
  <c r="AF57" i="1" s="1"/>
  <c r="AF58" i="1" s="1"/>
  <c r="AF59" i="1" s="1"/>
  <c r="AF60" i="1" s="1"/>
  <c r="AF61" i="1" s="1"/>
  <c r="AF62" i="1" s="1"/>
  <c r="AF63" i="1" s="1"/>
  <c r="AF64" i="1" s="1"/>
  <c r="AF65" i="1" s="1"/>
  <c r="AF66" i="1" s="1"/>
  <c r="AF67" i="1" s="1"/>
  <c r="AF68" i="1" s="1"/>
  <c r="AF69" i="1" s="1"/>
  <c r="AF70" i="1" s="1"/>
  <c r="AF71" i="1" s="1"/>
  <c r="AF72" i="1" s="1"/>
  <c r="AF73" i="1" s="1"/>
  <c r="AF74" i="1" s="1"/>
  <c r="AF75" i="1" s="1"/>
  <c r="AF76" i="1" s="1"/>
  <c r="AF77" i="1" s="1"/>
  <c r="AF78" i="1" s="1"/>
  <c r="AF79" i="1" s="1"/>
  <c r="AF80" i="1" s="1"/>
  <c r="AF81" i="1" s="1"/>
  <c r="AF82" i="1" s="1"/>
  <c r="AF83" i="1" s="1"/>
  <c r="AF84" i="1" s="1"/>
  <c r="AF85" i="1" s="1"/>
  <c r="AF86" i="1" s="1"/>
  <c r="AF87" i="1" s="1"/>
  <c r="AF88" i="1" s="1"/>
  <c r="AF89" i="1" s="1"/>
  <c r="AF90" i="1" s="1"/>
  <c r="AF91" i="1" s="1"/>
  <c r="AF92" i="1" s="1"/>
  <c r="AF93" i="1" s="1"/>
  <c r="AF94" i="1" s="1"/>
  <c r="AF95" i="1" s="1"/>
  <c r="AF96" i="1" s="1"/>
  <c r="AF97" i="1" s="1"/>
  <c r="AF98" i="1" s="1"/>
  <c r="AF99" i="1" s="1"/>
  <c r="AF100" i="1" s="1"/>
  <c r="AF101" i="1" s="1"/>
  <c r="AF102" i="1" s="1"/>
  <c r="AF103" i="1" s="1"/>
  <c r="AF104" i="1" s="1"/>
  <c r="AF105" i="1" s="1"/>
  <c r="AF106" i="1" s="1"/>
  <c r="AF107" i="1" s="1"/>
  <c r="AF108" i="1" s="1"/>
  <c r="AF109" i="1" s="1"/>
  <c r="AF110" i="1" s="1"/>
  <c r="AF111" i="1" s="1"/>
  <c r="AF112" i="1" s="1"/>
  <c r="BH66" i="1"/>
  <c r="BI67" i="1" s="1"/>
  <c r="BF67" i="1"/>
  <c r="BE54" i="1"/>
  <c r="BC54" i="1"/>
  <c r="AU54" i="1"/>
  <c r="AM54" i="1"/>
  <c r="AO54" i="1"/>
  <c r="AW54" i="1"/>
  <c r="AX66" i="1"/>
  <c r="AP67" i="1"/>
  <c r="L54" i="1"/>
  <c r="CE54" i="1" s="1"/>
  <c r="BU112" i="1" l="1"/>
  <c r="BT112" i="1"/>
  <c r="BX112" i="1"/>
  <c r="CJ69" i="1"/>
  <c r="CL68" i="1"/>
  <c r="CK68" i="1"/>
  <c r="BF111" i="1"/>
  <c r="CI67" i="1"/>
  <c r="BW112" i="1"/>
  <c r="BP112" i="1"/>
  <c r="BQ12" i="1" s="1"/>
  <c r="CR113" i="1"/>
  <c r="AI113" i="1"/>
  <c r="BV113" i="1"/>
  <c r="CN113" i="1"/>
  <c r="CD73" i="1"/>
  <c r="CF73" i="1" s="1"/>
  <c r="M55" i="1"/>
  <c r="BO112" i="1"/>
  <c r="CO130" i="1"/>
  <c r="BG129" i="1"/>
  <c r="U70" i="1"/>
  <c r="BR90" i="1"/>
  <c r="BS90" i="1"/>
  <c r="CA74" i="1"/>
  <c r="CC74" i="1" s="1"/>
  <c r="BQ11" i="1"/>
  <c r="T70" i="1"/>
  <c r="CB69" i="1"/>
  <c r="AR112" i="1"/>
  <c r="AV112" i="1"/>
  <c r="AB55" i="1"/>
  <c r="CH55" i="1" s="1"/>
  <c r="AT112" i="1"/>
  <c r="BB112" i="1"/>
  <c r="AD112" i="1"/>
  <c r="BD112" i="1"/>
  <c r="BF112" i="1" s="1"/>
  <c r="AL112" i="1"/>
  <c r="AC55" i="1"/>
  <c r="CG68" i="1"/>
  <c r="CT112" i="1"/>
  <c r="AJ112" i="1"/>
  <c r="AP112" i="1" s="1"/>
  <c r="AS112" i="1"/>
  <c r="BA112" i="1"/>
  <c r="CQ112" i="1"/>
  <c r="AK112" i="1"/>
  <c r="AY113" i="1"/>
  <c r="AZ113" i="1" s="1"/>
  <c r="CM114" i="1"/>
  <c r="CP113" i="1"/>
  <c r="AN113" i="1"/>
  <c r="S113" i="1"/>
  <c r="AQ113" i="1"/>
  <c r="AA113" i="1"/>
  <c r="K113" i="1"/>
  <c r="AX111" i="1"/>
  <c r="CU112" i="1"/>
  <c r="CS113" i="1"/>
  <c r="AE25" i="1"/>
  <c r="AG24" i="1"/>
  <c r="AH24" i="1"/>
  <c r="BH67" i="1"/>
  <c r="BI68" i="1" s="1"/>
  <c r="BF68" i="1"/>
  <c r="BE55" i="1"/>
  <c r="BC55" i="1"/>
  <c r="AU55" i="1"/>
  <c r="AM55" i="1"/>
  <c r="AO55" i="1"/>
  <c r="AW55" i="1"/>
  <c r="AX67" i="1"/>
  <c r="AP68" i="1"/>
  <c r="L55" i="1"/>
  <c r="CE55" i="1" s="1"/>
  <c r="BX113" i="1" l="1"/>
  <c r="BT113" i="1"/>
  <c r="BU113" i="1"/>
  <c r="CJ70" i="1"/>
  <c r="CL69" i="1"/>
  <c r="CK69" i="1"/>
  <c r="CI68" i="1"/>
  <c r="AI114" i="1"/>
  <c r="AN114" i="1" s="1"/>
  <c r="BV114" i="1"/>
  <c r="CN114" i="1"/>
  <c r="BW113" i="1"/>
  <c r="BP113" i="1"/>
  <c r="BQ13" i="1" s="1"/>
  <c r="CR114" i="1"/>
  <c r="CD74" i="1"/>
  <c r="CF74" i="1" s="1"/>
  <c r="M56" i="1"/>
  <c r="BO113" i="1"/>
  <c r="U71" i="1"/>
  <c r="CO131" i="1"/>
  <c r="BG130" i="1"/>
  <c r="AC56" i="1"/>
  <c r="BR91" i="1"/>
  <c r="BS91" i="1"/>
  <c r="T71" i="1"/>
  <c r="CB70" i="1"/>
  <c r="CA75" i="1"/>
  <c r="CC75" i="1" s="1"/>
  <c r="AR113" i="1"/>
  <c r="AD113" i="1"/>
  <c r="AL113" i="1"/>
  <c r="AB56" i="1"/>
  <c r="CH56" i="1" s="1"/>
  <c r="CT113" i="1"/>
  <c r="CG69" i="1"/>
  <c r="AF113" i="1"/>
  <c r="BB113" i="1"/>
  <c r="AV113" i="1"/>
  <c r="BD113" i="1"/>
  <c r="BF113" i="1" s="1"/>
  <c r="AT113" i="1"/>
  <c r="AK113" i="1"/>
  <c r="BA113" i="1"/>
  <c r="AS113" i="1"/>
  <c r="CU113" i="1"/>
  <c r="AX112" i="1"/>
  <c r="AJ113" i="1"/>
  <c r="AY114" i="1"/>
  <c r="AZ114" i="1" s="1"/>
  <c r="AQ114" i="1"/>
  <c r="AA114" i="1"/>
  <c r="K114" i="1"/>
  <c r="CP114" i="1"/>
  <c r="CM115" i="1"/>
  <c r="S114" i="1"/>
  <c r="CS114" i="1"/>
  <c r="CQ113" i="1"/>
  <c r="AG25" i="1"/>
  <c r="AH25" i="1"/>
  <c r="AE26" i="1"/>
  <c r="BH68" i="1"/>
  <c r="BI69" i="1" s="1"/>
  <c r="BF69" i="1"/>
  <c r="AP69" i="1"/>
  <c r="AX68" i="1"/>
  <c r="BE56" i="1"/>
  <c r="BC56" i="1"/>
  <c r="AU56" i="1"/>
  <c r="AM56" i="1"/>
  <c r="AO56" i="1"/>
  <c r="AW56" i="1"/>
  <c r="L56" i="1"/>
  <c r="CE56" i="1" s="1"/>
  <c r="BU114" i="1" l="1"/>
  <c r="BT114" i="1"/>
  <c r="CJ71" i="1"/>
  <c r="CL70" i="1"/>
  <c r="CK70" i="1"/>
  <c r="BX114" i="1"/>
  <c r="CI69" i="1"/>
  <c r="CR115" i="1"/>
  <c r="BP114" i="1"/>
  <c r="BW114" i="1"/>
  <c r="AI115" i="1"/>
  <c r="AN115" i="1" s="1"/>
  <c r="BV115" i="1"/>
  <c r="CN115" i="1"/>
  <c r="CD75" i="1"/>
  <c r="CF75" i="1" s="1"/>
  <c r="M57" i="1"/>
  <c r="BO114" i="1"/>
  <c r="AR114" i="1"/>
  <c r="AC57" i="1"/>
  <c r="CU114" i="1"/>
  <c r="CO132" i="1"/>
  <c r="BG131" i="1"/>
  <c r="BR92" i="1"/>
  <c r="BS92" i="1"/>
  <c r="CS115" i="1"/>
  <c r="CA76" i="1"/>
  <c r="CC76" i="1" s="1"/>
  <c r="AD114" i="1"/>
  <c r="T72" i="1"/>
  <c r="CB71" i="1"/>
  <c r="U72" i="1"/>
  <c r="BB114" i="1"/>
  <c r="BD114" i="1"/>
  <c r="BF114" i="1" s="1"/>
  <c r="AF114" i="1"/>
  <c r="AL114" i="1"/>
  <c r="AT114" i="1"/>
  <c r="AV114" i="1"/>
  <c r="CG70" i="1"/>
  <c r="AB57" i="1"/>
  <c r="CH57" i="1" s="1"/>
  <c r="BA114" i="1"/>
  <c r="CQ114" i="1"/>
  <c r="AS114" i="1"/>
  <c r="AX113" i="1"/>
  <c r="AJ114" i="1"/>
  <c r="AK114" i="1"/>
  <c r="CT114" i="1"/>
  <c r="AP113" i="1"/>
  <c r="AY115" i="1"/>
  <c r="AZ115" i="1" s="1"/>
  <c r="CM116" i="1"/>
  <c r="AQ115" i="1"/>
  <c r="AA115" i="1"/>
  <c r="CP115" i="1"/>
  <c r="S115" i="1"/>
  <c r="K115" i="1"/>
  <c r="AE27" i="1"/>
  <c r="AG26" i="1"/>
  <c r="AH26" i="1"/>
  <c r="BH69" i="1"/>
  <c r="BI70" i="1" s="1"/>
  <c r="BF70" i="1"/>
  <c r="BE57" i="1"/>
  <c r="BC57" i="1"/>
  <c r="AU57" i="1"/>
  <c r="AO57" i="1"/>
  <c r="AM57" i="1"/>
  <c r="AW57" i="1"/>
  <c r="AP70" i="1"/>
  <c r="AX69" i="1"/>
  <c r="L57" i="1"/>
  <c r="CE57" i="1" s="1"/>
  <c r="CR116" i="1" l="1"/>
  <c r="BT115" i="1"/>
  <c r="BU115" i="1"/>
  <c r="CJ72" i="1"/>
  <c r="CL71" i="1"/>
  <c r="CK71" i="1"/>
  <c r="BX115" i="1"/>
  <c r="CI70" i="1"/>
  <c r="AC58" i="1"/>
  <c r="BP115" i="1"/>
  <c r="AI116" i="1"/>
  <c r="AN116" i="1" s="1"/>
  <c r="BV116" i="1"/>
  <c r="CN116" i="1"/>
  <c r="BW115" i="1"/>
  <c r="AR115" i="1"/>
  <c r="CD76" i="1"/>
  <c r="CF76" i="1" s="1"/>
  <c r="M58" i="1"/>
  <c r="BO115" i="1"/>
  <c r="CU115" i="1"/>
  <c r="AD115" i="1"/>
  <c r="CO133" i="1"/>
  <c r="BG132" i="1"/>
  <c r="U73" i="1"/>
  <c r="BR93" i="1"/>
  <c r="BS93" i="1"/>
  <c r="BQ14" i="1"/>
  <c r="T73" i="1"/>
  <c r="CB72" i="1"/>
  <c r="CA77" i="1"/>
  <c r="CC77" i="1" s="1"/>
  <c r="AF115" i="1"/>
  <c r="AL115" i="1"/>
  <c r="AV115" i="1"/>
  <c r="BD115" i="1"/>
  <c r="AB58" i="1"/>
  <c r="CH58" i="1" s="1"/>
  <c r="CG71" i="1"/>
  <c r="AT115" i="1"/>
  <c r="BB115" i="1"/>
  <c r="AK115" i="1"/>
  <c r="CQ115" i="1"/>
  <c r="BA115" i="1"/>
  <c r="AJ115" i="1"/>
  <c r="AX114" i="1"/>
  <c r="AY116" i="1"/>
  <c r="AZ116" i="1" s="1"/>
  <c r="CP116" i="1"/>
  <c r="S116" i="1"/>
  <c r="CM117" i="1"/>
  <c r="AQ116" i="1"/>
  <c r="AA116" i="1"/>
  <c r="K116" i="1"/>
  <c r="CS116" i="1"/>
  <c r="AS115" i="1"/>
  <c r="AP114" i="1"/>
  <c r="CT115" i="1"/>
  <c r="AG27" i="1"/>
  <c r="AH27" i="1"/>
  <c r="AE28" i="1"/>
  <c r="BH70" i="1"/>
  <c r="BI71" i="1" s="1"/>
  <c r="BF71" i="1"/>
  <c r="AP71" i="1"/>
  <c r="AX70" i="1"/>
  <c r="BE58" i="1"/>
  <c r="BC58" i="1"/>
  <c r="AU58" i="1"/>
  <c r="AM58" i="1"/>
  <c r="AO58" i="1"/>
  <c r="AW58" i="1"/>
  <c r="L58" i="1"/>
  <c r="CE58" i="1" s="1"/>
  <c r="BU116" i="1" l="1"/>
  <c r="BT116" i="1"/>
  <c r="CJ73" i="1"/>
  <c r="CL72" i="1"/>
  <c r="CK72" i="1"/>
  <c r="CI71" i="1"/>
  <c r="BX116" i="1"/>
  <c r="AD116" i="1"/>
  <c r="BP116" i="1"/>
  <c r="BQ16" i="1" s="1"/>
  <c r="BW116" i="1"/>
  <c r="CN117" i="1"/>
  <c r="AI117" i="1"/>
  <c r="BV117" i="1"/>
  <c r="CR117" i="1"/>
  <c r="AR116" i="1"/>
  <c r="CD77" i="1"/>
  <c r="CF77" i="1" s="1"/>
  <c r="M59" i="1"/>
  <c r="BO116" i="1"/>
  <c r="CU116" i="1"/>
  <c r="U74" i="1"/>
  <c r="CO134" i="1"/>
  <c r="BG133" i="1"/>
  <c r="BR94" i="1"/>
  <c r="BS94" i="1"/>
  <c r="CA78" i="1"/>
  <c r="CC78" i="1" s="1"/>
  <c r="T74" i="1"/>
  <c r="CB73" i="1"/>
  <c r="AL116" i="1"/>
  <c r="AT116" i="1"/>
  <c r="AB59" i="1"/>
  <c r="CH59" i="1" s="1"/>
  <c r="AF116" i="1"/>
  <c r="BA116" i="1"/>
  <c r="CG72" i="1"/>
  <c r="BD116" i="1"/>
  <c r="BF116" i="1" s="1"/>
  <c r="BB116" i="1"/>
  <c r="AV116" i="1"/>
  <c r="AC59" i="1"/>
  <c r="BF115" i="1"/>
  <c r="BQ15" i="1"/>
  <c r="AK116" i="1"/>
  <c r="CS117" i="1"/>
  <c r="CT116" i="1"/>
  <c r="AY117" i="1"/>
  <c r="AZ117" i="1" s="1"/>
  <c r="AN117" i="1"/>
  <c r="S117" i="1"/>
  <c r="CP117" i="1"/>
  <c r="CU117" i="1" s="1"/>
  <c r="CM118" i="1"/>
  <c r="AQ117" i="1"/>
  <c r="AR117" i="1" s="1"/>
  <c r="AA117" i="1"/>
  <c r="K117" i="1"/>
  <c r="CQ116" i="1"/>
  <c r="AP115" i="1"/>
  <c r="AS116" i="1"/>
  <c r="AJ116" i="1"/>
  <c r="AX115" i="1"/>
  <c r="AE29" i="1"/>
  <c r="AH28" i="1"/>
  <c r="AG28" i="1"/>
  <c r="BH71" i="1"/>
  <c r="BI72" i="1" s="1"/>
  <c r="BF72" i="1"/>
  <c r="BE59" i="1"/>
  <c r="BC59" i="1"/>
  <c r="AU59" i="1"/>
  <c r="AM59" i="1"/>
  <c r="AO59" i="1"/>
  <c r="AW59" i="1"/>
  <c r="AX71" i="1"/>
  <c r="AP72" i="1"/>
  <c r="L59" i="1"/>
  <c r="CE59" i="1" s="1"/>
  <c r="AD117" i="1" l="1"/>
  <c r="BT117" i="1"/>
  <c r="BU117" i="1"/>
  <c r="CJ74" i="1"/>
  <c r="CL73" i="1"/>
  <c r="CK73" i="1"/>
  <c r="CI72" i="1"/>
  <c r="BX117" i="1"/>
  <c r="CR118" i="1"/>
  <c r="BP117" i="1"/>
  <c r="CN118" i="1"/>
  <c r="AI118" i="1"/>
  <c r="BV118" i="1"/>
  <c r="BW117" i="1"/>
  <c r="CD78" i="1"/>
  <c r="CF78" i="1" s="1"/>
  <c r="M60" i="1"/>
  <c r="BO117" i="1"/>
  <c r="U75" i="1"/>
  <c r="CO135" i="1"/>
  <c r="BG134" i="1"/>
  <c r="BR95" i="1"/>
  <c r="BS95" i="1"/>
  <c r="T75" i="1"/>
  <c r="CB74" i="1"/>
  <c r="CA79" i="1"/>
  <c r="CC79" i="1" s="1"/>
  <c r="BQ17" i="1"/>
  <c r="AF117" i="1"/>
  <c r="AB60" i="1"/>
  <c r="CH60" i="1" s="1"/>
  <c r="BA117" i="1"/>
  <c r="AC60" i="1"/>
  <c r="AT117" i="1"/>
  <c r="AV117" i="1"/>
  <c r="CG73" i="1"/>
  <c r="AL117" i="1"/>
  <c r="BD117" i="1"/>
  <c r="BF117" i="1" s="1"/>
  <c r="BB117" i="1"/>
  <c r="AJ117" i="1"/>
  <c r="AP117" i="1" s="1"/>
  <c r="CQ117" i="1"/>
  <c r="CS118" i="1"/>
  <c r="CT117" i="1"/>
  <c r="AY118" i="1"/>
  <c r="AZ118" i="1" s="1"/>
  <c r="CP118" i="1"/>
  <c r="AQ118" i="1"/>
  <c r="AR118" i="1" s="1"/>
  <c r="AA118" i="1"/>
  <c r="AD118" i="1" s="1"/>
  <c r="K118" i="1"/>
  <c r="CM119" i="1"/>
  <c r="S118" i="1"/>
  <c r="AX116" i="1"/>
  <c r="AS117" i="1"/>
  <c r="AP116" i="1"/>
  <c r="AK117" i="1"/>
  <c r="AG29" i="1"/>
  <c r="AH29" i="1"/>
  <c r="AE30" i="1"/>
  <c r="BH72" i="1"/>
  <c r="BI73" i="1" s="1"/>
  <c r="BF73" i="1"/>
  <c r="AX72" i="1"/>
  <c r="BE60" i="1"/>
  <c r="BC60" i="1"/>
  <c r="AU60" i="1"/>
  <c r="AM60" i="1"/>
  <c r="AO60" i="1"/>
  <c r="AW60" i="1"/>
  <c r="AP73" i="1"/>
  <c r="L60" i="1"/>
  <c r="CE60" i="1" s="1"/>
  <c r="BU118" i="1" l="1"/>
  <c r="BT118" i="1"/>
  <c r="CN119" i="1"/>
  <c r="CJ75" i="1"/>
  <c r="CL74" i="1"/>
  <c r="CK74" i="1"/>
  <c r="BP118" i="1"/>
  <c r="BQ18" i="1" s="1"/>
  <c r="CI73" i="1"/>
  <c r="BX118" i="1"/>
  <c r="BW118" i="1"/>
  <c r="CR119" i="1"/>
  <c r="AI119" i="1"/>
  <c r="BV119" i="1"/>
  <c r="CD79" i="1"/>
  <c r="CF79" i="1" s="1"/>
  <c r="AJ118" i="1"/>
  <c r="M61" i="1"/>
  <c r="BO118" i="1"/>
  <c r="U76" i="1"/>
  <c r="CO136" i="1"/>
  <c r="BG135" i="1"/>
  <c r="AC61" i="1"/>
  <c r="BR96" i="1"/>
  <c r="BS96" i="1"/>
  <c r="CA80" i="1"/>
  <c r="CC80" i="1" s="1"/>
  <c r="T76" i="1"/>
  <c r="U77" i="1" s="1"/>
  <c r="CB75" i="1"/>
  <c r="BA118" i="1"/>
  <c r="BB118" i="1"/>
  <c r="AF118" i="1"/>
  <c r="AL118" i="1"/>
  <c r="CS119" i="1"/>
  <c r="AT118" i="1"/>
  <c r="AB61" i="1"/>
  <c r="CH61" i="1" s="1"/>
  <c r="CG74" i="1"/>
  <c r="AN118" i="1"/>
  <c r="BD118" i="1"/>
  <c r="BF118" i="1" s="1"/>
  <c r="AV118" i="1"/>
  <c r="CQ118" i="1"/>
  <c r="CT118" i="1"/>
  <c r="AS118" i="1"/>
  <c r="AK118" i="1"/>
  <c r="CU118" i="1"/>
  <c r="AX117" i="1"/>
  <c r="AY119" i="1"/>
  <c r="AZ119" i="1" s="1"/>
  <c r="AQ119" i="1"/>
  <c r="AA119" i="1"/>
  <c r="AD119" i="1" s="1"/>
  <c r="CP119" i="1"/>
  <c r="CM120" i="1"/>
  <c r="S119" i="1"/>
  <c r="K119" i="1"/>
  <c r="AE31" i="1"/>
  <c r="AH30" i="1"/>
  <c r="AG30" i="1"/>
  <c r="BH73" i="1"/>
  <c r="BI74" i="1" s="1"/>
  <c r="BF74" i="1"/>
  <c r="AP74" i="1"/>
  <c r="BE61" i="1"/>
  <c r="BC61" i="1"/>
  <c r="AU61" i="1"/>
  <c r="AO61" i="1"/>
  <c r="AM61" i="1"/>
  <c r="AW61" i="1"/>
  <c r="AX73" i="1"/>
  <c r="L61" i="1"/>
  <c r="CE61" i="1" s="1"/>
  <c r="BT119" i="1" l="1"/>
  <c r="BU119" i="1"/>
  <c r="CJ76" i="1"/>
  <c r="CK75" i="1"/>
  <c r="CL75" i="1"/>
  <c r="CI74" i="1"/>
  <c r="BX119" i="1"/>
  <c r="BP119" i="1"/>
  <c r="BQ19" i="1" s="1"/>
  <c r="AI120" i="1"/>
  <c r="BV120" i="1"/>
  <c r="CR120" i="1"/>
  <c r="CN120" i="1"/>
  <c r="BW119" i="1"/>
  <c r="CD80" i="1"/>
  <c r="CF80" i="1" s="1"/>
  <c r="M62" i="1"/>
  <c r="BO119" i="1"/>
  <c r="CO137" i="1"/>
  <c r="BG136" i="1"/>
  <c r="AC62" i="1"/>
  <c r="BR97" i="1"/>
  <c r="BS97" i="1"/>
  <c r="T77" i="1"/>
  <c r="CB76" i="1"/>
  <c r="CA81" i="1"/>
  <c r="CC81" i="1" s="1"/>
  <c r="AN119" i="1"/>
  <c r="CQ119" i="1"/>
  <c r="AK119" i="1"/>
  <c r="BB119" i="1"/>
  <c r="AF119" i="1"/>
  <c r="AV119" i="1"/>
  <c r="AB62" i="1"/>
  <c r="CH62" i="1" s="1"/>
  <c r="AL119" i="1"/>
  <c r="CS120" i="1"/>
  <c r="BD119" i="1"/>
  <c r="CG75" i="1"/>
  <c r="AT119" i="1"/>
  <c r="BA119" i="1"/>
  <c r="AS119" i="1"/>
  <c r="CT119" i="1"/>
  <c r="AR119" i="1"/>
  <c r="AP118" i="1"/>
  <c r="AJ119" i="1"/>
  <c r="AY120" i="1"/>
  <c r="AZ120" i="1" s="1"/>
  <c r="CP120" i="1"/>
  <c r="S120" i="1"/>
  <c r="CM121" i="1"/>
  <c r="AQ120" i="1"/>
  <c r="AA120" i="1"/>
  <c r="AD120" i="1" s="1"/>
  <c r="K120" i="1"/>
  <c r="AX118" i="1"/>
  <c r="CU119" i="1"/>
  <c r="AH31" i="1"/>
  <c r="AG31" i="1"/>
  <c r="AE32" i="1"/>
  <c r="BH74" i="1"/>
  <c r="BI75" i="1" s="1"/>
  <c r="BF75" i="1"/>
  <c r="AX74" i="1"/>
  <c r="BE62" i="1"/>
  <c r="BC62" i="1"/>
  <c r="AU62" i="1"/>
  <c r="AM62" i="1"/>
  <c r="AO62" i="1"/>
  <c r="AW62" i="1"/>
  <c r="AP75" i="1"/>
  <c r="L62" i="1"/>
  <c r="CE62" i="1" s="1"/>
  <c r="BT120" i="1" l="1"/>
  <c r="BU120" i="1"/>
  <c r="CJ77" i="1"/>
  <c r="CL76" i="1"/>
  <c r="CK76" i="1"/>
  <c r="CI75" i="1"/>
  <c r="BP120" i="1"/>
  <c r="BQ20" i="1" s="1"/>
  <c r="BX120" i="1"/>
  <c r="AI121" i="1"/>
  <c r="BV121" i="1"/>
  <c r="CN121" i="1"/>
  <c r="BW120" i="1"/>
  <c r="CR121" i="1"/>
  <c r="CD81" i="1"/>
  <c r="CF81" i="1" s="1"/>
  <c r="M63" i="1"/>
  <c r="BO120" i="1"/>
  <c r="CO138" i="1"/>
  <c r="BG137" i="1"/>
  <c r="BR98" i="1"/>
  <c r="BS98" i="1"/>
  <c r="T78" i="1"/>
  <c r="CB77" i="1"/>
  <c r="U78" i="1"/>
  <c r="CA82" i="1"/>
  <c r="CC82" i="1" s="1"/>
  <c r="AN120" i="1"/>
  <c r="CQ120" i="1"/>
  <c r="BB120" i="1"/>
  <c r="CG76" i="1"/>
  <c r="BD120" i="1"/>
  <c r="BF120" i="1" s="1"/>
  <c r="AB63" i="1"/>
  <c r="CH63" i="1" s="1"/>
  <c r="AT120" i="1"/>
  <c r="AV120" i="1"/>
  <c r="AL120" i="1"/>
  <c r="AF120" i="1"/>
  <c r="AC63" i="1"/>
  <c r="BF119" i="1"/>
  <c r="CU120" i="1"/>
  <c r="AP119" i="1"/>
  <c r="AR120" i="1"/>
  <c r="CS121" i="1"/>
  <c r="AJ120" i="1"/>
  <c r="BA120" i="1"/>
  <c r="CT120" i="1"/>
  <c r="AS120" i="1"/>
  <c r="AX119" i="1"/>
  <c r="AY121" i="1"/>
  <c r="S121" i="1"/>
  <c r="CP121" i="1"/>
  <c r="CM122" i="1"/>
  <c r="AQ121" i="1"/>
  <c r="AA121" i="1"/>
  <c r="AD121" i="1" s="1"/>
  <c r="K121" i="1"/>
  <c r="AK120" i="1"/>
  <c r="AE33" i="1"/>
  <c r="AH32" i="1"/>
  <c r="AG32" i="1"/>
  <c r="BH75" i="1"/>
  <c r="BI76" i="1" s="1"/>
  <c r="BF76" i="1"/>
  <c r="BE63" i="1"/>
  <c r="BC63" i="1"/>
  <c r="AU63" i="1"/>
  <c r="AM63" i="1"/>
  <c r="AO63" i="1"/>
  <c r="AW63" i="1"/>
  <c r="AP76" i="1"/>
  <c r="AX75" i="1"/>
  <c r="L63" i="1"/>
  <c r="CE63" i="1" s="1"/>
  <c r="BU121" i="1" l="1"/>
  <c r="BT121" i="1"/>
  <c r="CJ78" i="1"/>
  <c r="CL77" i="1"/>
  <c r="CK77" i="1"/>
  <c r="CI76" i="1"/>
  <c r="BX121" i="1"/>
  <c r="CR122" i="1"/>
  <c r="BP121" i="1"/>
  <c r="BW121" i="1"/>
  <c r="AI122" i="1"/>
  <c r="BV122" i="1"/>
  <c r="CN122" i="1"/>
  <c r="CD82" i="1"/>
  <c r="CF82" i="1" s="1"/>
  <c r="M64" i="1"/>
  <c r="BO121" i="1"/>
  <c r="CQ121" i="1"/>
  <c r="CO139" i="1"/>
  <c r="BG138" i="1"/>
  <c r="U79" i="1"/>
  <c r="BR99" i="1"/>
  <c r="BS99" i="1"/>
  <c r="AN121" i="1"/>
  <c r="CA83" i="1"/>
  <c r="CC83" i="1" s="1"/>
  <c r="T79" i="1"/>
  <c r="CB78" i="1"/>
  <c r="BB121" i="1"/>
  <c r="AL121" i="1"/>
  <c r="AV121" i="1"/>
  <c r="BD121" i="1"/>
  <c r="CG77" i="1"/>
  <c r="AB64" i="1"/>
  <c r="CH64" i="1" s="1"/>
  <c r="AC64" i="1"/>
  <c r="AT121" i="1"/>
  <c r="AF121" i="1"/>
  <c r="AK121" i="1"/>
  <c r="BA121" i="1"/>
  <c r="AR121" i="1"/>
  <c r="CU121" i="1"/>
  <c r="AY122" i="1"/>
  <c r="CP122" i="1"/>
  <c r="AQ122" i="1"/>
  <c r="AA122" i="1"/>
  <c r="K122" i="1"/>
  <c r="CM123" i="1"/>
  <c r="S122" i="1"/>
  <c r="AX120" i="1"/>
  <c r="CT121" i="1"/>
  <c r="AJ121" i="1"/>
  <c r="AZ121" i="1"/>
  <c r="AS121" i="1"/>
  <c r="CS122" i="1"/>
  <c r="AP120" i="1"/>
  <c r="AG33" i="1"/>
  <c r="AH33" i="1"/>
  <c r="AE34" i="1"/>
  <c r="BH76" i="1"/>
  <c r="BI77" i="1" s="1"/>
  <c r="BF77" i="1"/>
  <c r="AP77" i="1"/>
  <c r="BE64" i="1"/>
  <c r="BC64" i="1"/>
  <c r="AU64" i="1"/>
  <c r="AM64" i="1"/>
  <c r="AO64" i="1"/>
  <c r="AW64" i="1"/>
  <c r="AX76" i="1"/>
  <c r="L64" i="1"/>
  <c r="CE64" i="1" s="1"/>
  <c r="BT122" i="1" l="1"/>
  <c r="BU122" i="1"/>
  <c r="CJ79" i="1"/>
  <c r="CL78" i="1"/>
  <c r="CK78" i="1"/>
  <c r="CI77" i="1"/>
  <c r="CN123" i="1"/>
  <c r="BX122" i="1"/>
  <c r="BP122" i="1"/>
  <c r="BQ22" i="1" s="1"/>
  <c r="CR123" i="1"/>
  <c r="AI123" i="1"/>
  <c r="BV123" i="1"/>
  <c r="BW122" i="1"/>
  <c r="CD83" i="1"/>
  <c r="CF83" i="1" s="1"/>
  <c r="M65" i="1"/>
  <c r="BO122" i="1"/>
  <c r="CQ122" i="1"/>
  <c r="CO140" i="1"/>
  <c r="BG139" i="1"/>
  <c r="BB122" i="1"/>
  <c r="AN122" i="1"/>
  <c r="BR100" i="1"/>
  <c r="BS100" i="1"/>
  <c r="T80" i="1"/>
  <c r="CB79" i="1"/>
  <c r="U80" i="1"/>
  <c r="CA84" i="1"/>
  <c r="CC84" i="1" s="1"/>
  <c r="AC65" i="1"/>
  <c r="AL122" i="1"/>
  <c r="AT122" i="1"/>
  <c r="CG78" i="1"/>
  <c r="BD122" i="1"/>
  <c r="AD122" i="1"/>
  <c r="AF122" i="1"/>
  <c r="AB65" i="1"/>
  <c r="CH65" i="1" s="1"/>
  <c r="AV122" i="1"/>
  <c r="BQ21" i="1"/>
  <c r="AZ122" i="1"/>
  <c r="CS123" i="1"/>
  <c r="AK122" i="1"/>
  <c r="BF121" i="1"/>
  <c r="AS122" i="1"/>
  <c r="AJ122" i="1"/>
  <c r="AR122" i="1"/>
  <c r="AP121" i="1"/>
  <c r="CT122" i="1"/>
  <c r="BA122" i="1"/>
  <c r="AX121" i="1"/>
  <c r="AY123" i="1"/>
  <c r="AQ123" i="1"/>
  <c r="AA123" i="1"/>
  <c r="CP123" i="1"/>
  <c r="CM124" i="1"/>
  <c r="S123" i="1"/>
  <c r="K123" i="1"/>
  <c r="CU122" i="1"/>
  <c r="AE35" i="1"/>
  <c r="AG34" i="1"/>
  <c r="AH34" i="1"/>
  <c r="BH77" i="1"/>
  <c r="BI78" i="1" s="1"/>
  <c r="BF78" i="1"/>
  <c r="BE65" i="1"/>
  <c r="BC65" i="1"/>
  <c r="AU65" i="1"/>
  <c r="AO65" i="1"/>
  <c r="AM65" i="1"/>
  <c r="AW65" i="1"/>
  <c r="AX77" i="1"/>
  <c r="AP78" i="1"/>
  <c r="L65" i="1"/>
  <c r="CE65" i="1" s="1"/>
  <c r="BU123" i="1" l="1"/>
  <c r="BT123" i="1"/>
  <c r="CJ80" i="1"/>
  <c r="CL79" i="1"/>
  <c r="CK79" i="1"/>
  <c r="CI78" i="1"/>
  <c r="BX123" i="1"/>
  <c r="CR124" i="1"/>
  <c r="BP123" i="1"/>
  <c r="AI124" i="1"/>
  <c r="BV124" i="1"/>
  <c r="CN124" i="1"/>
  <c r="BW123" i="1"/>
  <c r="CD84" i="1"/>
  <c r="CF84" i="1" s="1"/>
  <c r="M66" i="1"/>
  <c r="BO123" i="1"/>
  <c r="AN123" i="1"/>
  <c r="CQ123" i="1"/>
  <c r="CO141" i="1"/>
  <c r="BG140" i="1"/>
  <c r="AT123" i="1"/>
  <c r="AZ123" i="1"/>
  <c r="U81" i="1"/>
  <c r="BR101" i="1"/>
  <c r="BS101" i="1"/>
  <c r="CA85" i="1"/>
  <c r="CC85" i="1" s="1"/>
  <c r="T81" i="1"/>
  <c r="CB80" i="1"/>
  <c r="AC66" i="1"/>
  <c r="BD123" i="1"/>
  <c r="BF123" i="1" s="1"/>
  <c r="AF123" i="1"/>
  <c r="AV123" i="1"/>
  <c r="AL123" i="1"/>
  <c r="AB66" i="1"/>
  <c r="CH66" i="1" s="1"/>
  <c r="BF122" i="1"/>
  <c r="AD123" i="1"/>
  <c r="CG79" i="1"/>
  <c r="BB123" i="1"/>
  <c r="AS123" i="1"/>
  <c r="AK123" i="1"/>
  <c r="CU123" i="1"/>
  <c r="AX122" i="1"/>
  <c r="CT123" i="1"/>
  <c r="AR123" i="1"/>
  <c r="AY124" i="1"/>
  <c r="CP124" i="1"/>
  <c r="S124" i="1"/>
  <c r="CM125" i="1"/>
  <c r="AQ124" i="1"/>
  <c r="AA124" i="1"/>
  <c r="K124" i="1"/>
  <c r="AJ123" i="1"/>
  <c r="CS124" i="1"/>
  <c r="BA123" i="1"/>
  <c r="AP122" i="1"/>
  <c r="AH35" i="1"/>
  <c r="AG35" i="1"/>
  <c r="AE36" i="1"/>
  <c r="BH78" i="1"/>
  <c r="BI79" i="1" s="1"/>
  <c r="BF79" i="1"/>
  <c r="AX78" i="1"/>
  <c r="BE66" i="1"/>
  <c r="BC66" i="1"/>
  <c r="AU66" i="1"/>
  <c r="AM66" i="1"/>
  <c r="AO66" i="1"/>
  <c r="AW66" i="1"/>
  <c r="AP79" i="1"/>
  <c r="L66" i="1"/>
  <c r="CE66" i="1" s="1"/>
  <c r="AT124" i="1" l="1"/>
  <c r="BT124" i="1"/>
  <c r="BU124" i="1"/>
  <c r="CJ81" i="1"/>
  <c r="CL80" i="1"/>
  <c r="CK80" i="1"/>
  <c r="BP124" i="1"/>
  <c r="CI79" i="1"/>
  <c r="BX124" i="1"/>
  <c r="AI125" i="1"/>
  <c r="BV125" i="1"/>
  <c r="CR125" i="1"/>
  <c r="BW124" i="1"/>
  <c r="CN125" i="1"/>
  <c r="CD85" i="1"/>
  <c r="CF85" i="1" s="1"/>
  <c r="CQ124" i="1"/>
  <c r="AZ124" i="1"/>
  <c r="M67" i="1"/>
  <c r="BO124" i="1"/>
  <c r="AN124" i="1"/>
  <c r="CO142" i="1"/>
  <c r="BG141" i="1"/>
  <c r="BR102" i="1"/>
  <c r="BS102" i="1"/>
  <c r="BQ23" i="1"/>
  <c r="CA86" i="1"/>
  <c r="CC86" i="1" s="1"/>
  <c r="AC67" i="1"/>
  <c r="T82" i="1"/>
  <c r="CB81" i="1"/>
  <c r="U82" i="1"/>
  <c r="BD124" i="1"/>
  <c r="BB124" i="1"/>
  <c r="AK124" i="1"/>
  <c r="AD124" i="1"/>
  <c r="AL124" i="1"/>
  <c r="CG80" i="1"/>
  <c r="AV124" i="1"/>
  <c r="AB67" i="1"/>
  <c r="CH67" i="1" s="1"/>
  <c r="AF124" i="1"/>
  <c r="BA124" i="1"/>
  <c r="CS125" i="1"/>
  <c r="CU124" i="1"/>
  <c r="CT124" i="1"/>
  <c r="AP123" i="1"/>
  <c r="AR124" i="1"/>
  <c r="AS124" i="1"/>
  <c r="AY125" i="1"/>
  <c r="S125" i="1"/>
  <c r="CP125" i="1"/>
  <c r="CM126" i="1"/>
  <c r="AQ125" i="1"/>
  <c r="AT125" i="1" s="1"/>
  <c r="AA125" i="1"/>
  <c r="K125" i="1"/>
  <c r="AX123" i="1"/>
  <c r="AJ124" i="1"/>
  <c r="AE37" i="1"/>
  <c r="AH36" i="1"/>
  <c r="AG36" i="1"/>
  <c r="BH79" i="1"/>
  <c r="BI80" i="1" s="1"/>
  <c r="BF80" i="1"/>
  <c r="BE67" i="1"/>
  <c r="BC67" i="1"/>
  <c r="AU67" i="1"/>
  <c r="AM67" i="1"/>
  <c r="AO67" i="1"/>
  <c r="AW67" i="1"/>
  <c r="AP80" i="1"/>
  <c r="AX79" i="1"/>
  <c r="L67" i="1"/>
  <c r="CE67" i="1" s="1"/>
  <c r="BU125" i="1" l="1"/>
  <c r="BT125" i="1"/>
  <c r="CJ82" i="1"/>
  <c r="CL81" i="1"/>
  <c r="CK81" i="1"/>
  <c r="CI80" i="1"/>
  <c r="BF124" i="1"/>
  <c r="AZ125" i="1"/>
  <c r="BP125" i="1"/>
  <c r="CQ125" i="1"/>
  <c r="BX125" i="1"/>
  <c r="CN126" i="1"/>
  <c r="BW125" i="1"/>
  <c r="AI126" i="1"/>
  <c r="BV126" i="1"/>
  <c r="CR126" i="1"/>
  <c r="AN125" i="1"/>
  <c r="CD86" i="1"/>
  <c r="CF86" i="1" s="1"/>
  <c r="M68" i="1"/>
  <c r="BO125" i="1"/>
  <c r="CO143" i="1"/>
  <c r="BG142" i="1"/>
  <c r="U83" i="1"/>
  <c r="AC68" i="1"/>
  <c r="BR103" i="1"/>
  <c r="BS103" i="1"/>
  <c r="CA87" i="1"/>
  <c r="CC87" i="1" s="1"/>
  <c r="T83" i="1"/>
  <c r="CB82" i="1"/>
  <c r="BD125" i="1"/>
  <c r="AV125" i="1"/>
  <c r="AL125" i="1"/>
  <c r="CG81" i="1"/>
  <c r="AF125" i="1"/>
  <c r="BB125" i="1"/>
  <c r="AD125" i="1"/>
  <c r="AB68" i="1"/>
  <c r="CH68" i="1" s="1"/>
  <c r="CS126" i="1"/>
  <c r="AJ125" i="1"/>
  <c r="CT125" i="1"/>
  <c r="BA125" i="1"/>
  <c r="AX124" i="1"/>
  <c r="CU125" i="1"/>
  <c r="AK125" i="1"/>
  <c r="AY126" i="1"/>
  <c r="CP126" i="1"/>
  <c r="CQ126" i="1" s="1"/>
  <c r="AQ126" i="1"/>
  <c r="AT126" i="1" s="1"/>
  <c r="AA126" i="1"/>
  <c r="K126" i="1"/>
  <c r="CM127" i="1"/>
  <c r="S126" i="1"/>
  <c r="AS125" i="1"/>
  <c r="AP124" i="1"/>
  <c r="AR125" i="1"/>
  <c r="AH37" i="1"/>
  <c r="AG37" i="1"/>
  <c r="AE38" i="1"/>
  <c r="BH80" i="1"/>
  <c r="BI81" i="1" s="1"/>
  <c r="BF81" i="1"/>
  <c r="BE68" i="1"/>
  <c r="BC68" i="1"/>
  <c r="AU68" i="1"/>
  <c r="AM68" i="1"/>
  <c r="AO68" i="1"/>
  <c r="AW68" i="1"/>
  <c r="AP81" i="1"/>
  <c r="AX80" i="1"/>
  <c r="L68" i="1"/>
  <c r="CE68" i="1" s="1"/>
  <c r="BT126" i="1" l="1"/>
  <c r="BU126" i="1"/>
  <c r="CJ83" i="1"/>
  <c r="CL82" i="1"/>
  <c r="CK82" i="1"/>
  <c r="BF125" i="1"/>
  <c r="AZ126" i="1"/>
  <c r="CI81" i="1"/>
  <c r="BW126" i="1"/>
  <c r="AN126" i="1"/>
  <c r="BX126" i="1"/>
  <c r="BP126" i="1"/>
  <c r="CR127" i="1"/>
  <c r="AI127" i="1"/>
  <c r="BV127" i="1"/>
  <c r="CN127" i="1"/>
  <c r="CD87" i="1"/>
  <c r="CF87" i="1" s="1"/>
  <c r="M69" i="1"/>
  <c r="BO126" i="1"/>
  <c r="CO144" i="1"/>
  <c r="BG144" i="1" s="1"/>
  <c r="BG143" i="1"/>
  <c r="BR104" i="1"/>
  <c r="BS104" i="1"/>
  <c r="CA88" i="1"/>
  <c r="CC88" i="1" s="1"/>
  <c r="T84" i="1"/>
  <c r="CB83" i="1"/>
  <c r="U84" i="1"/>
  <c r="AJ126" i="1"/>
  <c r="BD126" i="1"/>
  <c r="BF126" i="1" s="1"/>
  <c r="AB69" i="1"/>
  <c r="CH69" i="1" s="1"/>
  <c r="AD126" i="1"/>
  <c r="CG82" i="1"/>
  <c r="BA126" i="1"/>
  <c r="BB126" i="1"/>
  <c r="AL126" i="1"/>
  <c r="AF126" i="1"/>
  <c r="AV126" i="1"/>
  <c r="AC69" i="1"/>
  <c r="AK126" i="1"/>
  <c r="AS126" i="1"/>
  <c r="AR126" i="1"/>
  <c r="CT126" i="1"/>
  <c r="AX125" i="1"/>
  <c r="AY127" i="1"/>
  <c r="AZ127" i="1" s="1"/>
  <c r="AQ127" i="1"/>
  <c r="AA127" i="1"/>
  <c r="CP127" i="1"/>
  <c r="CQ127" i="1" s="1"/>
  <c r="CM128" i="1"/>
  <c r="S127" i="1"/>
  <c r="K127" i="1"/>
  <c r="CS127" i="1"/>
  <c r="AP125" i="1"/>
  <c r="CU126" i="1"/>
  <c r="AE39" i="1"/>
  <c r="AH38" i="1"/>
  <c r="AG38" i="1"/>
  <c r="BH81" i="1"/>
  <c r="BI82" i="1" s="1"/>
  <c r="BF82" i="1"/>
  <c r="AP82" i="1"/>
  <c r="AX81" i="1"/>
  <c r="BE69" i="1"/>
  <c r="BC69" i="1"/>
  <c r="AU69" i="1"/>
  <c r="AM69" i="1"/>
  <c r="AO69" i="1"/>
  <c r="AW69" i="1"/>
  <c r="L69" i="1"/>
  <c r="CE69" i="1" s="1"/>
  <c r="BT127" i="1" l="1"/>
  <c r="BU127" i="1"/>
  <c r="CJ84" i="1"/>
  <c r="CL83" i="1"/>
  <c r="CK83" i="1"/>
  <c r="BX127" i="1"/>
  <c r="CI82" i="1"/>
  <c r="BP127" i="1"/>
  <c r="BW127" i="1"/>
  <c r="CN128" i="1"/>
  <c r="CR128" i="1"/>
  <c r="AI128" i="1"/>
  <c r="BV128" i="1"/>
  <c r="CD88" i="1"/>
  <c r="CF88" i="1" s="1"/>
  <c r="M70" i="1"/>
  <c r="BO127" i="1"/>
  <c r="BR105" i="1"/>
  <c r="BS105" i="1"/>
  <c r="T85" i="1"/>
  <c r="CB84" i="1"/>
  <c r="U85" i="1"/>
  <c r="CA89" i="1"/>
  <c r="CC89" i="1" s="1"/>
  <c r="AJ127" i="1"/>
  <c r="AC70" i="1"/>
  <c r="AK127" i="1"/>
  <c r="AR127" i="1"/>
  <c r="AL127" i="1"/>
  <c r="BB127" i="1"/>
  <c r="CG83" i="1"/>
  <c r="AB70" i="1"/>
  <c r="CH70" i="1" s="1"/>
  <c r="AV127" i="1"/>
  <c r="AD127" i="1"/>
  <c r="AN127" i="1"/>
  <c r="AF127" i="1"/>
  <c r="BD127" i="1"/>
  <c r="BF127" i="1" s="1"/>
  <c r="AT127" i="1"/>
  <c r="AS127" i="1"/>
  <c r="BA127" i="1"/>
  <c r="CT127" i="1"/>
  <c r="CU127" i="1"/>
  <c r="CS128" i="1"/>
  <c r="AP126" i="1"/>
  <c r="AY128" i="1"/>
  <c r="BT128" i="1" s="1"/>
  <c r="CP128" i="1"/>
  <c r="CQ128" i="1" s="1"/>
  <c r="S128" i="1"/>
  <c r="CM129" i="1"/>
  <c r="AQ128" i="1"/>
  <c r="AA128" i="1"/>
  <c r="K128" i="1"/>
  <c r="AX126" i="1"/>
  <c r="AH39" i="1"/>
  <c r="AG39" i="1"/>
  <c r="AE40" i="1"/>
  <c r="BH82" i="1"/>
  <c r="BI83" i="1" s="1"/>
  <c r="BF83" i="1"/>
  <c r="AX82" i="1"/>
  <c r="BE70" i="1"/>
  <c r="BC70" i="1"/>
  <c r="AU70" i="1"/>
  <c r="AM70" i="1"/>
  <c r="AO70" i="1"/>
  <c r="AW70" i="1"/>
  <c r="AP83" i="1"/>
  <c r="L70" i="1"/>
  <c r="CE70" i="1" s="1"/>
  <c r="BU128" i="1" l="1"/>
  <c r="BX128" i="1"/>
  <c r="CJ85" i="1"/>
  <c r="CL84" i="1"/>
  <c r="CK84" i="1"/>
  <c r="CI83" i="1"/>
  <c r="BW128" i="1"/>
  <c r="BP128" i="1"/>
  <c r="AI129" i="1"/>
  <c r="BV129" i="1"/>
  <c r="CR129" i="1"/>
  <c r="CN129" i="1"/>
  <c r="CD89" i="1"/>
  <c r="CF89" i="1" s="1"/>
  <c r="M71" i="1"/>
  <c r="BO128" i="1"/>
  <c r="U86" i="1"/>
  <c r="BR106" i="1"/>
  <c r="BS106" i="1"/>
  <c r="CA90" i="1"/>
  <c r="CC90" i="1" s="1"/>
  <c r="AJ128" i="1"/>
  <c r="T86" i="1"/>
  <c r="CB85" i="1"/>
  <c r="AR128" i="1"/>
  <c r="AF128" i="1"/>
  <c r="CG84" i="1"/>
  <c r="BB128" i="1"/>
  <c r="AV128" i="1"/>
  <c r="AT128" i="1"/>
  <c r="AN128" i="1"/>
  <c r="AB71" i="1"/>
  <c r="CH71" i="1" s="1"/>
  <c r="AC71" i="1"/>
  <c r="BD128" i="1"/>
  <c r="AD128" i="1"/>
  <c r="AL128" i="1"/>
  <c r="CT128" i="1"/>
  <c r="AS128" i="1"/>
  <c r="BA128" i="1"/>
  <c r="AY129" i="1"/>
  <c r="BT129" i="1" s="1"/>
  <c r="S129" i="1"/>
  <c r="CP129" i="1"/>
  <c r="CM130" i="1"/>
  <c r="AQ129" i="1"/>
  <c r="AA129" i="1"/>
  <c r="K129" i="1"/>
  <c r="AP127" i="1"/>
  <c r="AX127" i="1"/>
  <c r="CU128" i="1"/>
  <c r="AZ128" i="1"/>
  <c r="AK128" i="1"/>
  <c r="CS129" i="1"/>
  <c r="AE41" i="1"/>
  <c r="AG40" i="1"/>
  <c r="AH40" i="1"/>
  <c r="BH83" i="1"/>
  <c r="BI84" i="1" s="1"/>
  <c r="BF84" i="1"/>
  <c r="BE71" i="1"/>
  <c r="BC71" i="1"/>
  <c r="AU71" i="1"/>
  <c r="AO71" i="1"/>
  <c r="AM71" i="1"/>
  <c r="AW71" i="1"/>
  <c r="AP84" i="1"/>
  <c r="AX83" i="1"/>
  <c r="L71" i="1"/>
  <c r="CE71" i="1" s="1"/>
  <c r="BU129" i="1" l="1"/>
  <c r="CJ86" i="1"/>
  <c r="CL85" i="1"/>
  <c r="CK85" i="1"/>
  <c r="BX129" i="1"/>
  <c r="CI84" i="1"/>
  <c r="AJ129" i="1"/>
  <c r="U87" i="1"/>
  <c r="CR130" i="1"/>
  <c r="BW129" i="1"/>
  <c r="AI130" i="1"/>
  <c r="BV130" i="1"/>
  <c r="BP129" i="1"/>
  <c r="CN130" i="1"/>
  <c r="AK129" i="1"/>
  <c r="CD90" i="1"/>
  <c r="CF90" i="1" s="1"/>
  <c r="M72" i="1"/>
  <c r="BO129" i="1"/>
  <c r="AZ129" i="1"/>
  <c r="BR107" i="1"/>
  <c r="BS107" i="1"/>
  <c r="T87" i="1"/>
  <c r="CB86" i="1"/>
  <c r="CA91" i="1"/>
  <c r="CC91" i="1" s="1"/>
  <c r="AR129" i="1"/>
  <c r="AL129" i="1"/>
  <c r="BD129" i="1"/>
  <c r="BB129" i="1"/>
  <c r="CS130" i="1"/>
  <c r="CT129" i="1"/>
  <c r="AN129" i="1"/>
  <c r="AC72" i="1"/>
  <c r="AT129" i="1"/>
  <c r="CG85" i="1"/>
  <c r="AB72" i="1"/>
  <c r="CH72" i="1" s="1"/>
  <c r="AD129" i="1"/>
  <c r="AV129" i="1"/>
  <c r="AF129" i="1"/>
  <c r="CQ129" i="1"/>
  <c r="BF128" i="1"/>
  <c r="AS129" i="1"/>
  <c r="CU129" i="1"/>
  <c r="AX128" i="1"/>
  <c r="BA129" i="1"/>
  <c r="AP128" i="1"/>
  <c r="AY130" i="1"/>
  <c r="BT130" i="1" s="1"/>
  <c r="CP130" i="1"/>
  <c r="AQ130" i="1"/>
  <c r="AA130" i="1"/>
  <c r="K130" i="1"/>
  <c r="CM131" i="1"/>
  <c r="S130" i="1"/>
  <c r="AH41" i="1"/>
  <c r="AG41" i="1"/>
  <c r="AE42" i="1"/>
  <c r="BH84" i="1"/>
  <c r="BI85" i="1" s="1"/>
  <c r="BF85" i="1"/>
  <c r="AP85" i="1"/>
  <c r="BE72" i="1"/>
  <c r="BC72" i="1"/>
  <c r="AU72" i="1"/>
  <c r="AM72" i="1"/>
  <c r="AO72" i="1"/>
  <c r="AW72" i="1"/>
  <c r="AX84" i="1"/>
  <c r="L72" i="1"/>
  <c r="CE72" i="1" s="1"/>
  <c r="AJ130" i="1" l="1"/>
  <c r="BU130" i="1"/>
  <c r="CJ87" i="1"/>
  <c r="CL86" i="1"/>
  <c r="CK86" i="1"/>
  <c r="U88" i="1"/>
  <c r="CI85" i="1"/>
  <c r="BX130" i="1"/>
  <c r="BP130" i="1"/>
  <c r="CN131" i="1"/>
  <c r="AI131" i="1"/>
  <c r="AJ131" i="1" s="1"/>
  <c r="BV131" i="1"/>
  <c r="CR131" i="1"/>
  <c r="BW130" i="1"/>
  <c r="CD91" i="1"/>
  <c r="CF91" i="1" s="1"/>
  <c r="M73" i="1"/>
  <c r="BO130" i="1"/>
  <c r="BF129" i="1"/>
  <c r="AZ130" i="1"/>
  <c r="BR108" i="1"/>
  <c r="BS108" i="1"/>
  <c r="BZ8" i="1" s="1"/>
  <c r="CA92" i="1"/>
  <c r="CC92" i="1" s="1"/>
  <c r="T88" i="1"/>
  <c r="CB87" i="1"/>
  <c r="CS131" i="1"/>
  <c r="CT130" i="1"/>
  <c r="AN130" i="1"/>
  <c r="AT130" i="1"/>
  <c r="AF130" i="1"/>
  <c r="AB73" i="1"/>
  <c r="CH73" i="1" s="1"/>
  <c r="AC73" i="1"/>
  <c r="AV130" i="1"/>
  <c r="AL130" i="1"/>
  <c r="BB130" i="1"/>
  <c r="AD130" i="1"/>
  <c r="CG86" i="1"/>
  <c r="BD130" i="1"/>
  <c r="AS130" i="1"/>
  <c r="BA130" i="1"/>
  <c r="CU130" i="1"/>
  <c r="AR130" i="1"/>
  <c r="AP129" i="1"/>
  <c r="AY131" i="1"/>
  <c r="BT131" i="1" s="1"/>
  <c r="AQ131" i="1"/>
  <c r="AA131" i="1"/>
  <c r="CP131" i="1"/>
  <c r="CM132" i="1"/>
  <c r="S131" i="1"/>
  <c r="K131" i="1"/>
  <c r="AX129" i="1"/>
  <c r="CQ130" i="1"/>
  <c r="AK130" i="1"/>
  <c r="AE43" i="1"/>
  <c r="AH42" i="1"/>
  <c r="AG42" i="1"/>
  <c r="BH85" i="1"/>
  <c r="BI86" i="1" s="1"/>
  <c r="BF86" i="1"/>
  <c r="BE73" i="1"/>
  <c r="BC73" i="1"/>
  <c r="AU73" i="1"/>
  <c r="AM73" i="1"/>
  <c r="AO73" i="1"/>
  <c r="AW73" i="1"/>
  <c r="AX85" i="1"/>
  <c r="AP86" i="1"/>
  <c r="L73" i="1"/>
  <c r="CE73" i="1" s="1"/>
  <c r="BU131" i="1" l="1"/>
  <c r="CJ88" i="1"/>
  <c r="CK87" i="1"/>
  <c r="CL87" i="1"/>
  <c r="CI86" i="1"/>
  <c r="BW131" i="1"/>
  <c r="BX131" i="1"/>
  <c r="AZ131" i="1"/>
  <c r="BP131" i="1"/>
  <c r="CN132" i="1"/>
  <c r="AI132" i="1"/>
  <c r="BV132" i="1"/>
  <c r="CR132" i="1"/>
  <c r="CD92" i="1"/>
  <c r="CF92" i="1" s="1"/>
  <c r="M74" i="1"/>
  <c r="BO131" i="1"/>
  <c r="BR109" i="1"/>
  <c r="BS109" i="1"/>
  <c r="BZ9" i="1" s="1"/>
  <c r="CT131" i="1"/>
  <c r="CA93" i="1"/>
  <c r="CC93" i="1" s="1"/>
  <c r="T89" i="1"/>
  <c r="U89" i="1"/>
  <c r="CB88" i="1"/>
  <c r="CS132" i="1"/>
  <c r="AT131" i="1"/>
  <c r="AK131" i="1"/>
  <c r="AL131" i="1"/>
  <c r="CQ131" i="1"/>
  <c r="AB74" i="1"/>
  <c r="CH74" i="1" s="1"/>
  <c r="AD131" i="1"/>
  <c r="AV131" i="1"/>
  <c r="AF131" i="1"/>
  <c r="BD131" i="1"/>
  <c r="AC74" i="1"/>
  <c r="CG87" i="1"/>
  <c r="BF130" i="1"/>
  <c r="BB131" i="1"/>
  <c r="AN131" i="1"/>
  <c r="BA131" i="1"/>
  <c r="AX130" i="1"/>
  <c r="AR131" i="1"/>
  <c r="AY132" i="1"/>
  <c r="BT132" i="1" s="1"/>
  <c r="CP132" i="1"/>
  <c r="S132" i="1"/>
  <c r="CM133" i="1"/>
  <c r="AQ132" i="1"/>
  <c r="AA132" i="1"/>
  <c r="K132" i="1"/>
  <c r="AP130" i="1"/>
  <c r="CU131" i="1"/>
  <c r="AS131" i="1"/>
  <c r="AH43" i="1"/>
  <c r="AG43" i="1"/>
  <c r="AE44" i="1"/>
  <c r="BH86" i="1"/>
  <c r="BI87" i="1" s="1"/>
  <c r="BF87" i="1"/>
  <c r="AX86" i="1"/>
  <c r="BE74" i="1"/>
  <c r="BC74" i="1"/>
  <c r="AU74" i="1"/>
  <c r="AM74" i="1"/>
  <c r="AO74" i="1"/>
  <c r="AW74" i="1"/>
  <c r="AP87" i="1"/>
  <c r="L74" i="1"/>
  <c r="CE74" i="1" s="1"/>
  <c r="BU132" i="1" l="1"/>
  <c r="CJ89" i="1"/>
  <c r="CL88" i="1"/>
  <c r="CK88" i="1"/>
  <c r="AZ132" i="1"/>
  <c r="BF131" i="1"/>
  <c r="CI87" i="1"/>
  <c r="BW132" i="1"/>
  <c r="AT132" i="1"/>
  <c r="BX132" i="1"/>
  <c r="CN133" i="1"/>
  <c r="BP132" i="1"/>
  <c r="CR133" i="1"/>
  <c r="AI133" i="1"/>
  <c r="BV133" i="1"/>
  <c r="CS133" i="1"/>
  <c r="CD93" i="1"/>
  <c r="CF93" i="1" s="1"/>
  <c r="M75" i="1"/>
  <c r="BO132" i="1"/>
  <c r="AK132" i="1"/>
  <c r="CT132" i="1"/>
  <c r="BR110" i="1"/>
  <c r="BS110" i="1"/>
  <c r="BZ10" i="1" s="1"/>
  <c r="CA94" i="1"/>
  <c r="CC94" i="1" s="1"/>
  <c r="T90" i="1"/>
  <c r="U90" i="1"/>
  <c r="CB89" i="1"/>
  <c r="AC75" i="1"/>
  <c r="BB132" i="1"/>
  <c r="AD132" i="1"/>
  <c r="AN132" i="1"/>
  <c r="CG88" i="1"/>
  <c r="AL132" i="1"/>
  <c r="AF132" i="1"/>
  <c r="AB75" i="1"/>
  <c r="CH75" i="1" s="1"/>
  <c r="BD132" i="1"/>
  <c r="AV132" i="1"/>
  <c r="CU132" i="1"/>
  <c r="AR132" i="1"/>
  <c r="CQ132" i="1"/>
  <c r="BA132" i="1"/>
  <c r="AJ132" i="1"/>
  <c r="AS132" i="1"/>
  <c r="AY133" i="1"/>
  <c r="BT133" i="1" s="1"/>
  <c r="S133" i="1"/>
  <c r="CP133" i="1"/>
  <c r="CM134" i="1"/>
  <c r="AQ133" i="1"/>
  <c r="AA133" i="1"/>
  <c r="K133" i="1"/>
  <c r="AX131" i="1"/>
  <c r="AP131" i="1"/>
  <c r="AE45" i="1"/>
  <c r="AG44" i="1"/>
  <c r="AH44" i="1"/>
  <c r="BH87" i="1"/>
  <c r="BI88" i="1" s="1"/>
  <c r="BF88" i="1"/>
  <c r="AX87" i="1"/>
  <c r="AP88" i="1"/>
  <c r="AU75" i="1"/>
  <c r="AM75" i="1"/>
  <c r="BE75" i="1"/>
  <c r="BC75" i="1"/>
  <c r="AO75" i="1"/>
  <c r="AW75" i="1"/>
  <c r="L75" i="1"/>
  <c r="CE75" i="1" s="1"/>
  <c r="BW133" i="1" l="1"/>
  <c r="BU133" i="1"/>
  <c r="AZ133" i="1"/>
  <c r="BF132" i="1"/>
  <c r="CJ90" i="1"/>
  <c r="CL89" i="1"/>
  <c r="CK89" i="1"/>
  <c r="CI88" i="1"/>
  <c r="CT133" i="1"/>
  <c r="BX133" i="1"/>
  <c r="AI134" i="1"/>
  <c r="BV134" i="1"/>
  <c r="BP133" i="1"/>
  <c r="CR134" i="1"/>
  <c r="CN134" i="1"/>
  <c r="CS134" i="1"/>
  <c r="CD94" i="1"/>
  <c r="CF94" i="1" s="1"/>
  <c r="M76" i="1"/>
  <c r="BO133" i="1"/>
  <c r="BR111" i="1"/>
  <c r="BS111" i="1"/>
  <c r="BZ11" i="1" s="1"/>
  <c r="T91" i="1"/>
  <c r="U91" i="1"/>
  <c r="CB90" i="1"/>
  <c r="CA95" i="1"/>
  <c r="CC95" i="1" s="1"/>
  <c r="AR133" i="1"/>
  <c r="AN133" i="1"/>
  <c r="AB76" i="1"/>
  <c r="CH76" i="1" s="1"/>
  <c r="AL133" i="1"/>
  <c r="AD133" i="1"/>
  <c r="BB133" i="1"/>
  <c r="AV133" i="1"/>
  <c r="AF133" i="1"/>
  <c r="BD133" i="1"/>
  <c r="AC76" i="1"/>
  <c r="CG89" i="1"/>
  <c r="AT133" i="1"/>
  <c r="CU133" i="1"/>
  <c r="AK133" i="1"/>
  <c r="AS133" i="1"/>
  <c r="AP132" i="1"/>
  <c r="AX132" i="1"/>
  <c r="AJ133" i="1"/>
  <c r="AY134" i="1"/>
  <c r="AZ134" i="1" s="1"/>
  <c r="CP134" i="1"/>
  <c r="CT134" i="1" s="1"/>
  <c r="AQ134" i="1"/>
  <c r="AA134" i="1"/>
  <c r="K134" i="1"/>
  <c r="CM135" i="1"/>
  <c r="S134" i="1"/>
  <c r="BA133" i="1"/>
  <c r="CQ133" i="1"/>
  <c r="AG45" i="1"/>
  <c r="AH45" i="1"/>
  <c r="AE46" i="1"/>
  <c r="BH88" i="1"/>
  <c r="BI89" i="1" s="1"/>
  <c r="BF89" i="1"/>
  <c r="AP89" i="1"/>
  <c r="AX88" i="1"/>
  <c r="AU76" i="1"/>
  <c r="BE76" i="1"/>
  <c r="BC76" i="1"/>
  <c r="AM76" i="1"/>
  <c r="AO76" i="1"/>
  <c r="AW76" i="1"/>
  <c r="L76" i="1"/>
  <c r="CE76" i="1" s="1"/>
  <c r="BU134" i="1" l="1"/>
  <c r="BT134" i="1"/>
  <c r="CJ91" i="1"/>
  <c r="CL90" i="1"/>
  <c r="CK90" i="1"/>
  <c r="BX134" i="1"/>
  <c r="CI89" i="1"/>
  <c r="AC77" i="1"/>
  <c r="BP134" i="1"/>
  <c r="CN135" i="1"/>
  <c r="AI135" i="1"/>
  <c r="BV135" i="1"/>
  <c r="CR135" i="1"/>
  <c r="BW134" i="1"/>
  <c r="CD95" i="1"/>
  <c r="CF95" i="1" s="1"/>
  <c r="M77" i="1"/>
  <c r="BO134" i="1"/>
  <c r="AR134" i="1"/>
  <c r="BR112" i="1"/>
  <c r="BS112" i="1"/>
  <c r="BZ12" i="1" s="1"/>
  <c r="U92" i="1"/>
  <c r="T92" i="1"/>
  <c r="CB91" i="1"/>
  <c r="AN134" i="1"/>
  <c r="CA96" i="1"/>
  <c r="CC96" i="1" s="1"/>
  <c r="AV134" i="1"/>
  <c r="BB134" i="1"/>
  <c r="AB77" i="1"/>
  <c r="CH77" i="1" s="1"/>
  <c r="CG90" i="1"/>
  <c r="AT134" i="1"/>
  <c r="BD134" i="1"/>
  <c r="BF134" i="1" s="1"/>
  <c r="AD134" i="1"/>
  <c r="BF133" i="1"/>
  <c r="AF134" i="1"/>
  <c r="AL134" i="1"/>
  <c r="CQ134" i="1"/>
  <c r="BA134" i="1"/>
  <c r="AY135" i="1"/>
  <c r="AZ135" i="1" s="1"/>
  <c r="AQ135" i="1"/>
  <c r="AA135" i="1"/>
  <c r="CP135" i="1"/>
  <c r="CT135" i="1" s="1"/>
  <c r="CM136" i="1"/>
  <c r="S135" i="1"/>
  <c r="K135" i="1"/>
  <c r="AX133" i="1"/>
  <c r="AJ134" i="1"/>
  <c r="AS134" i="1"/>
  <c r="CU134" i="1"/>
  <c r="CS135" i="1"/>
  <c r="AP133" i="1"/>
  <c r="AK134" i="1"/>
  <c r="AE47" i="1"/>
  <c r="AH46" i="1"/>
  <c r="AG46" i="1"/>
  <c r="BH89" i="1"/>
  <c r="BI90" i="1" s="1"/>
  <c r="BF90" i="1"/>
  <c r="AX89" i="1"/>
  <c r="AP90" i="1"/>
  <c r="BC77" i="1"/>
  <c r="BE77" i="1"/>
  <c r="AM77" i="1"/>
  <c r="AU77" i="1"/>
  <c r="AO77" i="1"/>
  <c r="AW77" i="1"/>
  <c r="L77" i="1"/>
  <c r="CE77" i="1" s="1"/>
  <c r="BT135" i="1" l="1"/>
  <c r="BU135" i="1"/>
  <c r="CJ92" i="1"/>
  <c r="CL91" i="1"/>
  <c r="CK91" i="1"/>
  <c r="CI90" i="1"/>
  <c r="BO135" i="1"/>
  <c r="BW135" i="1"/>
  <c r="CN136" i="1"/>
  <c r="BP135" i="1"/>
  <c r="CR136" i="1"/>
  <c r="AI136" i="1"/>
  <c r="BV136" i="1"/>
  <c r="BX135" i="1"/>
  <c r="CD96" i="1"/>
  <c r="CF96" i="1" s="1"/>
  <c r="M78" i="1"/>
  <c r="AR135" i="1"/>
  <c r="AN135" i="1"/>
  <c r="BR113" i="1"/>
  <c r="BS113" i="1"/>
  <c r="BZ13" i="1" s="1"/>
  <c r="AS135" i="1"/>
  <c r="T93" i="1"/>
  <c r="U93" i="1"/>
  <c r="CB92" i="1"/>
  <c r="CA97" i="1"/>
  <c r="CC97" i="1" s="1"/>
  <c r="AT135" i="1"/>
  <c r="AV135" i="1"/>
  <c r="AB78" i="1"/>
  <c r="CH78" i="1" s="1"/>
  <c r="AL135" i="1"/>
  <c r="AD135" i="1"/>
  <c r="BB135" i="1"/>
  <c r="AF135" i="1"/>
  <c r="BD135" i="1"/>
  <c r="BF135" i="1" s="1"/>
  <c r="CG91" i="1"/>
  <c r="AC78" i="1"/>
  <c r="AK135" i="1"/>
  <c r="AJ135" i="1"/>
  <c r="CU135" i="1"/>
  <c r="BA135" i="1"/>
  <c r="CQ135" i="1"/>
  <c r="CS136" i="1"/>
  <c r="AP134" i="1"/>
  <c r="AX134" i="1"/>
  <c r="AY136" i="1"/>
  <c r="AZ136" i="1" s="1"/>
  <c r="CP136" i="1"/>
  <c r="CT136" i="1" s="1"/>
  <c r="S136" i="1"/>
  <c r="BO136" i="1" s="1"/>
  <c r="CM137" i="1"/>
  <c r="AQ136" i="1"/>
  <c r="AA136" i="1"/>
  <c r="K136" i="1"/>
  <c r="AH47" i="1"/>
  <c r="AG47" i="1"/>
  <c r="AE48" i="1"/>
  <c r="BH90" i="1"/>
  <c r="BI91" i="1" s="1"/>
  <c r="BF91" i="1"/>
  <c r="AP91" i="1"/>
  <c r="AX90" i="1"/>
  <c r="BE78" i="1"/>
  <c r="AM78" i="1"/>
  <c r="BC78" i="1"/>
  <c r="AU78" i="1"/>
  <c r="AO78" i="1"/>
  <c r="AW78" i="1"/>
  <c r="L78" i="1"/>
  <c r="CE78" i="1" s="1"/>
  <c r="AC79" i="1" l="1"/>
  <c r="BU136" i="1"/>
  <c r="BT136" i="1"/>
  <c r="CJ93" i="1"/>
  <c r="CL92" i="1"/>
  <c r="CK92" i="1"/>
  <c r="BW136" i="1"/>
  <c r="BX136" i="1"/>
  <c r="CI91" i="1"/>
  <c r="CR137" i="1"/>
  <c r="AI137" i="1"/>
  <c r="BV137" i="1"/>
  <c r="CN137" i="1"/>
  <c r="AN136" i="1"/>
  <c r="BP136" i="1"/>
  <c r="CD97" i="1"/>
  <c r="CF97" i="1" s="1"/>
  <c r="M79" i="1"/>
  <c r="AS136" i="1"/>
  <c r="BR114" i="1"/>
  <c r="BS114" i="1"/>
  <c r="BZ14" i="1" s="1"/>
  <c r="U94" i="1"/>
  <c r="T94" i="1"/>
  <c r="CB93" i="1"/>
  <c r="CA98" i="1"/>
  <c r="CC98" i="1" s="1"/>
  <c r="AF136" i="1"/>
  <c r="AT136" i="1"/>
  <c r="BB136" i="1"/>
  <c r="AB79" i="1"/>
  <c r="CG92" i="1"/>
  <c r="AD136" i="1"/>
  <c r="AV136" i="1"/>
  <c r="BD136" i="1"/>
  <c r="BF136" i="1" s="1"/>
  <c r="AL136" i="1"/>
  <c r="AJ136" i="1"/>
  <c r="CS137" i="1"/>
  <c r="CQ136" i="1"/>
  <c r="BA136" i="1"/>
  <c r="CU136" i="1"/>
  <c r="AK136" i="1"/>
  <c r="AR136" i="1"/>
  <c r="AX135" i="1"/>
  <c r="AP135" i="1"/>
  <c r="AY137" i="1"/>
  <c r="AZ137" i="1" s="1"/>
  <c r="S137" i="1"/>
  <c r="BO137" i="1" s="1"/>
  <c r="CP137" i="1"/>
  <c r="CT137" i="1" s="1"/>
  <c r="CM138" i="1"/>
  <c r="AQ137" i="1"/>
  <c r="AA137" i="1"/>
  <c r="K137" i="1"/>
  <c r="AE49" i="1"/>
  <c r="AH48" i="1"/>
  <c r="AG48" i="1"/>
  <c r="BH91" i="1"/>
  <c r="BI92" i="1" s="1"/>
  <c r="BF92" i="1"/>
  <c r="AX91" i="1"/>
  <c r="AP92" i="1"/>
  <c r="BE79" i="1"/>
  <c r="AU79" i="1"/>
  <c r="AM79" i="1"/>
  <c r="BC79" i="1"/>
  <c r="AO79" i="1"/>
  <c r="AW79" i="1"/>
  <c r="L79" i="1"/>
  <c r="CE79" i="1" s="1"/>
  <c r="BT137" i="1" l="1"/>
  <c r="BU137" i="1"/>
  <c r="BX137" i="1"/>
  <c r="CJ94" i="1"/>
  <c r="CL93" i="1"/>
  <c r="CK93" i="1"/>
  <c r="CI92" i="1"/>
  <c r="AC80" i="1"/>
  <c r="CH79" i="1"/>
  <c r="AI138" i="1"/>
  <c r="BV138" i="1"/>
  <c r="CN138" i="1"/>
  <c r="CR138" i="1"/>
  <c r="BW137" i="1"/>
  <c r="BP137" i="1"/>
  <c r="CD98" i="1"/>
  <c r="CF98" i="1" s="1"/>
  <c r="M80" i="1"/>
  <c r="BR115" i="1"/>
  <c r="BS115" i="1"/>
  <c r="BZ15" i="1" s="1"/>
  <c r="AF137" i="1"/>
  <c r="T95" i="1"/>
  <c r="U95" i="1"/>
  <c r="CB94" i="1"/>
  <c r="CA99" i="1"/>
  <c r="CC99" i="1" s="1"/>
  <c r="AJ137" i="1"/>
  <c r="AT137" i="1"/>
  <c r="AD137" i="1"/>
  <c r="AV137" i="1"/>
  <c r="AL137" i="1"/>
  <c r="AB80" i="1"/>
  <c r="BD137" i="1"/>
  <c r="CG93" i="1"/>
  <c r="BB137" i="1"/>
  <c r="AN137" i="1"/>
  <c r="AS137" i="1"/>
  <c r="CU137" i="1"/>
  <c r="AY138" i="1"/>
  <c r="AZ138" i="1" s="1"/>
  <c r="CP138" i="1"/>
  <c r="CT138" i="1" s="1"/>
  <c r="AQ138" i="1"/>
  <c r="AA138" i="1"/>
  <c r="CM139" i="1"/>
  <c r="S138" i="1"/>
  <c r="BO138" i="1" s="1"/>
  <c r="K138" i="1"/>
  <c r="BA137" i="1"/>
  <c r="AP136" i="1"/>
  <c r="AR137" i="1"/>
  <c r="CQ137" i="1"/>
  <c r="AK137" i="1"/>
  <c r="CS138" i="1"/>
  <c r="AX136" i="1"/>
  <c r="AG49" i="1"/>
  <c r="AH49" i="1"/>
  <c r="AE50" i="1"/>
  <c r="BH92" i="1"/>
  <c r="BI93" i="1" s="1"/>
  <c r="BF93" i="1"/>
  <c r="AP93" i="1"/>
  <c r="AX92" i="1"/>
  <c r="AU80" i="1"/>
  <c r="AM80" i="1"/>
  <c r="BE80" i="1"/>
  <c r="BC80" i="1"/>
  <c r="AO80" i="1"/>
  <c r="AW80" i="1"/>
  <c r="L80" i="1"/>
  <c r="CE80" i="1" s="1"/>
  <c r="BU138" i="1" l="1"/>
  <c r="BT138" i="1"/>
  <c r="CJ95" i="1"/>
  <c r="CL94" i="1"/>
  <c r="CK94" i="1"/>
  <c r="CI93" i="1"/>
  <c r="AC81" i="1"/>
  <c r="CH80" i="1"/>
  <c r="CN139" i="1"/>
  <c r="AI139" i="1"/>
  <c r="BV139" i="1"/>
  <c r="BW138" i="1"/>
  <c r="CR139" i="1"/>
  <c r="BX138" i="1"/>
  <c r="AJ138" i="1"/>
  <c r="BP138" i="1"/>
  <c r="CD99" i="1"/>
  <c r="CF99" i="1" s="1"/>
  <c r="M81" i="1"/>
  <c r="AF138" i="1"/>
  <c r="BR116" i="1"/>
  <c r="BS116" i="1"/>
  <c r="BZ16" i="1" s="1"/>
  <c r="CA100" i="1"/>
  <c r="CC100" i="1" s="1"/>
  <c r="T96" i="1"/>
  <c r="U96" i="1"/>
  <c r="CB95" i="1"/>
  <c r="CU138" i="1"/>
  <c r="AK138" i="1"/>
  <c r="BA138" i="1"/>
  <c r="AN138" i="1"/>
  <c r="BB138" i="1"/>
  <c r="BD138" i="1"/>
  <c r="BF138" i="1" s="1"/>
  <c r="AV138" i="1"/>
  <c r="AL138" i="1"/>
  <c r="CQ138" i="1"/>
  <c r="BF137" i="1"/>
  <c r="AD138" i="1"/>
  <c r="CG94" i="1"/>
  <c r="AB81" i="1"/>
  <c r="AT138" i="1"/>
  <c r="AR138" i="1"/>
  <c r="CS139" i="1"/>
  <c r="AP137" i="1"/>
  <c r="AX137" i="1"/>
  <c r="AY139" i="1"/>
  <c r="AZ139" i="1" s="1"/>
  <c r="AQ139" i="1"/>
  <c r="AA139" i="1"/>
  <c r="AF139" i="1" s="1"/>
  <c r="CP139" i="1"/>
  <c r="CM140" i="1"/>
  <c r="S139" i="1"/>
  <c r="BO139" i="1" s="1"/>
  <c r="K139" i="1"/>
  <c r="AS138" i="1"/>
  <c r="AE51" i="1"/>
  <c r="AH50" i="1"/>
  <c r="AG50" i="1"/>
  <c r="BH93" i="1"/>
  <c r="BI94" i="1" s="1"/>
  <c r="BF94" i="1"/>
  <c r="AX93" i="1"/>
  <c r="AP94" i="1"/>
  <c r="AU81" i="1"/>
  <c r="BC81" i="1"/>
  <c r="AM81" i="1"/>
  <c r="BE81" i="1"/>
  <c r="AO81" i="1"/>
  <c r="AW81" i="1"/>
  <c r="L81" i="1"/>
  <c r="CE81" i="1" s="1"/>
  <c r="AJ139" i="1" l="1"/>
  <c r="BT139" i="1"/>
  <c r="BU139" i="1"/>
  <c r="CJ96" i="1"/>
  <c r="CK95" i="1"/>
  <c r="CL95" i="1"/>
  <c r="BW139" i="1"/>
  <c r="AC82" i="1"/>
  <c r="CH81" i="1"/>
  <c r="CI94" i="1"/>
  <c r="AI140" i="1"/>
  <c r="AJ140" i="1" s="1"/>
  <c r="BV140" i="1"/>
  <c r="BX139" i="1"/>
  <c r="CR140" i="1"/>
  <c r="CN140" i="1"/>
  <c r="BP139" i="1"/>
  <c r="CD100" i="1"/>
  <c r="CF100" i="1" s="1"/>
  <c r="M82" i="1"/>
  <c r="BR117" i="1"/>
  <c r="BS117" i="1"/>
  <c r="BZ17" i="1" s="1"/>
  <c r="T97" i="1"/>
  <c r="U97" i="1"/>
  <c r="CB96" i="1"/>
  <c r="AK139" i="1"/>
  <c r="CA101" i="1"/>
  <c r="CC101" i="1" s="1"/>
  <c r="AT139" i="1"/>
  <c r="AR139" i="1"/>
  <c r="AD139" i="1"/>
  <c r="AB82" i="1"/>
  <c r="AV139" i="1"/>
  <c r="AL139" i="1"/>
  <c r="CG95" i="1"/>
  <c r="CQ139" i="1"/>
  <c r="AN139" i="1"/>
  <c r="BB139" i="1"/>
  <c r="BD139" i="1"/>
  <c r="BF139" i="1" s="1"/>
  <c r="AS139" i="1"/>
  <c r="CS140" i="1"/>
  <c r="BA139" i="1"/>
  <c r="AY140" i="1"/>
  <c r="AZ140" i="1" s="1"/>
  <c r="CP140" i="1"/>
  <c r="S140" i="1"/>
  <c r="BO140" i="1" s="1"/>
  <c r="CM141" i="1"/>
  <c r="AQ140" i="1"/>
  <c r="AA140" i="1"/>
  <c r="K140" i="1"/>
  <c r="CU139" i="1"/>
  <c r="CT139" i="1"/>
  <c r="CT140" i="1" s="1"/>
  <c r="AX138" i="1"/>
  <c r="AP138" i="1"/>
  <c r="AH51" i="1"/>
  <c r="AG51" i="1"/>
  <c r="AE52" i="1"/>
  <c r="BH94" i="1"/>
  <c r="BI95" i="1" s="1"/>
  <c r="BF95" i="1"/>
  <c r="AP95" i="1"/>
  <c r="AX94" i="1"/>
  <c r="AU82" i="1"/>
  <c r="BC82" i="1"/>
  <c r="BE82" i="1"/>
  <c r="AM82" i="1"/>
  <c r="AO82" i="1"/>
  <c r="AW82" i="1"/>
  <c r="L82" i="1"/>
  <c r="CE82" i="1" s="1"/>
  <c r="BW140" i="1" l="1"/>
  <c r="BU140" i="1"/>
  <c r="BT140" i="1"/>
  <c r="AR140" i="1"/>
  <c r="CJ97" i="1"/>
  <c r="CL96" i="1"/>
  <c r="CK96" i="1"/>
  <c r="BX140" i="1"/>
  <c r="AC83" i="1"/>
  <c r="CH82" i="1"/>
  <c r="CI95" i="1"/>
  <c r="AI141" i="1"/>
  <c r="BV141" i="1"/>
  <c r="BW141" i="1" s="1"/>
  <c r="CR141" i="1"/>
  <c r="CN141" i="1"/>
  <c r="BP140" i="1"/>
  <c r="CD101" i="1"/>
  <c r="CF101" i="1" s="1"/>
  <c r="M83" i="1"/>
  <c r="U98" i="1"/>
  <c r="BR118" i="1"/>
  <c r="BS118" i="1"/>
  <c r="BZ18" i="1" s="1"/>
  <c r="CA102" i="1"/>
  <c r="CC102" i="1" s="1"/>
  <c r="T98" i="1"/>
  <c r="CB97" i="1"/>
  <c r="AL140" i="1"/>
  <c r="AT140" i="1"/>
  <c r="BD140" i="1"/>
  <c r="AV140" i="1"/>
  <c r="AD140" i="1"/>
  <c r="CQ140" i="1"/>
  <c r="BB140" i="1"/>
  <c r="CG96" i="1"/>
  <c r="AN140" i="1"/>
  <c r="AB83" i="1"/>
  <c r="AF140" i="1"/>
  <c r="BA140" i="1"/>
  <c r="AX139" i="1"/>
  <c r="AS140" i="1"/>
  <c r="AP139" i="1"/>
  <c r="CU140" i="1"/>
  <c r="AY141" i="1"/>
  <c r="AZ141" i="1" s="1"/>
  <c r="AJ141" i="1"/>
  <c r="CP141" i="1"/>
  <c r="CT141" i="1" s="1"/>
  <c r="CM142" i="1"/>
  <c r="AQ141" i="1"/>
  <c r="AR141" i="1" s="1"/>
  <c r="AA141" i="1"/>
  <c r="K141" i="1"/>
  <c r="S141" i="1"/>
  <c r="BO141" i="1" s="1"/>
  <c r="AK140" i="1"/>
  <c r="CS141" i="1"/>
  <c r="AE53" i="1"/>
  <c r="AH52" i="1"/>
  <c r="AG52" i="1"/>
  <c r="BH95" i="1"/>
  <c r="BI96" i="1" s="1"/>
  <c r="BF96" i="1"/>
  <c r="AX95" i="1"/>
  <c r="AP96" i="1"/>
  <c r="AM83" i="1"/>
  <c r="BE83" i="1"/>
  <c r="AU83" i="1"/>
  <c r="BC83" i="1"/>
  <c r="AO83" i="1"/>
  <c r="AW83" i="1"/>
  <c r="L83" i="1"/>
  <c r="CE83" i="1" s="1"/>
  <c r="BT141" i="1" l="1"/>
  <c r="BX141" i="1"/>
  <c r="BU141" i="1"/>
  <c r="CJ98" i="1"/>
  <c r="CL97" i="1"/>
  <c r="CK97" i="1"/>
  <c r="AC84" i="1"/>
  <c r="CH83" i="1"/>
  <c r="CI96" i="1"/>
  <c r="AI142" i="1"/>
  <c r="BV142" i="1"/>
  <c r="BX142" i="1" s="1"/>
  <c r="CR142" i="1"/>
  <c r="CN142" i="1"/>
  <c r="BP141" i="1"/>
  <c r="CD102" i="1"/>
  <c r="CF102" i="1" s="1"/>
  <c r="M84" i="1"/>
  <c r="BR119" i="1"/>
  <c r="BS119" i="1"/>
  <c r="BZ19" i="1" s="1"/>
  <c r="U99" i="1"/>
  <c r="T99" i="1"/>
  <c r="CB98" i="1"/>
  <c r="CA103" i="1"/>
  <c r="CC103" i="1" s="1"/>
  <c r="AF141" i="1"/>
  <c r="BB141" i="1"/>
  <c r="AK141" i="1"/>
  <c r="AN141" i="1"/>
  <c r="BD141" i="1"/>
  <c r="BF141" i="1" s="1"/>
  <c r="AV141" i="1"/>
  <c r="AT141" i="1"/>
  <c r="CS142" i="1"/>
  <c r="AB84" i="1"/>
  <c r="CG97" i="1"/>
  <c r="AD141" i="1"/>
  <c r="AL141" i="1"/>
  <c r="BF140" i="1"/>
  <c r="CQ141" i="1"/>
  <c r="AY142" i="1"/>
  <c r="AZ142" i="1" s="1"/>
  <c r="CP142" i="1"/>
  <c r="CT142" i="1" s="1"/>
  <c r="AQ142" i="1"/>
  <c r="AR142" i="1" s="1"/>
  <c r="AA142" i="1"/>
  <c r="CM143" i="1"/>
  <c r="AJ142" i="1"/>
  <c r="S142" i="1"/>
  <c r="BO142" i="1" s="1"/>
  <c r="K142" i="1"/>
  <c r="AP140" i="1"/>
  <c r="CU141" i="1"/>
  <c r="BA141" i="1"/>
  <c r="AX140" i="1"/>
  <c r="AS141" i="1"/>
  <c r="AG53" i="1"/>
  <c r="AH53" i="1"/>
  <c r="AE54" i="1"/>
  <c r="BH96" i="1"/>
  <c r="BI97" i="1" s="1"/>
  <c r="BF98" i="1"/>
  <c r="BF97" i="1"/>
  <c r="AP98" i="1"/>
  <c r="AP97" i="1"/>
  <c r="AX96" i="1"/>
  <c r="BC84" i="1"/>
  <c r="AM84" i="1"/>
  <c r="BE84" i="1"/>
  <c r="AU84" i="1"/>
  <c r="AO84" i="1"/>
  <c r="AW84" i="1"/>
  <c r="L84" i="1"/>
  <c r="CE84" i="1" s="1"/>
  <c r="BT142" i="1" l="1"/>
  <c r="BU142" i="1"/>
  <c r="CJ99" i="1"/>
  <c r="CL98" i="1"/>
  <c r="CK98" i="1"/>
  <c r="CI97" i="1"/>
  <c r="AC85" i="1"/>
  <c r="CH84" i="1"/>
  <c r="BW142" i="1"/>
  <c r="CR143" i="1"/>
  <c r="AI143" i="1"/>
  <c r="BV143" i="1"/>
  <c r="CN143" i="1"/>
  <c r="BP142" i="1"/>
  <c r="CD103" i="1"/>
  <c r="CF103" i="1" s="1"/>
  <c r="M85" i="1"/>
  <c r="BA142" i="1"/>
  <c r="AK142" i="1"/>
  <c r="BR120" i="1"/>
  <c r="BS120" i="1"/>
  <c r="BZ20" i="1" s="1"/>
  <c r="T100" i="1"/>
  <c r="U100" i="1"/>
  <c r="CB99" i="1"/>
  <c r="CA104" i="1"/>
  <c r="CC104" i="1" s="1"/>
  <c r="BD142" i="1"/>
  <c r="BF142" i="1" s="1"/>
  <c r="CU142" i="1"/>
  <c r="AL142" i="1"/>
  <c r="BB142" i="1"/>
  <c r="CG98" i="1"/>
  <c r="AD142" i="1"/>
  <c r="AB85" i="1"/>
  <c r="CH85" i="1" s="1"/>
  <c r="AT142" i="1"/>
  <c r="AF142" i="1"/>
  <c r="AV142" i="1"/>
  <c r="AN142" i="1"/>
  <c r="AS142" i="1"/>
  <c r="AX141" i="1"/>
  <c r="AP141" i="1"/>
  <c r="CQ142" i="1"/>
  <c r="AY143" i="1"/>
  <c r="AZ143" i="1" s="1"/>
  <c r="AQ143" i="1"/>
  <c r="AR143" i="1" s="1"/>
  <c r="AA143" i="1"/>
  <c r="CP143" i="1"/>
  <c r="CM144" i="1"/>
  <c r="AJ143" i="1"/>
  <c r="S143" i="1"/>
  <c r="BO143" i="1" s="1"/>
  <c r="K143" i="1"/>
  <c r="CS143" i="1"/>
  <c r="AE55" i="1"/>
  <c r="AH54" i="1"/>
  <c r="AG54" i="1"/>
  <c r="BH97" i="1"/>
  <c r="BI98" i="1" s="1"/>
  <c r="AX98" i="1"/>
  <c r="AX97" i="1"/>
  <c r="BC85" i="1"/>
  <c r="AU85" i="1"/>
  <c r="BE85" i="1"/>
  <c r="AM85" i="1"/>
  <c r="AO85" i="1"/>
  <c r="AW85" i="1"/>
  <c r="L85" i="1"/>
  <c r="CE85" i="1" s="1"/>
  <c r="BT143" i="1" l="1"/>
  <c r="CS144" i="1"/>
  <c r="BU143" i="1"/>
  <c r="CJ100" i="1"/>
  <c r="CL99" i="1"/>
  <c r="CK99" i="1"/>
  <c r="BX143" i="1"/>
  <c r="CI98" i="1"/>
  <c r="BW143" i="1"/>
  <c r="CR144" i="1"/>
  <c r="AI144" i="1"/>
  <c r="BV144" i="1"/>
  <c r="CN144" i="1"/>
  <c r="BP143" i="1"/>
  <c r="CD104" i="1"/>
  <c r="CF104" i="1" s="1"/>
  <c r="M86" i="1"/>
  <c r="BR121" i="1"/>
  <c r="BS121" i="1"/>
  <c r="BZ21" i="1" s="1"/>
  <c r="T101" i="1"/>
  <c r="U101" i="1"/>
  <c r="CB100" i="1"/>
  <c r="CA105" i="1"/>
  <c r="CC105" i="1" s="1"/>
  <c r="BA143" i="1"/>
  <c r="AT143" i="1"/>
  <c r="AN143" i="1"/>
  <c r="CG99" i="1"/>
  <c r="BD143" i="1"/>
  <c r="BF143" i="1" s="1"/>
  <c r="CU143" i="1"/>
  <c r="AV143" i="1"/>
  <c r="AB86" i="1"/>
  <c r="CH86" i="1" s="1"/>
  <c r="BB143" i="1"/>
  <c r="AF143" i="1"/>
  <c r="AD143" i="1"/>
  <c r="AL143" i="1"/>
  <c r="AC86" i="1"/>
  <c r="CQ143" i="1"/>
  <c r="AK143" i="1"/>
  <c r="CT143" i="1"/>
  <c r="AS143" i="1"/>
  <c r="AX142" i="1"/>
  <c r="AY144" i="1"/>
  <c r="BT144" i="1" s="1"/>
  <c r="CP144" i="1"/>
  <c r="AJ144" i="1"/>
  <c r="S144" i="1"/>
  <c r="BO144" i="1" s="1"/>
  <c r="AQ144" i="1"/>
  <c r="AR144" i="1" s="1"/>
  <c r="AA144" i="1"/>
  <c r="K144" i="1"/>
  <c r="AP142" i="1"/>
  <c r="AE56" i="1"/>
  <c r="AH55" i="1"/>
  <c r="AG55" i="1"/>
  <c r="BH98" i="1"/>
  <c r="BH99" i="1" s="1"/>
  <c r="AU86" i="1"/>
  <c r="AM86" i="1"/>
  <c r="BE86" i="1"/>
  <c r="BC86" i="1"/>
  <c r="AO86" i="1"/>
  <c r="AW86" i="1"/>
  <c r="L86" i="1"/>
  <c r="CE86" i="1" s="1"/>
  <c r="BU144" i="1" l="1"/>
  <c r="A24" i="8" s="1"/>
  <c r="BX144" i="1"/>
  <c r="BY44" i="1" s="1"/>
  <c r="CJ101" i="1"/>
  <c r="CL100" i="1"/>
  <c r="CK100" i="1"/>
  <c r="BY45" i="1"/>
  <c r="BY46" i="1" s="1"/>
  <c r="BY47" i="1" s="1"/>
  <c r="BY48" i="1" s="1"/>
  <c r="BY49" i="1" s="1"/>
  <c r="BY50" i="1" s="1"/>
  <c r="BY51" i="1" s="1"/>
  <c r="BY52" i="1" s="1"/>
  <c r="BY53" i="1" s="1"/>
  <c r="BY54" i="1" s="1"/>
  <c r="BY55" i="1" s="1"/>
  <c r="BY56" i="1" s="1"/>
  <c r="BY57" i="1" s="1"/>
  <c r="BY58" i="1" s="1"/>
  <c r="BY59" i="1" s="1"/>
  <c r="BY60" i="1" s="1"/>
  <c r="BY61" i="1" s="1"/>
  <c r="BY62" i="1" s="1"/>
  <c r="BY63" i="1" s="1"/>
  <c r="BY64" i="1" s="1"/>
  <c r="BY65" i="1" s="1"/>
  <c r="BY66" i="1" s="1"/>
  <c r="BY67" i="1" s="1"/>
  <c r="BY68" i="1" s="1"/>
  <c r="BY69" i="1" s="1"/>
  <c r="BY70" i="1" s="1"/>
  <c r="BY71" i="1" s="1"/>
  <c r="BY72" i="1" s="1"/>
  <c r="BY73" i="1" s="1"/>
  <c r="BY74" i="1" s="1"/>
  <c r="BY75" i="1" s="1"/>
  <c r="BY76" i="1" s="1"/>
  <c r="BY77" i="1" s="1"/>
  <c r="BY78" i="1" s="1"/>
  <c r="BY79" i="1" s="1"/>
  <c r="BY80" i="1" s="1"/>
  <c r="BY81" i="1" s="1"/>
  <c r="BY82" i="1" s="1"/>
  <c r="BY83" i="1" s="1"/>
  <c r="BY84" i="1" s="1"/>
  <c r="BY85" i="1" s="1"/>
  <c r="BY86" i="1" s="1"/>
  <c r="BY87" i="1" s="1"/>
  <c r="BY88" i="1" s="1"/>
  <c r="BY89" i="1" s="1"/>
  <c r="BY90" i="1" s="1"/>
  <c r="BY91" i="1" s="1"/>
  <c r="BY92" i="1" s="1"/>
  <c r="BY93" i="1" s="1"/>
  <c r="BY94" i="1" s="1"/>
  <c r="BY95" i="1" s="1"/>
  <c r="BY96" i="1" s="1"/>
  <c r="BY97" i="1" s="1"/>
  <c r="BY98" i="1" s="1"/>
  <c r="BY99" i="1" s="1"/>
  <c r="BY100" i="1" s="1"/>
  <c r="BY101" i="1" s="1"/>
  <c r="BY102" i="1" s="1"/>
  <c r="BY103" i="1" s="1"/>
  <c r="BY104" i="1" s="1"/>
  <c r="BY105" i="1" s="1"/>
  <c r="BY106" i="1" s="1"/>
  <c r="BY107" i="1" s="1"/>
  <c r="BY108" i="1" s="1"/>
  <c r="BY109" i="1" s="1"/>
  <c r="BY110" i="1" s="1"/>
  <c r="BY111" i="1" s="1"/>
  <c r="BY112" i="1" s="1"/>
  <c r="BY113" i="1" s="1"/>
  <c r="BY114" i="1" s="1"/>
  <c r="BY115" i="1" s="1"/>
  <c r="BY116" i="1" s="1"/>
  <c r="BY117" i="1" s="1"/>
  <c r="BY118" i="1" s="1"/>
  <c r="BY119" i="1" s="1"/>
  <c r="BY120" i="1" s="1"/>
  <c r="BY121" i="1" s="1"/>
  <c r="BY122" i="1" s="1"/>
  <c r="BY123" i="1" s="1"/>
  <c r="BY124" i="1" s="1"/>
  <c r="BY125" i="1" s="1"/>
  <c r="BY126" i="1" s="1"/>
  <c r="BY127" i="1" s="1"/>
  <c r="BY128" i="1" s="1"/>
  <c r="BY129" i="1" s="1"/>
  <c r="BY130" i="1" s="1"/>
  <c r="BY131" i="1" s="1"/>
  <c r="BY132" i="1" s="1"/>
  <c r="BY133" i="1" s="1"/>
  <c r="BY134" i="1" s="1"/>
  <c r="BY135" i="1" s="1"/>
  <c r="BY136" i="1" s="1"/>
  <c r="BY137" i="1" s="1"/>
  <c r="BY138" i="1" s="1"/>
  <c r="BY139" i="1" s="1"/>
  <c r="BY140" i="1" s="1"/>
  <c r="BY141" i="1" s="1"/>
  <c r="BY142" i="1" s="1"/>
  <c r="BY143" i="1" s="1"/>
  <c r="BY144" i="1" s="1"/>
  <c r="A29" i="8"/>
  <c r="CI99" i="1"/>
  <c r="BW144" i="1"/>
  <c r="BP144" i="1"/>
  <c r="CD105" i="1"/>
  <c r="CF105" i="1" s="1"/>
  <c r="M87" i="1"/>
  <c r="BI99" i="1"/>
  <c r="BI100" i="1" s="1"/>
  <c r="BR122" i="1"/>
  <c r="BS122" i="1"/>
  <c r="BZ22" i="1" s="1"/>
  <c r="T102" i="1"/>
  <c r="U102" i="1"/>
  <c r="CB101" i="1"/>
  <c r="CA106" i="1"/>
  <c r="CC106" i="1" s="1"/>
  <c r="BA144" i="1"/>
  <c r="A17" i="8" s="1"/>
  <c r="CU144" i="1"/>
  <c r="AD144" i="1"/>
  <c r="AF144" i="1"/>
  <c r="AV144" i="1"/>
  <c r="CG100" i="1"/>
  <c r="AB87" i="1"/>
  <c r="CH87" i="1" s="1"/>
  <c r="AC87" i="1"/>
  <c r="BB144" i="1"/>
  <c r="AN144" i="1"/>
  <c r="AL144" i="1"/>
  <c r="BD144" i="1"/>
  <c r="AT144" i="1"/>
  <c r="AS144" i="1"/>
  <c r="A16" i="8" s="1"/>
  <c r="AP143" i="1"/>
  <c r="AX143" i="1"/>
  <c r="AK144" i="1"/>
  <c r="A15" i="8" s="1"/>
  <c r="AZ144" i="1"/>
  <c r="CQ144" i="1"/>
  <c r="CT144" i="1"/>
  <c r="BH100" i="1"/>
  <c r="AG56" i="1"/>
  <c r="AH56" i="1"/>
  <c r="AE57" i="1"/>
  <c r="AM87" i="1"/>
  <c r="BE87" i="1"/>
  <c r="AU87" i="1"/>
  <c r="BC87" i="1"/>
  <c r="AO87" i="1"/>
  <c r="AW87" i="1"/>
  <c r="L87" i="1"/>
  <c r="CE87" i="1" s="1"/>
  <c r="A30" i="8" l="1"/>
  <c r="A31" i="8"/>
  <c r="A28" i="8"/>
  <c r="CJ102" i="1"/>
  <c r="CL101" i="1"/>
  <c r="CK101" i="1"/>
  <c r="CI100" i="1"/>
  <c r="CD106" i="1"/>
  <c r="CF106" i="1" s="1"/>
  <c r="M88" i="1"/>
  <c r="BI101" i="1"/>
  <c r="BR123" i="1"/>
  <c r="BS123" i="1"/>
  <c r="BZ23" i="1" s="1"/>
  <c r="U103" i="1"/>
  <c r="T103" i="1"/>
  <c r="CB102" i="1"/>
  <c r="CA107" i="1"/>
  <c r="CC107" i="1" s="1"/>
  <c r="BF144" i="1"/>
  <c r="BQ44" i="1"/>
  <c r="CG101" i="1"/>
  <c r="AC88" i="1"/>
  <c r="AB88" i="1"/>
  <c r="CH88" i="1" s="1"/>
  <c r="AX144" i="1"/>
  <c r="AP144" i="1"/>
  <c r="BH101" i="1"/>
  <c r="BH102" i="1" s="1"/>
  <c r="BH103" i="1" s="1"/>
  <c r="BH104" i="1" s="1"/>
  <c r="BH105" i="1" s="1"/>
  <c r="BH106" i="1" s="1"/>
  <c r="BH107" i="1" s="1"/>
  <c r="BH108" i="1" s="1"/>
  <c r="BH109" i="1" s="1"/>
  <c r="BH110" i="1" s="1"/>
  <c r="BH111" i="1" s="1"/>
  <c r="BH112" i="1" s="1"/>
  <c r="BH113" i="1" s="1"/>
  <c r="BH114" i="1" s="1"/>
  <c r="BH115" i="1" s="1"/>
  <c r="BH116" i="1" s="1"/>
  <c r="BH117" i="1" s="1"/>
  <c r="BH118" i="1" s="1"/>
  <c r="BH119" i="1" s="1"/>
  <c r="BH120" i="1" s="1"/>
  <c r="BH121" i="1" s="1"/>
  <c r="BH122" i="1" s="1"/>
  <c r="BH123" i="1" s="1"/>
  <c r="BH124" i="1" s="1"/>
  <c r="BH125" i="1" s="1"/>
  <c r="BH126" i="1" s="1"/>
  <c r="BH127" i="1" s="1"/>
  <c r="BH128" i="1" s="1"/>
  <c r="BH129" i="1" s="1"/>
  <c r="BH130" i="1" s="1"/>
  <c r="BH131" i="1" s="1"/>
  <c r="BH132" i="1" s="1"/>
  <c r="BH133" i="1" s="1"/>
  <c r="BH134" i="1" s="1"/>
  <c r="BH135" i="1" s="1"/>
  <c r="BH136" i="1" s="1"/>
  <c r="BH137" i="1" s="1"/>
  <c r="BH138" i="1" s="1"/>
  <c r="BH139" i="1" s="1"/>
  <c r="BH140" i="1" s="1"/>
  <c r="BH141" i="1" s="1"/>
  <c r="BH142" i="1" s="1"/>
  <c r="BH143" i="1" s="1"/>
  <c r="BH144" i="1" s="1"/>
  <c r="AE58" i="1"/>
  <c r="AH57" i="1"/>
  <c r="AG57" i="1"/>
  <c r="BC88" i="1"/>
  <c r="BE88" i="1"/>
  <c r="AM88" i="1"/>
  <c r="AU88" i="1"/>
  <c r="AO88" i="1"/>
  <c r="AW88" i="1"/>
  <c r="L88" i="1"/>
  <c r="CE88" i="1" s="1"/>
  <c r="CJ103" i="1" l="1"/>
  <c r="CL102" i="1"/>
  <c r="CK102" i="1"/>
  <c r="A22" i="8"/>
  <c r="A21" i="8"/>
  <c r="BQ45" i="1"/>
  <c r="BQ46" i="1" s="1"/>
  <c r="BQ47" i="1" s="1"/>
  <c r="BQ48" i="1" s="1"/>
  <c r="BQ49" i="1" s="1"/>
  <c r="BQ50" i="1" s="1"/>
  <c r="BQ51" i="1" s="1"/>
  <c r="BQ52" i="1" s="1"/>
  <c r="BQ53" i="1" s="1"/>
  <c r="BQ54" i="1" s="1"/>
  <c r="BQ55" i="1" s="1"/>
  <c r="BQ56" i="1" s="1"/>
  <c r="BQ57" i="1" s="1"/>
  <c r="BQ58" i="1" s="1"/>
  <c r="BQ59" i="1" s="1"/>
  <c r="BQ60" i="1" s="1"/>
  <c r="BQ61" i="1" s="1"/>
  <c r="BQ62" i="1" s="1"/>
  <c r="BQ63" i="1" s="1"/>
  <c r="BQ64" i="1" s="1"/>
  <c r="BQ65" i="1" s="1"/>
  <c r="BQ66" i="1" s="1"/>
  <c r="BQ67" i="1" s="1"/>
  <c r="BQ68" i="1" s="1"/>
  <c r="BQ69" i="1" s="1"/>
  <c r="BQ70" i="1" s="1"/>
  <c r="BQ71" i="1" s="1"/>
  <c r="BQ72" i="1" s="1"/>
  <c r="BQ73" i="1" s="1"/>
  <c r="BQ74" i="1" s="1"/>
  <c r="BQ75" i="1" s="1"/>
  <c r="BQ76" i="1" s="1"/>
  <c r="BQ77" i="1" s="1"/>
  <c r="BQ78" i="1" s="1"/>
  <c r="BQ79" i="1" s="1"/>
  <c r="BQ80" i="1" s="1"/>
  <c r="BQ81" i="1" s="1"/>
  <c r="BQ82" i="1" s="1"/>
  <c r="BQ83" i="1" s="1"/>
  <c r="BQ84" i="1" s="1"/>
  <c r="BQ85" i="1" s="1"/>
  <c r="BQ86" i="1" s="1"/>
  <c r="BQ87" i="1" s="1"/>
  <c r="BQ88" i="1" s="1"/>
  <c r="BQ89" i="1" s="1"/>
  <c r="BQ90" i="1" s="1"/>
  <c r="BQ91" i="1" s="1"/>
  <c r="BQ92" i="1" s="1"/>
  <c r="BQ93" i="1" s="1"/>
  <c r="BQ94" i="1" s="1"/>
  <c r="BQ95" i="1" s="1"/>
  <c r="BQ96" i="1" s="1"/>
  <c r="BQ97" i="1" s="1"/>
  <c r="BQ98" i="1" s="1"/>
  <c r="BQ99" i="1" s="1"/>
  <c r="BQ100" i="1" s="1"/>
  <c r="BQ101" i="1" s="1"/>
  <c r="BQ102" i="1" s="1"/>
  <c r="BQ103" i="1" s="1"/>
  <c r="BQ104" i="1" s="1"/>
  <c r="BQ105" i="1" s="1"/>
  <c r="BQ106" i="1" s="1"/>
  <c r="BQ107" i="1" s="1"/>
  <c r="BQ108" i="1" s="1"/>
  <c r="BQ109" i="1" s="1"/>
  <c r="BQ110" i="1" s="1"/>
  <c r="BQ111" i="1" s="1"/>
  <c r="BQ112" i="1" s="1"/>
  <c r="BQ113" i="1" s="1"/>
  <c r="BQ114" i="1" s="1"/>
  <c r="BQ115" i="1" s="1"/>
  <c r="BQ116" i="1" s="1"/>
  <c r="BQ117" i="1" s="1"/>
  <c r="BQ118" i="1" s="1"/>
  <c r="BQ119" i="1" s="1"/>
  <c r="BQ120" i="1" s="1"/>
  <c r="BQ121" i="1" s="1"/>
  <c r="BQ122" i="1" s="1"/>
  <c r="BQ123" i="1" s="1"/>
  <c r="BQ124" i="1" s="1"/>
  <c r="BQ125" i="1" s="1"/>
  <c r="BQ126" i="1" s="1"/>
  <c r="BQ127" i="1" s="1"/>
  <c r="BQ128" i="1" s="1"/>
  <c r="BQ129" i="1" s="1"/>
  <c r="BQ130" i="1" s="1"/>
  <c r="BQ131" i="1" s="1"/>
  <c r="BQ132" i="1" s="1"/>
  <c r="BQ133" i="1" s="1"/>
  <c r="BQ134" i="1" s="1"/>
  <c r="BQ135" i="1" s="1"/>
  <c r="BQ136" i="1" s="1"/>
  <c r="BQ137" i="1" s="1"/>
  <c r="BQ138" i="1" s="1"/>
  <c r="BQ139" i="1" s="1"/>
  <c r="BQ140" i="1" s="1"/>
  <c r="BQ141" i="1" s="1"/>
  <c r="BQ142" i="1" s="1"/>
  <c r="BQ143" i="1" s="1"/>
  <c r="BQ144" i="1" s="1"/>
  <c r="CI101" i="1"/>
  <c r="CD107" i="1"/>
  <c r="CF107" i="1" s="1"/>
  <c r="M89" i="1"/>
  <c r="BI102" i="1"/>
  <c r="BI103" i="1" s="1"/>
  <c r="BI104" i="1" s="1"/>
  <c r="BI105" i="1" s="1"/>
  <c r="BI106" i="1" s="1"/>
  <c r="BI107" i="1" s="1"/>
  <c r="BI108" i="1" s="1"/>
  <c r="BI109" i="1" s="1"/>
  <c r="BI110" i="1" s="1"/>
  <c r="BI111" i="1" s="1"/>
  <c r="BI112" i="1" s="1"/>
  <c r="BI113" i="1" s="1"/>
  <c r="BI114" i="1" s="1"/>
  <c r="BI115" i="1" s="1"/>
  <c r="BI116" i="1" s="1"/>
  <c r="BI117" i="1" s="1"/>
  <c r="BI118" i="1" s="1"/>
  <c r="BI119" i="1" s="1"/>
  <c r="BI120" i="1" s="1"/>
  <c r="BI121" i="1" s="1"/>
  <c r="BI122" i="1" s="1"/>
  <c r="BI123" i="1" s="1"/>
  <c r="BI124" i="1" s="1"/>
  <c r="BI125" i="1" s="1"/>
  <c r="BI126" i="1" s="1"/>
  <c r="BI127" i="1" s="1"/>
  <c r="BI128" i="1" s="1"/>
  <c r="BI129" i="1" s="1"/>
  <c r="BI130" i="1" s="1"/>
  <c r="BI131" i="1" s="1"/>
  <c r="BI132" i="1" s="1"/>
  <c r="BI133" i="1" s="1"/>
  <c r="BI134" i="1" s="1"/>
  <c r="BI135" i="1" s="1"/>
  <c r="BI136" i="1" s="1"/>
  <c r="BI137" i="1" s="1"/>
  <c r="BI138" i="1" s="1"/>
  <c r="BI139" i="1" s="1"/>
  <c r="BI140" i="1" s="1"/>
  <c r="BI141" i="1" s="1"/>
  <c r="BI142" i="1" s="1"/>
  <c r="BI143" i="1" s="1"/>
  <c r="BI144" i="1" s="1"/>
  <c r="BJ24" i="1" s="1"/>
  <c r="BR124" i="1"/>
  <c r="BS124" i="1"/>
  <c r="CA108" i="1"/>
  <c r="CC108" i="1" s="1"/>
  <c r="T104" i="1"/>
  <c r="U104" i="1"/>
  <c r="CB103" i="1"/>
  <c r="AC89" i="1"/>
  <c r="AB89" i="1"/>
  <c r="CH89" i="1" s="1"/>
  <c r="CG102" i="1"/>
  <c r="AG58" i="1"/>
  <c r="AH58" i="1"/>
  <c r="AE59" i="1"/>
  <c r="BE89" i="1"/>
  <c r="BC89" i="1"/>
  <c r="AM89" i="1"/>
  <c r="AU89" i="1"/>
  <c r="AO89" i="1"/>
  <c r="AW89" i="1"/>
  <c r="L89" i="1"/>
  <c r="CE89" i="1" s="1"/>
  <c r="CJ104" i="1" l="1"/>
  <c r="CK103" i="1"/>
  <c r="CL103" i="1"/>
  <c r="CI102" i="1"/>
  <c r="CD108" i="1"/>
  <c r="CF108" i="1" s="1"/>
  <c r="M90" i="1"/>
  <c r="BR125" i="1"/>
  <c r="BS125" i="1"/>
  <c r="U105" i="1"/>
  <c r="T105" i="1"/>
  <c r="CB104" i="1"/>
  <c r="CA109" i="1"/>
  <c r="CC109" i="1" s="1"/>
  <c r="CG103" i="1"/>
  <c r="BL24" i="1"/>
  <c r="BL25" i="1" s="1"/>
  <c r="BL26" i="1" s="1"/>
  <c r="BL27" i="1" s="1"/>
  <c r="BL28" i="1" s="1"/>
  <c r="BL29" i="1" s="1"/>
  <c r="BL30" i="1" s="1"/>
  <c r="BL31" i="1" s="1"/>
  <c r="BL32" i="1" s="1"/>
  <c r="BL33" i="1" s="1"/>
  <c r="BL34" i="1" s="1"/>
  <c r="BL35" i="1" s="1"/>
  <c r="BL36" i="1" s="1"/>
  <c r="BL37" i="1" s="1"/>
  <c r="BL38" i="1" s="1"/>
  <c r="BL39" i="1" s="1"/>
  <c r="BL40" i="1" s="1"/>
  <c r="BL41" i="1" s="1"/>
  <c r="BL42" i="1" s="1"/>
  <c r="BL43" i="1" s="1"/>
  <c r="BL44" i="1" s="1"/>
  <c r="BL45" i="1" s="1"/>
  <c r="BL46" i="1" s="1"/>
  <c r="BL47" i="1" s="1"/>
  <c r="BL48" i="1" s="1"/>
  <c r="BL49" i="1" s="1"/>
  <c r="BL50" i="1" s="1"/>
  <c r="BL51" i="1" s="1"/>
  <c r="BL52" i="1" s="1"/>
  <c r="BL53" i="1" s="1"/>
  <c r="BL54" i="1" s="1"/>
  <c r="BL55" i="1" s="1"/>
  <c r="BL56" i="1" s="1"/>
  <c r="BL57" i="1" s="1"/>
  <c r="BL58" i="1" s="1"/>
  <c r="BL59" i="1" s="1"/>
  <c r="BL60" i="1" s="1"/>
  <c r="BL61" i="1" s="1"/>
  <c r="BL62" i="1" s="1"/>
  <c r="BL63" i="1" s="1"/>
  <c r="BL64" i="1" s="1"/>
  <c r="BL65" i="1" s="1"/>
  <c r="BL66" i="1" s="1"/>
  <c r="BL67" i="1" s="1"/>
  <c r="BL68" i="1" s="1"/>
  <c r="BL69" i="1" s="1"/>
  <c r="BL70" i="1" s="1"/>
  <c r="BL71" i="1" s="1"/>
  <c r="BL72" i="1" s="1"/>
  <c r="BL73" i="1" s="1"/>
  <c r="BL74" i="1" s="1"/>
  <c r="BL75" i="1" s="1"/>
  <c r="BL76" i="1" s="1"/>
  <c r="BL77" i="1" s="1"/>
  <c r="BL78" i="1" s="1"/>
  <c r="BL79" i="1" s="1"/>
  <c r="BL80" i="1" s="1"/>
  <c r="BL81" i="1" s="1"/>
  <c r="BL82" i="1" s="1"/>
  <c r="BL83" i="1" s="1"/>
  <c r="BL84" i="1" s="1"/>
  <c r="BL85" i="1" s="1"/>
  <c r="BL86" i="1" s="1"/>
  <c r="BL87" i="1" s="1"/>
  <c r="BL88" i="1" s="1"/>
  <c r="BL89" i="1" s="1"/>
  <c r="BL90" i="1" s="1"/>
  <c r="BL91" i="1" s="1"/>
  <c r="BL92" i="1" s="1"/>
  <c r="BL93" i="1" s="1"/>
  <c r="BL94" i="1" s="1"/>
  <c r="BL95" i="1" s="1"/>
  <c r="BL96" i="1" s="1"/>
  <c r="BL97" i="1" s="1"/>
  <c r="BL98" i="1" s="1"/>
  <c r="BL99" i="1" s="1"/>
  <c r="BL100" i="1" s="1"/>
  <c r="BL101" i="1" s="1"/>
  <c r="BL102" i="1" s="1"/>
  <c r="BL103" i="1" s="1"/>
  <c r="BL104" i="1" s="1"/>
  <c r="BL105" i="1" s="1"/>
  <c r="BL106" i="1" s="1"/>
  <c r="BL107" i="1" s="1"/>
  <c r="BL108" i="1" s="1"/>
  <c r="BL109" i="1" s="1"/>
  <c r="BL110" i="1" s="1"/>
  <c r="BL111" i="1" s="1"/>
  <c r="BL112" i="1" s="1"/>
  <c r="BL113" i="1" s="1"/>
  <c r="BL114" i="1" s="1"/>
  <c r="BL115" i="1" s="1"/>
  <c r="BL116" i="1" s="1"/>
  <c r="BL117" i="1" s="1"/>
  <c r="BL118" i="1" s="1"/>
  <c r="BL119" i="1" s="1"/>
  <c r="BL120" i="1" s="1"/>
  <c r="BL121" i="1" s="1"/>
  <c r="BL122" i="1" s="1"/>
  <c r="BL123" i="1" s="1"/>
  <c r="BL124" i="1" s="1"/>
  <c r="BL125" i="1" s="1"/>
  <c r="BL126" i="1" s="1"/>
  <c r="BL127" i="1" s="1"/>
  <c r="BL128" i="1" s="1"/>
  <c r="BL129" i="1" s="1"/>
  <c r="BL130" i="1" s="1"/>
  <c r="BL131" i="1" s="1"/>
  <c r="BL132" i="1" s="1"/>
  <c r="BL133" i="1" s="1"/>
  <c r="BL134" i="1" s="1"/>
  <c r="BL135" i="1" s="1"/>
  <c r="BL136" i="1" s="1"/>
  <c r="BL137" i="1" s="1"/>
  <c r="BL138" i="1" s="1"/>
  <c r="BL139" i="1" s="1"/>
  <c r="BL140" i="1" s="1"/>
  <c r="BL141" i="1" s="1"/>
  <c r="BL142" i="1" s="1"/>
  <c r="BL143" i="1" s="1"/>
  <c r="BL144" i="1" s="1"/>
  <c r="BJ25" i="1"/>
  <c r="BJ26" i="1" s="1"/>
  <c r="BJ27" i="1" s="1"/>
  <c r="BJ28" i="1" s="1"/>
  <c r="BJ29" i="1" s="1"/>
  <c r="BJ30" i="1" s="1"/>
  <c r="BJ31" i="1" s="1"/>
  <c r="BJ32" i="1" s="1"/>
  <c r="BJ33" i="1" s="1"/>
  <c r="BJ34" i="1" s="1"/>
  <c r="BJ35" i="1" s="1"/>
  <c r="BJ36" i="1" s="1"/>
  <c r="BJ37" i="1" s="1"/>
  <c r="BJ38" i="1" s="1"/>
  <c r="BJ39" i="1" s="1"/>
  <c r="BJ40" i="1" s="1"/>
  <c r="BJ41" i="1" s="1"/>
  <c r="BJ42" i="1" s="1"/>
  <c r="BJ43" i="1" s="1"/>
  <c r="BJ44" i="1" s="1"/>
  <c r="BJ45" i="1" s="1"/>
  <c r="BJ46" i="1" s="1"/>
  <c r="BJ47" i="1" s="1"/>
  <c r="BJ48" i="1" s="1"/>
  <c r="BJ49" i="1" s="1"/>
  <c r="BJ50" i="1" s="1"/>
  <c r="BJ51" i="1" s="1"/>
  <c r="BJ52" i="1" s="1"/>
  <c r="BJ53" i="1" s="1"/>
  <c r="BJ54" i="1" s="1"/>
  <c r="BJ55" i="1" s="1"/>
  <c r="BJ56" i="1" s="1"/>
  <c r="BJ57" i="1" s="1"/>
  <c r="BJ58" i="1" s="1"/>
  <c r="BJ59" i="1" s="1"/>
  <c r="BJ60" i="1" s="1"/>
  <c r="BJ61" i="1" s="1"/>
  <c r="BJ62" i="1" s="1"/>
  <c r="BJ63" i="1" s="1"/>
  <c r="BJ64" i="1" s="1"/>
  <c r="BJ65" i="1" s="1"/>
  <c r="BJ66" i="1" s="1"/>
  <c r="BJ67" i="1" s="1"/>
  <c r="BJ68" i="1" s="1"/>
  <c r="BJ69" i="1" s="1"/>
  <c r="BJ70" i="1" s="1"/>
  <c r="BJ71" i="1" s="1"/>
  <c r="BJ72" i="1" s="1"/>
  <c r="BJ73" i="1" s="1"/>
  <c r="BJ74" i="1" s="1"/>
  <c r="BJ75" i="1" s="1"/>
  <c r="BJ76" i="1" s="1"/>
  <c r="BJ77" i="1" s="1"/>
  <c r="BJ78" i="1" s="1"/>
  <c r="BJ79" i="1" s="1"/>
  <c r="BJ80" i="1" s="1"/>
  <c r="BJ81" i="1" s="1"/>
  <c r="BJ82" i="1" s="1"/>
  <c r="BJ83" i="1" s="1"/>
  <c r="BJ84" i="1" s="1"/>
  <c r="BJ85" i="1" s="1"/>
  <c r="BJ86" i="1" s="1"/>
  <c r="BJ87" i="1" s="1"/>
  <c r="BJ88" i="1" s="1"/>
  <c r="BJ89" i="1" s="1"/>
  <c r="BJ90" i="1" s="1"/>
  <c r="BJ91" i="1" s="1"/>
  <c r="BJ92" i="1" s="1"/>
  <c r="BJ93" i="1" s="1"/>
  <c r="BJ94" i="1" s="1"/>
  <c r="BJ95" i="1" s="1"/>
  <c r="BJ96" i="1" s="1"/>
  <c r="BJ97" i="1" s="1"/>
  <c r="BJ98" i="1" s="1"/>
  <c r="BJ99" i="1" s="1"/>
  <c r="BJ100" i="1" s="1"/>
  <c r="BJ101" i="1" s="1"/>
  <c r="BJ102" i="1" s="1"/>
  <c r="BJ103" i="1" s="1"/>
  <c r="BJ104" i="1" s="1"/>
  <c r="BJ105" i="1" s="1"/>
  <c r="BJ106" i="1" s="1"/>
  <c r="BJ107" i="1" s="1"/>
  <c r="BJ108" i="1" s="1"/>
  <c r="BJ109" i="1" s="1"/>
  <c r="BJ110" i="1" s="1"/>
  <c r="BJ111" i="1" s="1"/>
  <c r="BJ112" i="1" s="1"/>
  <c r="BJ113" i="1" s="1"/>
  <c r="BJ114" i="1" s="1"/>
  <c r="BJ115" i="1" s="1"/>
  <c r="BJ116" i="1" s="1"/>
  <c r="BJ117" i="1" s="1"/>
  <c r="BJ118" i="1" s="1"/>
  <c r="BJ119" i="1" s="1"/>
  <c r="BJ120" i="1" s="1"/>
  <c r="BJ121" i="1" s="1"/>
  <c r="BJ122" i="1" s="1"/>
  <c r="BJ123" i="1" s="1"/>
  <c r="BJ124" i="1" s="1"/>
  <c r="BJ125" i="1" s="1"/>
  <c r="BJ126" i="1" s="1"/>
  <c r="BJ127" i="1" s="1"/>
  <c r="BJ128" i="1" s="1"/>
  <c r="BJ129" i="1" s="1"/>
  <c r="BJ130" i="1" s="1"/>
  <c r="BJ131" i="1" s="1"/>
  <c r="BJ132" i="1" s="1"/>
  <c r="BJ133" i="1" s="1"/>
  <c r="BJ134" i="1" s="1"/>
  <c r="BJ135" i="1" s="1"/>
  <c r="BJ136" i="1" s="1"/>
  <c r="BJ137" i="1" s="1"/>
  <c r="BJ138" i="1" s="1"/>
  <c r="BJ139" i="1" s="1"/>
  <c r="BJ140" i="1" s="1"/>
  <c r="BJ141" i="1" s="1"/>
  <c r="BJ142" i="1" s="1"/>
  <c r="BJ143" i="1" s="1"/>
  <c r="BJ144" i="1" s="1"/>
  <c r="AC90" i="1"/>
  <c r="AB90" i="1"/>
  <c r="CH90" i="1" s="1"/>
  <c r="BK24" i="1"/>
  <c r="AG59" i="1"/>
  <c r="AH59" i="1"/>
  <c r="AE60" i="1"/>
  <c r="BE90" i="1"/>
  <c r="BC90" i="1"/>
  <c r="AU90" i="1"/>
  <c r="AM90" i="1"/>
  <c r="AO90" i="1"/>
  <c r="AW90" i="1"/>
  <c r="L90" i="1"/>
  <c r="CE90" i="1" s="1"/>
  <c r="CJ105" i="1" l="1"/>
  <c r="CL104" i="1"/>
  <c r="CK104" i="1"/>
  <c r="CI103" i="1"/>
  <c r="CD109" i="1"/>
  <c r="CF109" i="1" s="1"/>
  <c r="M91" i="1"/>
  <c r="BN24" i="1"/>
  <c r="BM24" i="1"/>
  <c r="BR126" i="1"/>
  <c r="BS126" i="1"/>
  <c r="CA110" i="1"/>
  <c r="CC110" i="1" s="1"/>
  <c r="U106" i="1"/>
  <c r="T106" i="1"/>
  <c r="CB105" i="1"/>
  <c r="BN25" i="1"/>
  <c r="BM25" i="1"/>
  <c r="AB91" i="1"/>
  <c r="CH91" i="1" s="1"/>
  <c r="AC91" i="1"/>
  <c r="BK26" i="1"/>
  <c r="CG104" i="1"/>
  <c r="BK27" i="1"/>
  <c r="BK25" i="1"/>
  <c r="BM26" i="1"/>
  <c r="BN26" i="1"/>
  <c r="AE61" i="1"/>
  <c r="AH60" i="1"/>
  <c r="AG60" i="1"/>
  <c r="AM91" i="1"/>
  <c r="BC91" i="1"/>
  <c r="BE91" i="1"/>
  <c r="AU91" i="1"/>
  <c r="AO91" i="1"/>
  <c r="AW91" i="1"/>
  <c r="L91" i="1"/>
  <c r="CE91" i="1" s="1"/>
  <c r="CJ106" i="1" l="1"/>
  <c r="CL105" i="1"/>
  <c r="CK105" i="1"/>
  <c r="CI104" i="1"/>
  <c r="CD110" i="1"/>
  <c r="CF110" i="1" s="1"/>
  <c r="M92" i="1"/>
  <c r="BR127" i="1"/>
  <c r="BS127" i="1"/>
  <c r="U107" i="1"/>
  <c r="T107" i="1"/>
  <c r="CB106" i="1"/>
  <c r="CA111" i="1"/>
  <c r="CC111" i="1" s="1"/>
  <c r="CG105" i="1"/>
  <c r="AC92" i="1"/>
  <c r="AB92" i="1"/>
  <c r="CH92" i="1" s="1"/>
  <c r="AG61" i="1"/>
  <c r="AH61" i="1"/>
  <c r="BK28" i="1"/>
  <c r="AE62" i="1"/>
  <c r="BM27" i="1"/>
  <c r="BN27" i="1"/>
  <c r="BC92" i="1"/>
  <c r="AU92" i="1"/>
  <c r="BE92" i="1"/>
  <c r="AM92" i="1"/>
  <c r="AO92" i="1"/>
  <c r="AW92" i="1"/>
  <c r="L92" i="1"/>
  <c r="CE92" i="1" s="1"/>
  <c r="CJ107" i="1" l="1"/>
  <c r="CL106" i="1"/>
  <c r="CK106" i="1"/>
  <c r="CI105" i="1"/>
  <c r="CD111" i="1"/>
  <c r="CF111" i="1" s="1"/>
  <c r="M93" i="1"/>
  <c r="BR128" i="1"/>
  <c r="BS128" i="1"/>
  <c r="CA112" i="1"/>
  <c r="CC112" i="1" s="1"/>
  <c r="T108" i="1"/>
  <c r="U108" i="1"/>
  <c r="CB107" i="1"/>
  <c r="AC93" i="1"/>
  <c r="AB93" i="1"/>
  <c r="CH93" i="1" s="1"/>
  <c r="CG106" i="1"/>
  <c r="BM28" i="1"/>
  <c r="BN28" i="1"/>
  <c r="AE63" i="1"/>
  <c r="BK29" i="1"/>
  <c r="AH62" i="1"/>
  <c r="AG62" i="1"/>
  <c r="BE93" i="1"/>
  <c r="AU93" i="1"/>
  <c r="BC93" i="1"/>
  <c r="AM93" i="1"/>
  <c r="AO93" i="1"/>
  <c r="AW93" i="1"/>
  <c r="L93" i="1"/>
  <c r="CE93" i="1" s="1"/>
  <c r="CJ108" i="1" l="1"/>
  <c r="CL107" i="1"/>
  <c r="CK107" i="1"/>
  <c r="CI106" i="1"/>
  <c r="CD112" i="1"/>
  <c r="CF112" i="1" s="1"/>
  <c r="M94" i="1"/>
  <c r="BR129" i="1"/>
  <c r="BS129" i="1"/>
  <c r="T109" i="1"/>
  <c r="U109" i="1"/>
  <c r="CB108" i="1"/>
  <c r="CA113" i="1"/>
  <c r="CC113" i="1" s="1"/>
  <c r="CG107" i="1"/>
  <c r="AB94" i="1"/>
  <c r="CH94" i="1" s="1"/>
  <c r="AC94" i="1"/>
  <c r="AG63" i="1"/>
  <c r="AH63" i="1"/>
  <c r="BK30" i="1"/>
  <c r="AE64" i="1"/>
  <c r="BN29" i="1"/>
  <c r="BM29" i="1"/>
  <c r="AM94" i="1"/>
  <c r="AU94" i="1"/>
  <c r="BC94" i="1"/>
  <c r="BE94" i="1"/>
  <c r="AO94" i="1"/>
  <c r="AW94" i="1"/>
  <c r="L94" i="1"/>
  <c r="CE94" i="1" s="1"/>
  <c r="CJ109" i="1" l="1"/>
  <c r="CL108" i="1"/>
  <c r="CK108" i="1"/>
  <c r="CI107" i="1"/>
  <c r="CD113" i="1"/>
  <c r="CF113" i="1" s="1"/>
  <c r="M95" i="1"/>
  <c r="BR130" i="1"/>
  <c r="BS130" i="1"/>
  <c r="CA114" i="1"/>
  <c r="CC114" i="1" s="1"/>
  <c r="T110" i="1"/>
  <c r="U110" i="1"/>
  <c r="CB109" i="1"/>
  <c r="AB95" i="1"/>
  <c r="CH95" i="1" s="1"/>
  <c r="AC95" i="1"/>
  <c r="CG108" i="1"/>
  <c r="BM30" i="1"/>
  <c r="BN30" i="1"/>
  <c r="BK31" i="1"/>
  <c r="AE65" i="1"/>
  <c r="AG64" i="1"/>
  <c r="AH64" i="1"/>
  <c r="BC95" i="1"/>
  <c r="AM95" i="1"/>
  <c r="BE95" i="1"/>
  <c r="AU95" i="1"/>
  <c r="AO95" i="1"/>
  <c r="AW95" i="1"/>
  <c r="L95" i="1"/>
  <c r="CE95" i="1" s="1"/>
  <c r="CJ110" i="1" l="1"/>
  <c r="CL109" i="1"/>
  <c r="CK109" i="1"/>
  <c r="CI108" i="1"/>
  <c r="CD114" i="1"/>
  <c r="CF114" i="1" s="1"/>
  <c r="M96" i="1"/>
  <c r="BR131" i="1"/>
  <c r="BS131" i="1"/>
  <c r="T111" i="1"/>
  <c r="U111" i="1"/>
  <c r="CB110" i="1"/>
  <c r="CA115" i="1"/>
  <c r="CC115" i="1" s="1"/>
  <c r="CG109" i="1"/>
  <c r="AB96" i="1"/>
  <c r="CH96" i="1" s="1"/>
  <c r="AC96" i="1"/>
  <c r="AG65" i="1"/>
  <c r="AH65" i="1"/>
  <c r="BK32" i="1"/>
  <c r="AE66" i="1"/>
  <c r="BM31" i="1"/>
  <c r="BN31" i="1"/>
  <c r="BC96" i="1"/>
  <c r="AU96" i="1"/>
  <c r="AM96" i="1"/>
  <c r="BE96" i="1"/>
  <c r="AO96" i="1"/>
  <c r="AW96" i="1"/>
  <c r="L96" i="1"/>
  <c r="CE96" i="1" s="1"/>
  <c r="CJ111" i="1" l="1"/>
  <c r="CL110" i="1"/>
  <c r="CK110" i="1"/>
  <c r="CI109" i="1"/>
  <c r="CD115" i="1"/>
  <c r="CF115" i="1" s="1"/>
  <c r="M97" i="1"/>
  <c r="BR132" i="1"/>
  <c r="BS132" i="1"/>
  <c r="CA116" i="1"/>
  <c r="CC116" i="1" s="1"/>
  <c r="U112" i="1"/>
  <c r="T112" i="1"/>
  <c r="CB111" i="1"/>
  <c r="AC97" i="1"/>
  <c r="AB97" i="1"/>
  <c r="CH97" i="1" s="1"/>
  <c r="CG110" i="1"/>
  <c r="BM32" i="1"/>
  <c r="BN32" i="1"/>
  <c r="BK33" i="1"/>
  <c r="AE67" i="1"/>
  <c r="AG66" i="1"/>
  <c r="AH66" i="1"/>
  <c r="BE97" i="1"/>
  <c r="AU97" i="1"/>
  <c r="BC97" i="1"/>
  <c r="AM97" i="1"/>
  <c r="AO97" i="1"/>
  <c r="AW97" i="1"/>
  <c r="L97" i="1"/>
  <c r="CE97" i="1" s="1"/>
  <c r="CJ112" i="1" l="1"/>
  <c r="CK111" i="1"/>
  <c r="CL111" i="1"/>
  <c r="CI110" i="1"/>
  <c r="CD116" i="1"/>
  <c r="CF116" i="1" s="1"/>
  <c r="M98" i="1"/>
  <c r="BR133" i="1"/>
  <c r="BS133" i="1"/>
  <c r="T113" i="1"/>
  <c r="U113" i="1"/>
  <c r="CB112" i="1"/>
  <c r="CA117" i="1"/>
  <c r="CC117" i="1" s="1"/>
  <c r="CG111" i="1"/>
  <c r="AB98" i="1"/>
  <c r="CH98" i="1" s="1"/>
  <c r="AC98" i="1"/>
  <c r="AO99" i="1"/>
  <c r="BE99" i="1"/>
  <c r="AW99" i="1"/>
  <c r="BC99" i="1"/>
  <c r="AU99" i="1"/>
  <c r="AM99" i="1"/>
  <c r="AE68" i="1"/>
  <c r="AH67" i="1"/>
  <c r="AG67" i="1"/>
  <c r="BK34" i="1"/>
  <c r="BN33" i="1"/>
  <c r="BM33" i="1"/>
  <c r="BE98" i="1"/>
  <c r="AU98" i="1"/>
  <c r="BC98" i="1"/>
  <c r="AM98" i="1"/>
  <c r="AO98" i="1"/>
  <c r="AW98" i="1"/>
  <c r="L98" i="1"/>
  <c r="CE98" i="1" s="1"/>
  <c r="CJ113" i="1" l="1"/>
  <c r="CL112" i="1"/>
  <c r="CK112" i="1"/>
  <c r="CI111" i="1"/>
  <c r="CD117" i="1"/>
  <c r="CF117" i="1" s="1"/>
  <c r="L99" i="1"/>
  <c r="CE99" i="1" s="1"/>
  <c r="BR134" i="1"/>
  <c r="BS134" i="1"/>
  <c r="CA118" i="1"/>
  <c r="CC118" i="1" s="1"/>
  <c r="T114" i="1"/>
  <c r="U114" i="1"/>
  <c r="CB113" i="1"/>
  <c r="AB99" i="1"/>
  <c r="CH99" i="1" s="1"/>
  <c r="AC99" i="1"/>
  <c r="CG112" i="1"/>
  <c r="AO100" i="1"/>
  <c r="BE100" i="1"/>
  <c r="AW100" i="1"/>
  <c r="BC100" i="1"/>
  <c r="AU100" i="1"/>
  <c r="AM100" i="1"/>
  <c r="M99" i="1"/>
  <c r="BK35" i="1"/>
  <c r="AG68" i="1"/>
  <c r="AH68" i="1"/>
  <c r="AE69" i="1"/>
  <c r="BM34" i="1"/>
  <c r="BN34" i="1"/>
  <c r="CJ114" i="1" l="1"/>
  <c r="CL113" i="1"/>
  <c r="CK113" i="1"/>
  <c r="CI112" i="1"/>
  <c r="CD118" i="1"/>
  <c r="CF118" i="1" s="1"/>
  <c r="M100" i="1"/>
  <c r="L100" i="1"/>
  <c r="CE100" i="1" s="1"/>
  <c r="BR135" i="1"/>
  <c r="BS135" i="1"/>
  <c r="T115" i="1"/>
  <c r="U115" i="1"/>
  <c r="CB114" i="1"/>
  <c r="CA119" i="1"/>
  <c r="CC119" i="1" s="1"/>
  <c r="CG113" i="1"/>
  <c r="AC100" i="1"/>
  <c r="AB100" i="1"/>
  <c r="CH100" i="1" s="1"/>
  <c r="AW101" i="1"/>
  <c r="BE101" i="1"/>
  <c r="AO101" i="1"/>
  <c r="BC101" i="1"/>
  <c r="AU101" i="1"/>
  <c r="AM101" i="1"/>
  <c r="AH69" i="1"/>
  <c r="AG69" i="1"/>
  <c r="BN35" i="1"/>
  <c r="BM35" i="1"/>
  <c r="BK36" i="1"/>
  <c r="AE70" i="1"/>
  <c r="CJ115" i="1" l="1"/>
  <c r="CL114" i="1"/>
  <c r="CK114" i="1"/>
  <c r="CI113" i="1"/>
  <c r="CD119" i="1"/>
  <c r="CF119" i="1" s="1"/>
  <c r="L101" i="1"/>
  <c r="CE101" i="1" s="1"/>
  <c r="M101" i="1"/>
  <c r="BR136" i="1"/>
  <c r="BS136" i="1"/>
  <c r="CA120" i="1"/>
  <c r="CC120" i="1" s="1"/>
  <c r="T116" i="1"/>
  <c r="U116" i="1"/>
  <c r="CB115" i="1"/>
  <c r="AC101" i="1"/>
  <c r="AB101" i="1"/>
  <c r="CH101" i="1" s="1"/>
  <c r="CG114" i="1"/>
  <c r="AO102" i="1"/>
  <c r="AW102" i="1"/>
  <c r="BE102" i="1"/>
  <c r="BC102" i="1"/>
  <c r="AU102" i="1"/>
  <c r="AM102" i="1"/>
  <c r="BK37" i="1"/>
  <c r="AE71" i="1"/>
  <c r="BN36" i="1"/>
  <c r="BM36" i="1"/>
  <c r="AG70" i="1"/>
  <c r="AH70" i="1"/>
  <c r="CJ116" i="1" l="1"/>
  <c r="CL115" i="1"/>
  <c r="CK115" i="1"/>
  <c r="M102" i="1"/>
  <c r="CI114" i="1"/>
  <c r="CD120" i="1"/>
  <c r="CF120" i="1" s="1"/>
  <c r="L102" i="1"/>
  <c r="CE102" i="1" s="1"/>
  <c r="BR137" i="1"/>
  <c r="BS137" i="1"/>
  <c r="T117" i="1"/>
  <c r="U117" i="1"/>
  <c r="CB116" i="1"/>
  <c r="CA121" i="1"/>
  <c r="CC121" i="1" s="1"/>
  <c r="AC102" i="1"/>
  <c r="AB102" i="1"/>
  <c r="CH102" i="1" s="1"/>
  <c r="CG115" i="1"/>
  <c r="BE103" i="1"/>
  <c r="AO103" i="1"/>
  <c r="AW103" i="1"/>
  <c r="BC103" i="1"/>
  <c r="AU103" i="1"/>
  <c r="AM103" i="1"/>
  <c r="AG71" i="1"/>
  <c r="AH71" i="1"/>
  <c r="AE72" i="1"/>
  <c r="BM37" i="1"/>
  <c r="BN37" i="1"/>
  <c r="BK38" i="1"/>
  <c r="CJ117" i="1" l="1"/>
  <c r="CL116" i="1"/>
  <c r="CK116" i="1"/>
  <c r="CI115" i="1"/>
  <c r="CD121" i="1"/>
  <c r="CF121" i="1" s="1"/>
  <c r="L103" i="1"/>
  <c r="CE103" i="1" s="1"/>
  <c r="M103" i="1"/>
  <c r="BR138" i="1"/>
  <c r="BS138" i="1"/>
  <c r="CA122" i="1"/>
  <c r="CC122" i="1" s="1"/>
  <c r="U118" i="1"/>
  <c r="T118" i="1"/>
  <c r="CB117" i="1"/>
  <c r="CG116" i="1"/>
  <c r="AC103" i="1"/>
  <c r="AB103" i="1"/>
  <c r="CH103" i="1" s="1"/>
  <c r="AO104" i="1"/>
  <c r="BE104" i="1"/>
  <c r="AW104" i="1"/>
  <c r="BC104" i="1"/>
  <c r="AU104" i="1"/>
  <c r="AM104" i="1"/>
  <c r="BK39" i="1"/>
  <c r="BN38" i="1"/>
  <c r="BM38" i="1"/>
  <c r="AE73" i="1"/>
  <c r="AH72" i="1"/>
  <c r="AG72" i="1"/>
  <c r="CJ118" i="1" l="1"/>
  <c r="CL117" i="1"/>
  <c r="CK117" i="1"/>
  <c r="CI116" i="1"/>
  <c r="M104" i="1"/>
  <c r="CD122" i="1"/>
  <c r="CF122" i="1" s="1"/>
  <c r="L104" i="1"/>
  <c r="CE104" i="1" s="1"/>
  <c r="BR139" i="1"/>
  <c r="BS139" i="1"/>
  <c r="T119" i="1"/>
  <c r="U119" i="1"/>
  <c r="CB118" i="1"/>
  <c r="CA123" i="1"/>
  <c r="CC123" i="1" s="1"/>
  <c r="AB104" i="1"/>
  <c r="CH104" i="1" s="1"/>
  <c r="AC104" i="1"/>
  <c r="CG117" i="1"/>
  <c r="AO105" i="1"/>
  <c r="BE105" i="1"/>
  <c r="AW105" i="1"/>
  <c r="BC105" i="1"/>
  <c r="AU105" i="1"/>
  <c r="AM105" i="1"/>
  <c r="AE74" i="1"/>
  <c r="BM39" i="1"/>
  <c r="BN39" i="1"/>
  <c r="BK40" i="1"/>
  <c r="AG73" i="1"/>
  <c r="AH73" i="1"/>
  <c r="CJ119" i="1" l="1"/>
  <c r="CL118" i="1"/>
  <c r="CK118" i="1"/>
  <c r="CI117" i="1"/>
  <c r="CD123" i="1"/>
  <c r="CF123" i="1" s="1"/>
  <c r="L105" i="1"/>
  <c r="CE105" i="1" s="1"/>
  <c r="M105" i="1"/>
  <c r="M106" i="1" s="1"/>
  <c r="BR140" i="1"/>
  <c r="BS140" i="1"/>
  <c r="CA124" i="1"/>
  <c r="CC124" i="1" s="1"/>
  <c r="U120" i="1"/>
  <c r="T120" i="1"/>
  <c r="CB119" i="1"/>
  <c r="CG118" i="1"/>
  <c r="AB105" i="1"/>
  <c r="CH105" i="1" s="1"/>
  <c r="AC105" i="1"/>
  <c r="AO106" i="1"/>
  <c r="BE106" i="1"/>
  <c r="AW106" i="1"/>
  <c r="BC106" i="1"/>
  <c r="AU106" i="1"/>
  <c r="AM106" i="1"/>
  <c r="BK41" i="1"/>
  <c r="BM40" i="1"/>
  <c r="BN40" i="1"/>
  <c r="AH74" i="1"/>
  <c r="AG74" i="1"/>
  <c r="AE75" i="1"/>
  <c r="CJ120" i="1" l="1"/>
  <c r="CK119" i="1"/>
  <c r="CL119" i="1"/>
  <c r="CI118" i="1"/>
  <c r="CD124" i="1"/>
  <c r="CF124" i="1" s="1"/>
  <c r="L106" i="1"/>
  <c r="CE106" i="1" s="1"/>
  <c r="BR141" i="1"/>
  <c r="BS141" i="1"/>
  <c r="U121" i="1"/>
  <c r="T121" i="1"/>
  <c r="CB120" i="1"/>
  <c r="CA125" i="1"/>
  <c r="CC125" i="1" s="1"/>
  <c r="AB106" i="1"/>
  <c r="CH106" i="1" s="1"/>
  <c r="AC106" i="1"/>
  <c r="CG119" i="1"/>
  <c r="BE107" i="1"/>
  <c r="AO107" i="1"/>
  <c r="AW107" i="1"/>
  <c r="BC107" i="1"/>
  <c r="AU107" i="1"/>
  <c r="AM107" i="1"/>
  <c r="BM41" i="1"/>
  <c r="BN41" i="1"/>
  <c r="AG75" i="1"/>
  <c r="AH75" i="1"/>
  <c r="AE76" i="1"/>
  <c r="BK42" i="1"/>
  <c r="CJ121" i="1" l="1"/>
  <c r="CL120" i="1"/>
  <c r="CK120" i="1"/>
  <c r="CI119" i="1"/>
  <c r="CD125" i="1"/>
  <c r="CF125" i="1" s="1"/>
  <c r="L107" i="1"/>
  <c r="CE107" i="1" s="1"/>
  <c r="M107" i="1"/>
  <c r="AC107" i="1"/>
  <c r="BR142" i="1"/>
  <c r="BS142" i="1"/>
  <c r="CA126" i="1"/>
  <c r="CC126" i="1" s="1"/>
  <c r="T122" i="1"/>
  <c r="U122" i="1"/>
  <c r="CB121" i="1"/>
  <c r="CG120" i="1"/>
  <c r="AB107" i="1"/>
  <c r="CH107" i="1" s="1"/>
  <c r="AO108" i="1"/>
  <c r="BE108" i="1"/>
  <c r="AW108" i="1"/>
  <c r="BC108" i="1"/>
  <c r="AU108" i="1"/>
  <c r="AM108" i="1"/>
  <c r="AE77" i="1"/>
  <c r="BK43" i="1"/>
  <c r="AG76" i="1"/>
  <c r="AH76" i="1"/>
  <c r="BM42" i="1"/>
  <c r="BN42" i="1"/>
  <c r="CJ122" i="1" l="1"/>
  <c r="CL121" i="1"/>
  <c r="CK121" i="1"/>
  <c r="CI120" i="1"/>
  <c r="M108" i="1"/>
  <c r="CD126" i="1"/>
  <c r="CF126" i="1" s="1"/>
  <c r="L108" i="1"/>
  <c r="CE108" i="1" s="1"/>
  <c r="BR143" i="1"/>
  <c r="BS143" i="1"/>
  <c r="U123" i="1"/>
  <c r="T123" i="1"/>
  <c r="CB122" i="1"/>
  <c r="CA127" i="1"/>
  <c r="CC127" i="1" s="1"/>
  <c r="AB108" i="1"/>
  <c r="CH108" i="1" s="1"/>
  <c r="AC108" i="1"/>
  <c r="CG121" i="1"/>
  <c r="AO109" i="1"/>
  <c r="BE109" i="1"/>
  <c r="AW109" i="1"/>
  <c r="BC109" i="1"/>
  <c r="AU109" i="1"/>
  <c r="AM109" i="1"/>
  <c r="BK44" i="1"/>
  <c r="AE78" i="1"/>
  <c r="BN43" i="1"/>
  <c r="BM43" i="1"/>
  <c r="AH77" i="1"/>
  <c r="AG77" i="1"/>
  <c r="CJ123" i="1" l="1"/>
  <c r="CL122" i="1"/>
  <c r="CK122" i="1"/>
  <c r="CI121" i="1"/>
  <c r="CD127" i="1"/>
  <c r="CF127" i="1" s="1"/>
  <c r="L109" i="1"/>
  <c r="CE109" i="1" s="1"/>
  <c r="M109" i="1"/>
  <c r="BR144" i="1"/>
  <c r="BS144" i="1"/>
  <c r="A23" i="8" s="1"/>
  <c r="CA128" i="1"/>
  <c r="CC128" i="1" s="1"/>
  <c r="U124" i="1"/>
  <c r="T124" i="1"/>
  <c r="CB123" i="1"/>
  <c r="CG122" i="1"/>
  <c r="AC109" i="1"/>
  <c r="AB109" i="1"/>
  <c r="CH109" i="1" s="1"/>
  <c r="AO110" i="1"/>
  <c r="BE110" i="1"/>
  <c r="AW110" i="1"/>
  <c r="BC110" i="1"/>
  <c r="AU110" i="1"/>
  <c r="AM110" i="1"/>
  <c r="AG78" i="1"/>
  <c r="AH78" i="1"/>
  <c r="AE79" i="1"/>
  <c r="BK45" i="1"/>
  <c r="BM44" i="1"/>
  <c r="BN44" i="1"/>
  <c r="CJ124" i="1" l="1"/>
  <c r="CL123" i="1"/>
  <c r="CK123" i="1"/>
  <c r="BZ44" i="1"/>
  <c r="BZ45" i="1" s="1"/>
  <c r="BZ46" i="1" s="1"/>
  <c r="BZ47" i="1" s="1"/>
  <c r="BZ48" i="1" s="1"/>
  <c r="BZ49" i="1" s="1"/>
  <c r="BZ50" i="1" s="1"/>
  <c r="BZ51" i="1" s="1"/>
  <c r="BZ52" i="1" s="1"/>
  <c r="BZ53" i="1" s="1"/>
  <c r="BZ54" i="1" s="1"/>
  <c r="BZ55" i="1" s="1"/>
  <c r="BZ56" i="1" s="1"/>
  <c r="BZ57" i="1" s="1"/>
  <c r="BZ58" i="1" s="1"/>
  <c r="BZ59" i="1" s="1"/>
  <c r="BZ60" i="1" s="1"/>
  <c r="BZ61" i="1" s="1"/>
  <c r="BZ62" i="1" s="1"/>
  <c r="BZ63" i="1" s="1"/>
  <c r="BZ64" i="1" s="1"/>
  <c r="BZ65" i="1" s="1"/>
  <c r="BZ66" i="1" s="1"/>
  <c r="BZ67" i="1" s="1"/>
  <c r="BZ68" i="1" s="1"/>
  <c r="BZ69" i="1" s="1"/>
  <c r="BZ70" i="1" s="1"/>
  <c r="BZ71" i="1" s="1"/>
  <c r="BZ72" i="1" s="1"/>
  <c r="BZ73" i="1" s="1"/>
  <c r="BZ74" i="1" s="1"/>
  <c r="BZ75" i="1" s="1"/>
  <c r="BZ76" i="1" s="1"/>
  <c r="BZ77" i="1" s="1"/>
  <c r="BZ78" i="1" s="1"/>
  <c r="BZ79" i="1" s="1"/>
  <c r="BZ80" i="1" s="1"/>
  <c r="BZ81" i="1" s="1"/>
  <c r="BZ82" i="1" s="1"/>
  <c r="BZ83" i="1" s="1"/>
  <c r="BZ84" i="1" s="1"/>
  <c r="BZ85" i="1" s="1"/>
  <c r="BZ86" i="1" s="1"/>
  <c r="BZ87" i="1" s="1"/>
  <c r="BZ88" i="1" s="1"/>
  <c r="BZ89" i="1" s="1"/>
  <c r="BZ90" i="1" s="1"/>
  <c r="BZ91" i="1" s="1"/>
  <c r="BZ92" i="1" s="1"/>
  <c r="BZ93" i="1" s="1"/>
  <c r="BZ94" i="1" s="1"/>
  <c r="BZ95" i="1" s="1"/>
  <c r="BZ96" i="1" s="1"/>
  <c r="BZ97" i="1" s="1"/>
  <c r="BZ98" i="1" s="1"/>
  <c r="BZ99" i="1" s="1"/>
  <c r="BZ100" i="1" s="1"/>
  <c r="BZ101" i="1" s="1"/>
  <c r="BZ102" i="1" s="1"/>
  <c r="BZ103" i="1" s="1"/>
  <c r="BZ104" i="1" s="1"/>
  <c r="BZ105" i="1" s="1"/>
  <c r="BZ106" i="1" s="1"/>
  <c r="BZ107" i="1" s="1"/>
  <c r="BZ108" i="1" s="1"/>
  <c r="BZ109" i="1" s="1"/>
  <c r="BZ110" i="1" s="1"/>
  <c r="BZ111" i="1" s="1"/>
  <c r="BZ112" i="1" s="1"/>
  <c r="BZ113" i="1" s="1"/>
  <c r="BZ114" i="1" s="1"/>
  <c r="BZ115" i="1" s="1"/>
  <c r="BZ116" i="1" s="1"/>
  <c r="BZ117" i="1" s="1"/>
  <c r="BZ118" i="1" s="1"/>
  <c r="BZ119" i="1" s="1"/>
  <c r="BZ120" i="1" s="1"/>
  <c r="BZ121" i="1" s="1"/>
  <c r="BZ122" i="1" s="1"/>
  <c r="BZ123" i="1" s="1"/>
  <c r="BZ124" i="1" s="1"/>
  <c r="BZ125" i="1" s="1"/>
  <c r="BZ126" i="1" s="1"/>
  <c r="BZ127" i="1" s="1"/>
  <c r="BZ128" i="1" s="1"/>
  <c r="BZ129" i="1" s="1"/>
  <c r="BZ130" i="1" s="1"/>
  <c r="BZ131" i="1" s="1"/>
  <c r="BZ132" i="1" s="1"/>
  <c r="BZ133" i="1" s="1"/>
  <c r="BZ134" i="1" s="1"/>
  <c r="BZ135" i="1" s="1"/>
  <c r="BZ136" i="1" s="1"/>
  <c r="BZ137" i="1" s="1"/>
  <c r="BZ138" i="1" s="1"/>
  <c r="BZ139" i="1" s="1"/>
  <c r="BZ140" i="1" s="1"/>
  <c r="BZ141" i="1" s="1"/>
  <c r="BZ142" i="1" s="1"/>
  <c r="BZ143" i="1" s="1"/>
  <c r="BZ144" i="1" s="1"/>
  <c r="CI122" i="1"/>
  <c r="M110" i="1"/>
  <c r="CD128" i="1"/>
  <c r="CF128" i="1" s="1"/>
  <c r="L110" i="1"/>
  <c r="CE110" i="1" s="1"/>
  <c r="U125" i="1"/>
  <c r="T125" i="1"/>
  <c r="CB124" i="1"/>
  <c r="CA129" i="1"/>
  <c r="CC129" i="1" s="1"/>
  <c r="AC110" i="1"/>
  <c r="AB110" i="1"/>
  <c r="CH110" i="1" s="1"/>
  <c r="CG123" i="1"/>
  <c r="AO111" i="1"/>
  <c r="BE111" i="1"/>
  <c r="AW111" i="1"/>
  <c r="BC111" i="1"/>
  <c r="AU111" i="1"/>
  <c r="AM111" i="1"/>
  <c r="BM45" i="1"/>
  <c r="BN45" i="1"/>
  <c r="BK46" i="1"/>
  <c r="AE80" i="1"/>
  <c r="AG79" i="1"/>
  <c r="AH79" i="1"/>
  <c r="CJ125" i="1" l="1"/>
  <c r="CL124" i="1"/>
  <c r="CK124" i="1"/>
  <c r="CI123" i="1"/>
  <c r="M111" i="1"/>
  <c r="CD129" i="1"/>
  <c r="CF129" i="1" s="1"/>
  <c r="L111" i="1"/>
  <c r="CE111" i="1" s="1"/>
  <c r="CA130" i="1"/>
  <c r="CC130" i="1" s="1"/>
  <c r="T126" i="1"/>
  <c r="U126" i="1"/>
  <c r="CB125" i="1"/>
  <c r="CG124" i="1"/>
  <c r="AC111" i="1"/>
  <c r="AB111" i="1"/>
  <c r="CH111" i="1" s="1"/>
  <c r="AO112" i="1"/>
  <c r="BE112" i="1"/>
  <c r="AW112" i="1"/>
  <c r="BC112" i="1"/>
  <c r="AU112" i="1"/>
  <c r="AM112" i="1"/>
  <c r="AG80" i="1"/>
  <c r="AH80" i="1"/>
  <c r="BK47" i="1"/>
  <c r="AE81" i="1"/>
  <c r="BM46" i="1"/>
  <c r="BN46" i="1"/>
  <c r="CJ126" i="1" l="1"/>
  <c r="CL125" i="1"/>
  <c r="CK125" i="1"/>
  <c r="CI124" i="1"/>
  <c r="CD130" i="1"/>
  <c r="CF130" i="1" s="1"/>
  <c r="M112" i="1"/>
  <c r="L112" i="1"/>
  <c r="CE112" i="1" s="1"/>
  <c r="T127" i="1"/>
  <c r="U127" i="1"/>
  <c r="CB126" i="1"/>
  <c r="CA131" i="1"/>
  <c r="CC131" i="1" s="1"/>
  <c r="AC112" i="1"/>
  <c r="AB112" i="1"/>
  <c r="CH112" i="1" s="1"/>
  <c r="CG125" i="1"/>
  <c r="BE113" i="1"/>
  <c r="AO113" i="1"/>
  <c r="AW113" i="1"/>
  <c r="BC113" i="1"/>
  <c r="AU113" i="1"/>
  <c r="AM113" i="1"/>
  <c r="BM47" i="1"/>
  <c r="BN47" i="1"/>
  <c r="AE82" i="1"/>
  <c r="BK48" i="1"/>
  <c r="AH81" i="1"/>
  <c r="AG81" i="1"/>
  <c r="CJ127" i="1" l="1"/>
  <c r="CL126" i="1"/>
  <c r="CK126" i="1"/>
  <c r="CI125" i="1"/>
  <c r="CD131" i="1"/>
  <c r="CF131" i="1" s="1"/>
  <c r="L113" i="1"/>
  <c r="CE113" i="1" s="1"/>
  <c r="M113" i="1"/>
  <c r="CA132" i="1"/>
  <c r="CC132" i="1" s="1"/>
  <c r="U128" i="1"/>
  <c r="T128" i="1"/>
  <c r="CB127" i="1"/>
  <c r="CG126" i="1"/>
  <c r="AB113" i="1"/>
  <c r="CH113" i="1" s="1"/>
  <c r="AC113" i="1"/>
  <c r="BE114" i="1"/>
  <c r="AO114" i="1"/>
  <c r="AW114" i="1"/>
  <c r="BC114" i="1"/>
  <c r="AU114" i="1"/>
  <c r="AM114" i="1"/>
  <c r="AH82" i="1"/>
  <c r="AG82" i="1"/>
  <c r="BK49" i="1"/>
  <c r="AE83" i="1"/>
  <c r="BM48" i="1"/>
  <c r="BN48" i="1"/>
  <c r="CJ128" i="1" l="1"/>
  <c r="CL127" i="1"/>
  <c r="CK127" i="1"/>
  <c r="M114" i="1"/>
  <c r="CI126" i="1"/>
  <c r="CD132" i="1"/>
  <c r="CF132" i="1" s="1"/>
  <c r="L114" i="1"/>
  <c r="CE114" i="1" s="1"/>
  <c r="T129" i="1"/>
  <c r="U129" i="1"/>
  <c r="CB128" i="1"/>
  <c r="CA133" i="1"/>
  <c r="CC133" i="1" s="1"/>
  <c r="AB114" i="1"/>
  <c r="CH114" i="1" s="1"/>
  <c r="AC114" i="1"/>
  <c r="CG127" i="1"/>
  <c r="AO115" i="1"/>
  <c r="BE115" i="1"/>
  <c r="AW115" i="1"/>
  <c r="BC115" i="1"/>
  <c r="AU115" i="1"/>
  <c r="AM115" i="1"/>
  <c r="BM49" i="1"/>
  <c r="BN49" i="1"/>
  <c r="AE84" i="1"/>
  <c r="BK50" i="1"/>
  <c r="AH83" i="1"/>
  <c r="AG83" i="1"/>
  <c r="CJ129" i="1" l="1"/>
  <c r="CL128" i="1"/>
  <c r="CK128" i="1"/>
  <c r="CI127" i="1"/>
  <c r="CD133" i="1"/>
  <c r="CF133" i="1" s="1"/>
  <c r="L115" i="1"/>
  <c r="CE115" i="1" s="1"/>
  <c r="M115" i="1"/>
  <c r="CA134" i="1"/>
  <c r="CC134" i="1" s="1"/>
  <c r="T130" i="1"/>
  <c r="U130" i="1"/>
  <c r="CB129" i="1"/>
  <c r="CG128" i="1"/>
  <c r="AB115" i="1"/>
  <c r="CH115" i="1" s="1"/>
  <c r="AC115" i="1"/>
  <c r="AO116" i="1"/>
  <c r="BE116" i="1"/>
  <c r="AW116" i="1"/>
  <c r="BC116" i="1"/>
  <c r="AU116" i="1"/>
  <c r="AM116" i="1"/>
  <c r="AG84" i="1"/>
  <c r="AH84" i="1"/>
  <c r="AE85" i="1"/>
  <c r="BK51" i="1"/>
  <c r="BM50" i="1"/>
  <c r="BN50" i="1"/>
  <c r="CJ130" i="1" l="1"/>
  <c r="CL129" i="1"/>
  <c r="CK129" i="1"/>
  <c r="M116" i="1"/>
  <c r="CI128" i="1"/>
  <c r="CD134" i="1"/>
  <c r="CF134" i="1" s="1"/>
  <c r="L116" i="1"/>
  <c r="CE116" i="1" s="1"/>
  <c r="T131" i="1"/>
  <c r="U131" i="1"/>
  <c r="CB130" i="1"/>
  <c r="CA135" i="1"/>
  <c r="CC135" i="1" s="1"/>
  <c r="AC116" i="1"/>
  <c r="AB116" i="1"/>
  <c r="CH116" i="1" s="1"/>
  <c r="CG129" i="1"/>
  <c r="AO117" i="1"/>
  <c r="BE117" i="1"/>
  <c r="AW117" i="1"/>
  <c r="BC117" i="1"/>
  <c r="AU117" i="1"/>
  <c r="AM117" i="1"/>
  <c r="BM51" i="1"/>
  <c r="BN51" i="1"/>
  <c r="BK52" i="1"/>
  <c r="AE86" i="1"/>
  <c r="AG85" i="1"/>
  <c r="AH85" i="1"/>
  <c r="CJ131" i="1" l="1"/>
  <c r="CL130" i="1"/>
  <c r="CK130" i="1"/>
  <c r="CI129" i="1"/>
  <c r="CD135" i="1"/>
  <c r="CF135" i="1" s="1"/>
  <c r="L117" i="1"/>
  <c r="CE117" i="1" s="1"/>
  <c r="M117" i="1"/>
  <c r="CA136" i="1"/>
  <c r="CC136" i="1" s="1"/>
  <c r="U132" i="1"/>
  <c r="T132" i="1"/>
  <c r="CB131" i="1"/>
  <c r="CG130" i="1"/>
  <c r="AC117" i="1"/>
  <c r="AB117" i="1"/>
  <c r="CH117" i="1" s="1"/>
  <c r="BE118" i="1"/>
  <c r="AO118" i="1"/>
  <c r="AW118" i="1"/>
  <c r="BC118" i="1"/>
  <c r="AU118" i="1"/>
  <c r="AM118" i="1"/>
  <c r="AE87" i="1"/>
  <c r="AG86" i="1"/>
  <c r="AH86" i="1"/>
  <c r="BK53" i="1"/>
  <c r="BN52" i="1"/>
  <c r="BM52" i="1"/>
  <c r="CJ132" i="1" l="1"/>
  <c r="CK131" i="1"/>
  <c r="CL131" i="1"/>
  <c r="CI130" i="1"/>
  <c r="M118" i="1"/>
  <c r="CD136" i="1"/>
  <c r="CF136" i="1" s="1"/>
  <c r="L118" i="1"/>
  <c r="CE118" i="1" s="1"/>
  <c r="T133" i="1"/>
  <c r="U133" i="1"/>
  <c r="CB132" i="1"/>
  <c r="CA137" i="1"/>
  <c r="CC137" i="1" s="1"/>
  <c r="AB118" i="1"/>
  <c r="CH118" i="1" s="1"/>
  <c r="AC118" i="1"/>
  <c r="CG131" i="1"/>
  <c r="BE119" i="1"/>
  <c r="AW119" i="1"/>
  <c r="AO119" i="1"/>
  <c r="BC119" i="1"/>
  <c r="AU119" i="1"/>
  <c r="AM119" i="1"/>
  <c r="BK54" i="1"/>
  <c r="AG87" i="1"/>
  <c r="AH87" i="1"/>
  <c r="AE88" i="1"/>
  <c r="BN53" i="1"/>
  <c r="BM53" i="1"/>
  <c r="CJ133" i="1" l="1"/>
  <c r="CL132" i="1"/>
  <c r="CK132" i="1"/>
  <c r="CI131" i="1"/>
  <c r="CD137" i="1"/>
  <c r="CF137" i="1" s="1"/>
  <c r="L119" i="1"/>
  <c r="CE119" i="1" s="1"/>
  <c r="M119" i="1"/>
  <c r="CA138" i="1"/>
  <c r="CC138" i="1" s="1"/>
  <c r="T134" i="1"/>
  <c r="U134" i="1"/>
  <c r="CB133" i="1"/>
  <c r="CG132" i="1"/>
  <c r="AC119" i="1"/>
  <c r="AB119" i="1"/>
  <c r="CH119" i="1" s="1"/>
  <c r="BE120" i="1"/>
  <c r="AO120" i="1"/>
  <c r="AW120" i="1"/>
  <c r="BC120" i="1"/>
  <c r="AU120" i="1"/>
  <c r="AM120" i="1"/>
  <c r="BN54" i="1"/>
  <c r="BM54" i="1"/>
  <c r="AE89" i="1"/>
  <c r="AH88" i="1"/>
  <c r="AG88" i="1"/>
  <c r="BK55" i="1"/>
  <c r="CJ134" i="1" l="1"/>
  <c r="CL133" i="1"/>
  <c r="CK133" i="1"/>
  <c r="CI132" i="1"/>
  <c r="M120" i="1"/>
  <c r="CD138" i="1"/>
  <c r="CF138" i="1" s="1"/>
  <c r="L120" i="1"/>
  <c r="CE120" i="1" s="1"/>
  <c r="U135" i="1"/>
  <c r="T135" i="1"/>
  <c r="CB134" i="1"/>
  <c r="CA139" i="1"/>
  <c r="CC139" i="1" s="1"/>
  <c r="AB120" i="1"/>
  <c r="CH120" i="1" s="1"/>
  <c r="AC120" i="1"/>
  <c r="CG133" i="1"/>
  <c r="BE121" i="1"/>
  <c r="AO121" i="1"/>
  <c r="AW121" i="1"/>
  <c r="BC121" i="1"/>
  <c r="AU121" i="1"/>
  <c r="AM121" i="1"/>
  <c r="AE90" i="1"/>
  <c r="AG89" i="1"/>
  <c r="AH89" i="1"/>
  <c r="BK56" i="1"/>
  <c r="BN55" i="1"/>
  <c r="BM55" i="1"/>
  <c r="CJ135" i="1" l="1"/>
  <c r="CL134" i="1"/>
  <c r="CK134" i="1"/>
  <c r="CI133" i="1"/>
  <c r="CD139" i="1"/>
  <c r="CF139" i="1" s="1"/>
  <c r="L121" i="1"/>
  <c r="CE121" i="1" s="1"/>
  <c r="M121" i="1"/>
  <c r="CA140" i="1"/>
  <c r="CC140" i="1" s="1"/>
  <c r="T136" i="1"/>
  <c r="U136" i="1"/>
  <c r="CB135" i="1"/>
  <c r="CG134" i="1"/>
  <c r="AC121" i="1"/>
  <c r="AB121" i="1"/>
  <c r="CH121" i="1" s="1"/>
  <c r="BE122" i="1"/>
  <c r="AW122" i="1"/>
  <c r="AO122" i="1"/>
  <c r="BC122" i="1"/>
  <c r="AU122" i="1"/>
  <c r="AM122" i="1"/>
  <c r="BK57" i="1"/>
  <c r="AH90" i="1"/>
  <c r="AG90" i="1"/>
  <c r="AE91" i="1"/>
  <c r="BM56" i="1"/>
  <c r="BN56" i="1"/>
  <c r="CJ136" i="1" l="1"/>
  <c r="CL135" i="1"/>
  <c r="CK135" i="1"/>
  <c r="CI134" i="1"/>
  <c r="M122" i="1"/>
  <c r="CD140" i="1"/>
  <c r="CF140" i="1" s="1"/>
  <c r="L122" i="1"/>
  <c r="CE122" i="1" s="1"/>
  <c r="T137" i="1"/>
  <c r="U137" i="1"/>
  <c r="CB136" i="1"/>
  <c r="CA141" i="1"/>
  <c r="CC141" i="1" s="1"/>
  <c r="AC122" i="1"/>
  <c r="AB122" i="1"/>
  <c r="CH122" i="1" s="1"/>
  <c r="CG135" i="1"/>
  <c r="BE123" i="1"/>
  <c r="AW123" i="1"/>
  <c r="AO123" i="1"/>
  <c r="BC123" i="1"/>
  <c r="AU123" i="1"/>
  <c r="AM123" i="1"/>
  <c r="BM57" i="1"/>
  <c r="BN57" i="1"/>
  <c r="AH91" i="1"/>
  <c r="AG91" i="1"/>
  <c r="AE92" i="1"/>
  <c r="BK58" i="1"/>
  <c r="CJ137" i="1" l="1"/>
  <c r="CL136" i="1"/>
  <c r="CK136" i="1"/>
  <c r="CI135" i="1"/>
  <c r="CD141" i="1"/>
  <c r="CF141" i="1" s="1"/>
  <c r="L123" i="1"/>
  <c r="CE123" i="1" s="1"/>
  <c r="M123" i="1"/>
  <c r="CA142" i="1"/>
  <c r="CC142" i="1" s="1"/>
  <c r="T138" i="1"/>
  <c r="U138" i="1"/>
  <c r="CB137" i="1"/>
  <c r="CG136" i="1"/>
  <c r="AB123" i="1"/>
  <c r="CH123" i="1" s="1"/>
  <c r="AC123" i="1"/>
  <c r="BE124" i="1"/>
  <c r="AW124" i="1"/>
  <c r="AO124" i="1"/>
  <c r="BC124" i="1"/>
  <c r="AU124" i="1"/>
  <c r="AM124" i="1"/>
  <c r="AG92" i="1"/>
  <c r="AH92" i="1"/>
  <c r="AE93" i="1"/>
  <c r="BK59" i="1"/>
  <c r="BN58" i="1"/>
  <c r="BM58" i="1"/>
  <c r="CJ138" i="1" l="1"/>
  <c r="CL137" i="1"/>
  <c r="CK137" i="1"/>
  <c r="M124" i="1"/>
  <c r="CI136" i="1"/>
  <c r="CD142" i="1"/>
  <c r="CF142" i="1" s="1"/>
  <c r="L124" i="1"/>
  <c r="CE124" i="1" s="1"/>
  <c r="T139" i="1"/>
  <c r="U139" i="1"/>
  <c r="CB138" i="1"/>
  <c r="CA143" i="1"/>
  <c r="CC143" i="1" s="1"/>
  <c r="AB124" i="1"/>
  <c r="CH124" i="1" s="1"/>
  <c r="AC124" i="1"/>
  <c r="CG137" i="1"/>
  <c r="BE125" i="1"/>
  <c r="AW125" i="1"/>
  <c r="AO125" i="1"/>
  <c r="BC125" i="1"/>
  <c r="AU125" i="1"/>
  <c r="AM125" i="1"/>
  <c r="BM59" i="1"/>
  <c r="BN59" i="1"/>
  <c r="AE94" i="1"/>
  <c r="BK60" i="1"/>
  <c r="AH93" i="1"/>
  <c r="AG93" i="1"/>
  <c r="CJ139" i="1" l="1"/>
  <c r="CL138" i="1"/>
  <c r="CK138" i="1"/>
  <c r="CI137" i="1"/>
  <c r="CD143" i="1"/>
  <c r="CF143" i="1" s="1"/>
  <c r="L125" i="1"/>
  <c r="CE125" i="1" s="1"/>
  <c r="M125" i="1"/>
  <c r="CA144" i="1"/>
  <c r="CC144" i="1" s="1"/>
  <c r="T140" i="1"/>
  <c r="U140" i="1"/>
  <c r="CB139" i="1"/>
  <c r="CG138" i="1"/>
  <c r="AC125" i="1"/>
  <c r="AB125" i="1"/>
  <c r="CH125" i="1" s="1"/>
  <c r="BE126" i="1"/>
  <c r="AO126" i="1"/>
  <c r="AW126" i="1"/>
  <c r="BC126" i="1"/>
  <c r="AU126" i="1"/>
  <c r="AM126" i="1"/>
  <c r="BK61" i="1"/>
  <c r="AH94" i="1"/>
  <c r="AG94" i="1"/>
  <c r="AE95" i="1"/>
  <c r="BM60" i="1"/>
  <c r="BN60" i="1"/>
  <c r="CJ140" i="1" l="1"/>
  <c r="CK139" i="1"/>
  <c r="CL139" i="1"/>
  <c r="M126" i="1"/>
  <c r="CI138" i="1"/>
  <c r="CD144" i="1"/>
  <c r="CF144" i="1" s="1"/>
  <c r="L126" i="1"/>
  <c r="CE126" i="1" s="1"/>
  <c r="U141" i="1"/>
  <c r="T141" i="1"/>
  <c r="CB140" i="1"/>
  <c r="AB126" i="1"/>
  <c r="CH126" i="1" s="1"/>
  <c r="AC126" i="1"/>
  <c r="CG139" i="1"/>
  <c r="BE127" i="1"/>
  <c r="AO127" i="1"/>
  <c r="AW127" i="1"/>
  <c r="BC127" i="1"/>
  <c r="AU127" i="1"/>
  <c r="AM127" i="1"/>
  <c r="AE96" i="1"/>
  <c r="AH95" i="1"/>
  <c r="AG95" i="1"/>
  <c r="BM61" i="1"/>
  <c r="BN61" i="1"/>
  <c r="BK62" i="1"/>
  <c r="CJ141" i="1" l="1"/>
  <c r="CL140" i="1"/>
  <c r="CK140" i="1"/>
  <c r="CI139" i="1"/>
  <c r="M127" i="1"/>
  <c r="L127" i="1"/>
  <c r="CE127" i="1" s="1"/>
  <c r="U142" i="1"/>
  <c r="T142" i="1"/>
  <c r="CB141" i="1"/>
  <c r="CG140" i="1"/>
  <c r="AB127" i="1"/>
  <c r="CH127" i="1" s="1"/>
  <c r="AC127" i="1"/>
  <c r="BE128" i="1"/>
  <c r="AO128" i="1"/>
  <c r="AW128" i="1"/>
  <c r="BC128" i="1"/>
  <c r="AU128" i="1"/>
  <c r="AM128" i="1"/>
  <c r="AG96" i="1"/>
  <c r="AH96" i="1"/>
  <c r="BK63" i="1"/>
  <c r="BN62" i="1"/>
  <c r="BM62" i="1"/>
  <c r="AE97" i="1"/>
  <c r="CJ142" i="1" l="1"/>
  <c r="CL141" i="1"/>
  <c r="CK141" i="1"/>
  <c r="CI140" i="1"/>
  <c r="M128" i="1"/>
  <c r="L128" i="1"/>
  <c r="CE128" i="1" s="1"/>
  <c r="T143" i="1"/>
  <c r="U143" i="1"/>
  <c r="CB142" i="1"/>
  <c r="AC128" i="1"/>
  <c r="AB128" i="1"/>
  <c r="CH128" i="1" s="1"/>
  <c r="CG141" i="1"/>
  <c r="BE129" i="1"/>
  <c r="AO129" i="1"/>
  <c r="AW129" i="1"/>
  <c r="BC129" i="1"/>
  <c r="AU129" i="1"/>
  <c r="AM129" i="1"/>
  <c r="AE99" i="1"/>
  <c r="AE98" i="1"/>
  <c r="BM63" i="1"/>
  <c r="BN63" i="1"/>
  <c r="BK64" i="1"/>
  <c r="AG97" i="1"/>
  <c r="AH97" i="1"/>
  <c r="CJ143" i="1" l="1"/>
  <c r="CL142" i="1"/>
  <c r="CK142" i="1"/>
  <c r="CI141" i="1"/>
  <c r="M129" i="1"/>
  <c r="L129" i="1"/>
  <c r="CE129" i="1" s="1"/>
  <c r="T144" i="1"/>
  <c r="CB144" i="1" s="1"/>
  <c r="U144" i="1"/>
  <c r="CB143" i="1"/>
  <c r="CG142" i="1"/>
  <c r="AB129" i="1"/>
  <c r="CH129" i="1" s="1"/>
  <c r="AC129" i="1"/>
  <c r="BE130" i="1"/>
  <c r="AW130" i="1"/>
  <c r="AO130" i="1"/>
  <c r="BC130" i="1"/>
  <c r="AU130" i="1"/>
  <c r="AM130" i="1"/>
  <c r="AE100" i="1"/>
  <c r="AH99" i="1"/>
  <c r="AG99" i="1"/>
  <c r="AG98" i="1"/>
  <c r="AH98" i="1"/>
  <c r="BK65" i="1"/>
  <c r="BM64" i="1"/>
  <c r="BN64" i="1"/>
  <c r="CJ144" i="1" l="1"/>
  <c r="CL143" i="1"/>
  <c r="CK143" i="1"/>
  <c r="V24" i="1"/>
  <c r="A10" i="8"/>
  <c r="CI142" i="1"/>
  <c r="M130" i="1"/>
  <c r="L130" i="1"/>
  <c r="CE130" i="1" s="1"/>
  <c r="AB130" i="1"/>
  <c r="CH130" i="1" s="1"/>
  <c r="AC130" i="1"/>
  <c r="CG143" i="1"/>
  <c r="BE131" i="1"/>
  <c r="AW131" i="1"/>
  <c r="AO131" i="1"/>
  <c r="BC131" i="1"/>
  <c r="AU131" i="1"/>
  <c r="AM131" i="1"/>
  <c r="AG100" i="1"/>
  <c r="AH100" i="1"/>
  <c r="AE101" i="1"/>
  <c r="BK66" i="1"/>
  <c r="BN65" i="1"/>
  <c r="BM65" i="1"/>
  <c r="CK144" i="1" l="1"/>
  <c r="CL144" i="1"/>
  <c r="CI143" i="1"/>
  <c r="M131" i="1"/>
  <c r="L131" i="1"/>
  <c r="CE131" i="1" s="1"/>
  <c r="V25" i="1"/>
  <c r="W24" i="1"/>
  <c r="X24" i="1" s="1"/>
  <c r="CG144" i="1"/>
  <c r="AC131" i="1"/>
  <c r="AB131" i="1"/>
  <c r="CH131" i="1" s="1"/>
  <c r="BE132" i="1"/>
  <c r="AW132" i="1"/>
  <c r="AO132" i="1"/>
  <c r="BC132" i="1"/>
  <c r="AU132" i="1"/>
  <c r="AM132" i="1"/>
  <c r="AG101" i="1"/>
  <c r="AH101" i="1"/>
  <c r="AE102" i="1"/>
  <c r="BN66" i="1"/>
  <c r="BM66" i="1"/>
  <c r="BK67" i="1"/>
  <c r="CI144" i="1" l="1"/>
  <c r="M132" i="1"/>
  <c r="L132" i="1"/>
  <c r="CE132" i="1" s="1"/>
  <c r="X25" i="1"/>
  <c r="Y24" i="1"/>
  <c r="Z24" i="1"/>
  <c r="V26" i="1"/>
  <c r="W25" i="1"/>
  <c r="AB132" i="1"/>
  <c r="CH132" i="1" s="1"/>
  <c r="AC132" i="1"/>
  <c r="BE133" i="1"/>
  <c r="AW133" i="1"/>
  <c r="AO133" i="1"/>
  <c r="BC133" i="1"/>
  <c r="AU133" i="1"/>
  <c r="AM133" i="1"/>
  <c r="AG102" i="1"/>
  <c r="AH102" i="1"/>
  <c r="AE103" i="1"/>
  <c r="BK68" i="1"/>
  <c r="BM67" i="1"/>
  <c r="BN67" i="1"/>
  <c r="M133" i="1" l="1"/>
  <c r="L133" i="1"/>
  <c r="CE133" i="1" s="1"/>
  <c r="V27" i="1"/>
  <c r="W26" i="1"/>
  <c r="X26" i="1"/>
  <c r="Z25" i="1"/>
  <c r="Y25" i="1"/>
  <c r="AC133" i="1"/>
  <c r="AB133" i="1"/>
  <c r="CH133" i="1" s="1"/>
  <c r="BE134" i="1"/>
  <c r="AW134" i="1"/>
  <c r="AO134" i="1"/>
  <c r="BC134" i="1"/>
  <c r="AU134" i="1"/>
  <c r="AM134" i="1"/>
  <c r="AE104" i="1"/>
  <c r="AG103" i="1"/>
  <c r="AH103" i="1"/>
  <c r="BM68" i="1"/>
  <c r="BN68" i="1"/>
  <c r="BK69" i="1"/>
  <c r="M134" i="1" l="1"/>
  <c r="L134" i="1"/>
  <c r="CE134" i="1" s="1"/>
  <c r="X27" i="1"/>
  <c r="Y26" i="1"/>
  <c r="Z26" i="1"/>
  <c r="V28" i="1"/>
  <c r="W27" i="1"/>
  <c r="AB134" i="1"/>
  <c r="CH134" i="1" s="1"/>
  <c r="AC134" i="1"/>
  <c r="BE135" i="1"/>
  <c r="AW135" i="1"/>
  <c r="AO135" i="1"/>
  <c r="BC135" i="1"/>
  <c r="AU135" i="1"/>
  <c r="AM135" i="1"/>
  <c r="AE105" i="1"/>
  <c r="AG104" i="1"/>
  <c r="AH104" i="1"/>
  <c r="BK70" i="1"/>
  <c r="BM69" i="1"/>
  <c r="BN69" i="1"/>
  <c r="M135" i="1" l="1"/>
  <c r="L135" i="1"/>
  <c r="CE135" i="1" s="1"/>
  <c r="V29" i="1"/>
  <c r="W28" i="1"/>
  <c r="X28" i="1"/>
  <c r="Y27" i="1"/>
  <c r="Z27" i="1"/>
  <c r="AB135" i="1"/>
  <c r="CH135" i="1" s="1"/>
  <c r="AC135" i="1"/>
  <c r="BE136" i="1"/>
  <c r="AO136" i="1"/>
  <c r="AW136" i="1"/>
  <c r="BC136" i="1"/>
  <c r="AU136" i="1"/>
  <c r="AM136" i="1"/>
  <c r="AE106" i="1"/>
  <c r="AG105" i="1"/>
  <c r="AH105" i="1"/>
  <c r="BM70" i="1"/>
  <c r="BN70" i="1"/>
  <c r="BK71" i="1"/>
  <c r="M136" i="1" l="1"/>
  <c r="L136" i="1"/>
  <c r="CE136" i="1" s="1"/>
  <c r="X29" i="1"/>
  <c r="Z28" i="1"/>
  <c r="Y28" i="1"/>
  <c r="V30" i="1"/>
  <c r="W29" i="1"/>
  <c r="AB136" i="1"/>
  <c r="CH136" i="1" s="1"/>
  <c r="AC136" i="1"/>
  <c r="BE137" i="1"/>
  <c r="AO137" i="1"/>
  <c r="AW137" i="1"/>
  <c r="BC137" i="1"/>
  <c r="AU137" i="1"/>
  <c r="AM137" i="1"/>
  <c r="AE107" i="1"/>
  <c r="AG106" i="1"/>
  <c r="AH106" i="1"/>
  <c r="BK72" i="1"/>
  <c r="BN71" i="1"/>
  <c r="BM71" i="1"/>
  <c r="L137" i="1" l="1"/>
  <c r="CE137" i="1" s="1"/>
  <c r="M137" i="1"/>
  <c r="V31" i="1"/>
  <c r="W30" i="1"/>
  <c r="X30" i="1"/>
  <c r="Y29" i="1"/>
  <c r="Z29" i="1"/>
  <c r="AB137" i="1"/>
  <c r="CH137" i="1" s="1"/>
  <c r="AC137" i="1"/>
  <c r="BE138" i="1"/>
  <c r="AW138" i="1"/>
  <c r="AO138" i="1"/>
  <c r="BC138" i="1"/>
  <c r="AU138" i="1"/>
  <c r="AM138" i="1"/>
  <c r="AE108" i="1"/>
  <c r="AG107" i="1"/>
  <c r="AH107" i="1"/>
  <c r="BM72" i="1"/>
  <c r="BN72" i="1"/>
  <c r="BK73" i="1"/>
  <c r="M138" i="1" l="1"/>
  <c r="L138" i="1"/>
  <c r="CE138" i="1" s="1"/>
  <c r="X31" i="1"/>
  <c r="Y30" i="1"/>
  <c r="Z30" i="1"/>
  <c r="V32" i="1"/>
  <c r="W31" i="1"/>
  <c r="AB138" i="1"/>
  <c r="CH138" i="1" s="1"/>
  <c r="AC138" i="1"/>
  <c r="BE139" i="1"/>
  <c r="AW139" i="1"/>
  <c r="AO139" i="1"/>
  <c r="BC139" i="1"/>
  <c r="AU139" i="1"/>
  <c r="AM139" i="1"/>
  <c r="AG108" i="1"/>
  <c r="AH108" i="1"/>
  <c r="AE109" i="1"/>
  <c r="BK74" i="1"/>
  <c r="BN73" i="1"/>
  <c r="BM73" i="1"/>
  <c r="L139" i="1" l="1"/>
  <c r="CE139" i="1" s="1"/>
  <c r="M139" i="1"/>
  <c r="V33" i="1"/>
  <c r="W32" i="1"/>
  <c r="X32" i="1"/>
  <c r="Y31" i="1"/>
  <c r="Z31" i="1"/>
  <c r="AB139" i="1"/>
  <c r="CH139" i="1" s="1"/>
  <c r="AC139" i="1"/>
  <c r="BE140" i="1"/>
  <c r="AW140" i="1"/>
  <c r="AO140" i="1"/>
  <c r="BC140" i="1"/>
  <c r="AU140" i="1"/>
  <c r="AM140" i="1"/>
  <c r="AG109" i="1"/>
  <c r="AH109" i="1"/>
  <c r="AE110" i="1"/>
  <c r="BM74" i="1"/>
  <c r="BN74" i="1"/>
  <c r="BK75" i="1"/>
  <c r="M140" i="1" l="1"/>
  <c r="AC140" i="1"/>
  <c r="L140" i="1"/>
  <c r="CE140" i="1" s="1"/>
  <c r="X33" i="1"/>
  <c r="Y32" i="1"/>
  <c r="Z32" i="1"/>
  <c r="V34" i="1"/>
  <c r="W33" i="1"/>
  <c r="AB140" i="1"/>
  <c r="CH140" i="1" s="1"/>
  <c r="BE141" i="1"/>
  <c r="AO141" i="1"/>
  <c r="AW141" i="1"/>
  <c r="BC141" i="1"/>
  <c r="AU141" i="1"/>
  <c r="AM141" i="1"/>
  <c r="AG110" i="1"/>
  <c r="AH110" i="1"/>
  <c r="AE111" i="1"/>
  <c r="BK76" i="1"/>
  <c r="BM75" i="1"/>
  <c r="BN75" i="1"/>
  <c r="L141" i="1" l="1"/>
  <c r="CE141" i="1" s="1"/>
  <c r="M141" i="1"/>
  <c r="V35" i="1"/>
  <c r="W34" i="1"/>
  <c r="X34" i="1"/>
  <c r="Y33" i="1"/>
  <c r="Z33" i="1"/>
  <c r="AB141" i="1"/>
  <c r="CH141" i="1" s="1"/>
  <c r="AC141" i="1"/>
  <c r="BE142" i="1"/>
  <c r="AW142" i="1"/>
  <c r="AO142" i="1"/>
  <c r="BC142" i="1"/>
  <c r="AU142" i="1"/>
  <c r="AM142" i="1"/>
  <c r="AE112" i="1"/>
  <c r="AG111" i="1"/>
  <c r="AH111" i="1"/>
  <c r="BM76" i="1"/>
  <c r="BN76" i="1"/>
  <c r="BK77" i="1"/>
  <c r="M142" i="1" l="1"/>
  <c r="L142" i="1"/>
  <c r="CE142" i="1" s="1"/>
  <c r="X35" i="1"/>
  <c r="Y34" i="1"/>
  <c r="Z34" i="1"/>
  <c r="V36" i="1"/>
  <c r="W35" i="1"/>
  <c r="AB142" i="1"/>
  <c r="CH142" i="1" s="1"/>
  <c r="AC142" i="1"/>
  <c r="BE143" i="1"/>
  <c r="AW143" i="1"/>
  <c r="AO143" i="1"/>
  <c r="BC143" i="1"/>
  <c r="AU143" i="1"/>
  <c r="AM143" i="1"/>
  <c r="AG112" i="1"/>
  <c r="AH112" i="1"/>
  <c r="AE113" i="1"/>
  <c r="BK78" i="1"/>
  <c r="BM77" i="1"/>
  <c r="BN77" i="1"/>
  <c r="M143" i="1" l="1"/>
  <c r="L143" i="1"/>
  <c r="CE143" i="1" s="1"/>
  <c r="V37" i="1"/>
  <c r="W36" i="1"/>
  <c r="X36" i="1"/>
  <c r="Y35" i="1"/>
  <c r="Z35" i="1"/>
  <c r="AB143" i="1"/>
  <c r="CH143" i="1" s="1"/>
  <c r="AC143" i="1"/>
  <c r="BE144" i="1"/>
  <c r="AW144" i="1"/>
  <c r="AO144" i="1"/>
  <c r="BC144" i="1"/>
  <c r="AU144" i="1"/>
  <c r="AM144" i="1"/>
  <c r="AG113" i="1"/>
  <c r="AH113" i="1"/>
  <c r="AE114" i="1"/>
  <c r="BM78" i="1"/>
  <c r="BN78" i="1"/>
  <c r="BK79" i="1"/>
  <c r="M144" i="1" l="1"/>
  <c r="A9" i="8" s="1"/>
  <c r="L144" i="1"/>
  <c r="CE144" i="1" s="1"/>
  <c r="X37" i="1"/>
  <c r="Y36" i="1"/>
  <c r="Z36" i="1"/>
  <c r="V38" i="1"/>
  <c r="W37" i="1"/>
  <c r="AC144" i="1"/>
  <c r="A11" i="8" s="1"/>
  <c r="AB144" i="1"/>
  <c r="CH144" i="1" s="1"/>
  <c r="AG114" i="1"/>
  <c r="AH114" i="1"/>
  <c r="AE115" i="1"/>
  <c r="BK80" i="1"/>
  <c r="BM79" i="1"/>
  <c r="BN79" i="1"/>
  <c r="N24" i="1" l="1"/>
  <c r="N25" i="1" s="1"/>
  <c r="N26" i="1" s="1"/>
  <c r="N27" i="1" s="1"/>
  <c r="N28" i="1" s="1"/>
  <c r="N29" i="1" s="1"/>
  <c r="N30" i="1" s="1"/>
  <c r="N31" i="1" s="1"/>
  <c r="N32" i="1" s="1"/>
  <c r="N33" i="1" s="1"/>
  <c r="N34" i="1" s="1"/>
  <c r="N35" i="1" s="1"/>
  <c r="N36" i="1" s="1"/>
  <c r="N37" i="1" s="1"/>
  <c r="N38" i="1" s="1"/>
  <c r="N39" i="1" s="1"/>
  <c r="N40" i="1" s="1"/>
  <c r="N41" i="1" s="1"/>
  <c r="N42" i="1" s="1"/>
  <c r="N43" i="1" s="1"/>
  <c r="N44" i="1" s="1"/>
  <c r="N45" i="1" s="1"/>
  <c r="N46" i="1" s="1"/>
  <c r="N47" i="1" s="1"/>
  <c r="N48" i="1" s="1"/>
  <c r="N49" i="1" s="1"/>
  <c r="N50" i="1" s="1"/>
  <c r="N51" i="1" s="1"/>
  <c r="N52" i="1" s="1"/>
  <c r="N53" i="1" s="1"/>
  <c r="N54" i="1" s="1"/>
  <c r="N55" i="1" s="1"/>
  <c r="N56" i="1" s="1"/>
  <c r="N57" i="1" s="1"/>
  <c r="N58" i="1" s="1"/>
  <c r="N59" i="1" s="1"/>
  <c r="N60" i="1" s="1"/>
  <c r="N61" i="1" s="1"/>
  <c r="N62" i="1" s="1"/>
  <c r="N63" i="1" s="1"/>
  <c r="N64" i="1" s="1"/>
  <c r="N65" i="1" s="1"/>
  <c r="N66" i="1" s="1"/>
  <c r="N67" i="1" s="1"/>
  <c r="N68" i="1" s="1"/>
  <c r="N69" i="1" s="1"/>
  <c r="N70" i="1" s="1"/>
  <c r="N71" i="1" s="1"/>
  <c r="N72" i="1" s="1"/>
  <c r="N73" i="1" s="1"/>
  <c r="N74" i="1" s="1"/>
  <c r="N75" i="1" s="1"/>
  <c r="N76" i="1" s="1"/>
  <c r="N77" i="1" s="1"/>
  <c r="N78" i="1" s="1"/>
  <c r="N79" i="1" s="1"/>
  <c r="N80" i="1" s="1"/>
  <c r="N81" i="1" s="1"/>
  <c r="N82" i="1" s="1"/>
  <c r="N83" i="1" s="1"/>
  <c r="N84" i="1" s="1"/>
  <c r="N85" i="1" s="1"/>
  <c r="N86" i="1" s="1"/>
  <c r="N87" i="1" s="1"/>
  <c r="N88" i="1" s="1"/>
  <c r="N89" i="1" s="1"/>
  <c r="N90" i="1" s="1"/>
  <c r="N91" i="1" s="1"/>
  <c r="N92" i="1" s="1"/>
  <c r="N93" i="1" s="1"/>
  <c r="N94" i="1" s="1"/>
  <c r="N95" i="1" s="1"/>
  <c r="N96" i="1" s="1"/>
  <c r="N97" i="1" s="1"/>
  <c r="N98" i="1" s="1"/>
  <c r="N99" i="1" s="1"/>
  <c r="N100" i="1" s="1"/>
  <c r="N101" i="1" s="1"/>
  <c r="N102" i="1" s="1"/>
  <c r="N103" i="1" s="1"/>
  <c r="N104" i="1" s="1"/>
  <c r="N105" i="1" s="1"/>
  <c r="N106" i="1" s="1"/>
  <c r="N107" i="1" s="1"/>
  <c r="N108" i="1" s="1"/>
  <c r="N109" i="1" s="1"/>
  <c r="N110" i="1" s="1"/>
  <c r="N111" i="1" s="1"/>
  <c r="N112" i="1" s="1"/>
  <c r="N113" i="1" s="1"/>
  <c r="N114" i="1" s="1"/>
  <c r="N115" i="1" s="1"/>
  <c r="N116" i="1" s="1"/>
  <c r="N117" i="1" s="1"/>
  <c r="N118" i="1" s="1"/>
  <c r="N119" i="1" s="1"/>
  <c r="N120" i="1" s="1"/>
  <c r="N121" i="1" s="1"/>
  <c r="N122" i="1" s="1"/>
  <c r="N123" i="1" s="1"/>
  <c r="N124" i="1" s="1"/>
  <c r="N125" i="1" s="1"/>
  <c r="N126" i="1" s="1"/>
  <c r="N127" i="1" s="1"/>
  <c r="N128" i="1" s="1"/>
  <c r="N129" i="1" s="1"/>
  <c r="N130" i="1" s="1"/>
  <c r="N131" i="1" s="1"/>
  <c r="N132" i="1" s="1"/>
  <c r="N133" i="1" s="1"/>
  <c r="N134" i="1" s="1"/>
  <c r="N135" i="1" s="1"/>
  <c r="N136" i="1" s="1"/>
  <c r="N137" i="1" s="1"/>
  <c r="N138" i="1" s="1"/>
  <c r="N139" i="1" s="1"/>
  <c r="N140" i="1" s="1"/>
  <c r="N141" i="1" s="1"/>
  <c r="N142" i="1" s="1"/>
  <c r="N143" i="1" s="1"/>
  <c r="N144" i="1" s="1"/>
  <c r="V39" i="1"/>
  <c r="W38" i="1"/>
  <c r="X38" i="1"/>
  <c r="Y37" i="1"/>
  <c r="Z37" i="1"/>
  <c r="AE116" i="1"/>
  <c r="AG115" i="1"/>
  <c r="AH115" i="1"/>
  <c r="BM80" i="1"/>
  <c r="BN80" i="1"/>
  <c r="BK81" i="1"/>
  <c r="X39" i="1" l="1"/>
  <c r="Y38" i="1"/>
  <c r="Z38" i="1"/>
  <c r="V40" i="1"/>
  <c r="W39" i="1"/>
  <c r="AH116" i="1"/>
  <c r="AG116" i="1"/>
  <c r="AE117" i="1"/>
  <c r="BK82" i="1"/>
  <c r="BM81" i="1"/>
  <c r="BN81" i="1"/>
  <c r="V41" i="1" l="1"/>
  <c r="W40" i="1"/>
  <c r="X40" i="1"/>
  <c r="Y39" i="1"/>
  <c r="Z39" i="1"/>
  <c r="AH117" i="1"/>
  <c r="AG117" i="1"/>
  <c r="AE118" i="1"/>
  <c r="BM82" i="1"/>
  <c r="BN82" i="1"/>
  <c r="BK83" i="1"/>
  <c r="X41" i="1" l="1"/>
  <c r="Y40" i="1"/>
  <c r="Z40" i="1"/>
  <c r="V42" i="1"/>
  <c r="W41" i="1"/>
  <c r="AE119" i="1"/>
  <c r="AH118" i="1"/>
  <c r="AG118" i="1"/>
  <c r="BK84" i="1"/>
  <c r="BN83" i="1"/>
  <c r="BM83" i="1"/>
  <c r="V43" i="1" l="1"/>
  <c r="W42" i="1"/>
  <c r="X42" i="1"/>
  <c r="Z41" i="1"/>
  <c r="Y41" i="1"/>
  <c r="AE120" i="1"/>
  <c r="AH119" i="1"/>
  <c r="AG119" i="1"/>
  <c r="BN84" i="1"/>
  <c r="BM84" i="1"/>
  <c r="BK85" i="1"/>
  <c r="X43" i="1" l="1"/>
  <c r="Y42" i="1"/>
  <c r="Z42" i="1"/>
  <c r="V44" i="1"/>
  <c r="W43" i="1"/>
  <c r="AH120" i="1"/>
  <c r="AG120" i="1"/>
  <c r="AE121" i="1"/>
  <c r="BK86" i="1"/>
  <c r="BN85" i="1"/>
  <c r="BM85" i="1"/>
  <c r="V45" i="1" l="1"/>
  <c r="W44" i="1"/>
  <c r="X44" i="1"/>
  <c r="Z43" i="1"/>
  <c r="Y43" i="1"/>
  <c r="AE122" i="1"/>
  <c r="AH121" i="1"/>
  <c r="AG121" i="1"/>
  <c r="BM86" i="1"/>
  <c r="BN86" i="1"/>
  <c r="BK87" i="1"/>
  <c r="X45" i="1" l="1"/>
  <c r="Z44" i="1"/>
  <c r="Y44" i="1"/>
  <c r="V46" i="1"/>
  <c r="W45" i="1"/>
  <c r="AH122" i="1"/>
  <c r="AG122" i="1"/>
  <c r="AE123" i="1"/>
  <c r="BK88" i="1"/>
  <c r="BN87" i="1"/>
  <c r="BM87" i="1"/>
  <c r="V47" i="1" l="1"/>
  <c r="W46" i="1"/>
  <c r="X46" i="1"/>
  <c r="Z45" i="1"/>
  <c r="Y45" i="1"/>
  <c r="AH123" i="1"/>
  <c r="AG123" i="1"/>
  <c r="AE124" i="1"/>
  <c r="BM88" i="1"/>
  <c r="BN88" i="1"/>
  <c r="BK89" i="1"/>
  <c r="X47" i="1" l="1"/>
  <c r="Z46" i="1"/>
  <c r="Y46" i="1"/>
  <c r="V48" i="1"/>
  <c r="W47" i="1"/>
  <c r="AH124" i="1"/>
  <c r="AG124" i="1"/>
  <c r="AE125" i="1"/>
  <c r="BK90" i="1"/>
  <c r="BN89" i="1"/>
  <c r="BM89" i="1"/>
  <c r="V49" i="1" l="1"/>
  <c r="W48" i="1"/>
  <c r="X48" i="1"/>
  <c r="Y47" i="1"/>
  <c r="Z47" i="1"/>
  <c r="AH125" i="1"/>
  <c r="AG125" i="1"/>
  <c r="AE126" i="1"/>
  <c r="BM90" i="1"/>
  <c r="BN90" i="1"/>
  <c r="BK91" i="1"/>
  <c r="X49" i="1" l="1"/>
  <c r="Z48" i="1"/>
  <c r="Y48" i="1"/>
  <c r="V50" i="1"/>
  <c r="W49" i="1"/>
  <c r="AE127" i="1"/>
  <c r="AH126" i="1"/>
  <c r="AG126" i="1"/>
  <c r="BK92" i="1"/>
  <c r="BM91" i="1"/>
  <c r="BN91" i="1"/>
  <c r="V51" i="1" l="1"/>
  <c r="W50" i="1"/>
  <c r="X50" i="1"/>
  <c r="Z49" i="1"/>
  <c r="Y49" i="1"/>
  <c r="AE128" i="1"/>
  <c r="AH127" i="1"/>
  <c r="AG127" i="1"/>
  <c r="BM92" i="1"/>
  <c r="BN92" i="1"/>
  <c r="BK93" i="1"/>
  <c r="X51" i="1" l="1"/>
  <c r="Y50" i="1"/>
  <c r="Z50" i="1"/>
  <c r="V52" i="1"/>
  <c r="W51" i="1"/>
  <c r="AH128" i="1"/>
  <c r="AG128" i="1"/>
  <c r="AE129" i="1"/>
  <c r="BK94" i="1"/>
  <c r="BM93" i="1"/>
  <c r="BN93" i="1"/>
  <c r="V53" i="1" l="1"/>
  <c r="W52" i="1"/>
  <c r="X52" i="1"/>
  <c r="Y51" i="1"/>
  <c r="Z51" i="1"/>
  <c r="AH129" i="1"/>
  <c r="AG129" i="1"/>
  <c r="AE130" i="1"/>
  <c r="BM94" i="1"/>
  <c r="BN94" i="1"/>
  <c r="BK95" i="1"/>
  <c r="O24" i="1"/>
  <c r="P24" i="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s="1"/>
  <c r="P79" i="1" s="1"/>
  <c r="P80" i="1" s="1"/>
  <c r="P81" i="1" s="1"/>
  <c r="P82" i="1" s="1"/>
  <c r="P83" i="1" s="1"/>
  <c r="P84" i="1" s="1"/>
  <c r="P85" i="1" s="1"/>
  <c r="P86" i="1" s="1"/>
  <c r="P87" i="1" s="1"/>
  <c r="P88" i="1" s="1"/>
  <c r="P89" i="1" s="1"/>
  <c r="P90" i="1" s="1"/>
  <c r="P91" i="1" s="1"/>
  <c r="P92" i="1" s="1"/>
  <c r="P93" i="1" s="1"/>
  <c r="P94" i="1" s="1"/>
  <c r="P95" i="1" s="1"/>
  <c r="P96" i="1" s="1"/>
  <c r="P97" i="1" s="1"/>
  <c r="P98" i="1" s="1"/>
  <c r="P99" i="1" s="1"/>
  <c r="P100" i="1" s="1"/>
  <c r="P101" i="1" s="1"/>
  <c r="P102" i="1" s="1"/>
  <c r="P103" i="1" s="1"/>
  <c r="P104" i="1" s="1"/>
  <c r="P105" i="1" s="1"/>
  <c r="P106" i="1" s="1"/>
  <c r="P107" i="1" s="1"/>
  <c r="P108" i="1" s="1"/>
  <c r="P109" i="1" s="1"/>
  <c r="P110" i="1" s="1"/>
  <c r="P111" i="1" s="1"/>
  <c r="P112" i="1" s="1"/>
  <c r="P113" i="1" s="1"/>
  <c r="P114" i="1" s="1"/>
  <c r="P115" i="1" s="1"/>
  <c r="P116" i="1" s="1"/>
  <c r="P117" i="1" s="1"/>
  <c r="P118" i="1" s="1"/>
  <c r="P119" i="1" s="1"/>
  <c r="P120" i="1" s="1"/>
  <c r="P121" i="1" s="1"/>
  <c r="P122" i="1" s="1"/>
  <c r="P123" i="1" s="1"/>
  <c r="P124" i="1" s="1"/>
  <c r="P125" i="1" s="1"/>
  <c r="P126" i="1" s="1"/>
  <c r="P127" i="1" s="1"/>
  <c r="P128" i="1" s="1"/>
  <c r="P129" i="1" s="1"/>
  <c r="P130" i="1" s="1"/>
  <c r="P131" i="1" s="1"/>
  <c r="P132" i="1" s="1"/>
  <c r="P133" i="1" s="1"/>
  <c r="P134" i="1" s="1"/>
  <c r="P135" i="1" s="1"/>
  <c r="P136" i="1" s="1"/>
  <c r="P137" i="1" s="1"/>
  <c r="P138" i="1" s="1"/>
  <c r="P139" i="1" s="1"/>
  <c r="P140" i="1" s="1"/>
  <c r="P141" i="1" s="1"/>
  <c r="P142" i="1" s="1"/>
  <c r="P143" i="1" s="1"/>
  <c r="P144" i="1" s="1"/>
  <c r="O25" i="1"/>
  <c r="X53" i="1" l="1"/>
  <c r="Y52" i="1"/>
  <c r="Z52" i="1"/>
  <c r="V54" i="1"/>
  <c r="W53" i="1"/>
  <c r="AE131" i="1"/>
  <c r="AH130" i="1"/>
  <c r="AG130" i="1"/>
  <c r="BK96" i="1"/>
  <c r="BN95" i="1"/>
  <c r="BM95" i="1"/>
  <c r="O26" i="1"/>
  <c r="R24" i="1"/>
  <c r="Q24" i="1"/>
  <c r="V55" i="1" l="1"/>
  <c r="W54" i="1"/>
  <c r="X54" i="1"/>
  <c r="Y53" i="1"/>
  <c r="Z53" i="1"/>
  <c r="AH131" i="1"/>
  <c r="AG131" i="1"/>
  <c r="AE132" i="1"/>
  <c r="Q99" i="1"/>
  <c r="R99" i="1"/>
  <c r="BM96" i="1"/>
  <c r="BN96" i="1"/>
  <c r="BK97" i="1"/>
  <c r="Q25" i="1"/>
  <c r="O27" i="1"/>
  <c r="Q26" i="1"/>
  <c r="R26" i="1"/>
  <c r="R25" i="1"/>
  <c r="Q27" i="1"/>
  <c r="R27" i="1"/>
  <c r="X55" i="1" l="1"/>
  <c r="Y54" i="1"/>
  <c r="Z54" i="1"/>
  <c r="V56" i="1"/>
  <c r="W55" i="1"/>
  <c r="BK99" i="1"/>
  <c r="AH132" i="1"/>
  <c r="AG132" i="1"/>
  <c r="AE133" i="1"/>
  <c r="R100" i="1"/>
  <c r="Q100" i="1"/>
  <c r="BK98" i="1"/>
  <c r="BM97" i="1"/>
  <c r="BN97" i="1"/>
  <c r="R28" i="1"/>
  <c r="Q28" i="1"/>
  <c r="V57" i="1" l="1"/>
  <c r="W56" i="1"/>
  <c r="X56" i="1"/>
  <c r="Z55" i="1"/>
  <c r="Y55" i="1"/>
  <c r="BM99" i="1"/>
  <c r="BN99" i="1"/>
  <c r="BK100" i="1"/>
  <c r="AH133" i="1"/>
  <c r="AG133" i="1"/>
  <c r="AE134" i="1"/>
  <c r="R101" i="1"/>
  <c r="Q101" i="1"/>
  <c r="O28" i="1"/>
  <c r="BM98" i="1"/>
  <c r="BN98" i="1"/>
  <c r="O29" i="1"/>
  <c r="Q29" i="1"/>
  <c r="R29" i="1"/>
  <c r="X57" i="1" l="1"/>
  <c r="Y56" i="1"/>
  <c r="Z56" i="1"/>
  <c r="V58" i="1"/>
  <c r="W57" i="1"/>
  <c r="BK101" i="1"/>
  <c r="BM100" i="1"/>
  <c r="BN100" i="1"/>
  <c r="AH134" i="1"/>
  <c r="AG134" i="1"/>
  <c r="AE135" i="1"/>
  <c r="Q102" i="1"/>
  <c r="R102" i="1"/>
  <c r="O30" i="1"/>
  <c r="Q30" i="1"/>
  <c r="R30" i="1"/>
  <c r="V59" i="1" l="1"/>
  <c r="W58" i="1"/>
  <c r="X58" i="1"/>
  <c r="Z57" i="1"/>
  <c r="Y57" i="1"/>
  <c r="BM101" i="1"/>
  <c r="BN101" i="1"/>
  <c r="BK102" i="1"/>
  <c r="AE136" i="1"/>
  <c r="AH135" i="1"/>
  <c r="AG135" i="1"/>
  <c r="Q103" i="1"/>
  <c r="R103" i="1"/>
  <c r="O31" i="1"/>
  <c r="R31" i="1"/>
  <c r="Q31" i="1"/>
  <c r="X59" i="1" l="1"/>
  <c r="Z58" i="1"/>
  <c r="Y58" i="1"/>
  <c r="V60" i="1"/>
  <c r="W59" i="1"/>
  <c r="BK103" i="1"/>
  <c r="BN102" i="1"/>
  <c r="BM102" i="1"/>
  <c r="AH136" i="1"/>
  <c r="AG136" i="1"/>
  <c r="AE137" i="1"/>
  <c r="Q104" i="1"/>
  <c r="R104" i="1"/>
  <c r="R32" i="1"/>
  <c r="Q32" i="1"/>
  <c r="O32" i="1"/>
  <c r="V61" i="1" l="1"/>
  <c r="W60" i="1"/>
  <c r="X60" i="1"/>
  <c r="Y59" i="1"/>
  <c r="Z59" i="1"/>
  <c r="BM103" i="1"/>
  <c r="BN103" i="1"/>
  <c r="BK104" i="1"/>
  <c r="AE138" i="1"/>
  <c r="AH137" i="1"/>
  <c r="AG137" i="1"/>
  <c r="Q105" i="1"/>
  <c r="R105" i="1"/>
  <c r="Q33" i="1"/>
  <c r="R33" i="1"/>
  <c r="O33" i="1"/>
  <c r="X61" i="1" l="1"/>
  <c r="Z60" i="1"/>
  <c r="Y60" i="1"/>
  <c r="V62" i="1"/>
  <c r="W61" i="1"/>
  <c r="BK105" i="1"/>
  <c r="BN104" i="1"/>
  <c r="BM104" i="1"/>
  <c r="AH138" i="1"/>
  <c r="AG138" i="1"/>
  <c r="AE139" i="1"/>
  <c r="R106" i="1"/>
  <c r="Q106" i="1"/>
  <c r="O34" i="1"/>
  <c r="R34" i="1"/>
  <c r="Q34" i="1"/>
  <c r="V63" i="1" l="1"/>
  <c r="W62" i="1"/>
  <c r="X62" i="1"/>
  <c r="Y61" i="1"/>
  <c r="Z61" i="1"/>
  <c r="BN105" i="1"/>
  <c r="BM105" i="1"/>
  <c r="BK106" i="1"/>
  <c r="AG139" i="1"/>
  <c r="AH139" i="1"/>
  <c r="AE140" i="1"/>
  <c r="Q107" i="1"/>
  <c r="R107" i="1"/>
  <c r="R35" i="1"/>
  <c r="Q35" i="1"/>
  <c r="O35" i="1"/>
  <c r="X63" i="1" l="1"/>
  <c r="Z62" i="1"/>
  <c r="Y62" i="1"/>
  <c r="V64" i="1"/>
  <c r="W63" i="1"/>
  <c r="BN106" i="1"/>
  <c r="BM106" i="1"/>
  <c r="BK107" i="1"/>
  <c r="AG140" i="1"/>
  <c r="AH140" i="1"/>
  <c r="AE141" i="1"/>
  <c r="R108" i="1"/>
  <c r="Q108" i="1"/>
  <c r="O36" i="1"/>
  <c r="Q36" i="1"/>
  <c r="R36" i="1"/>
  <c r="V65" i="1" l="1"/>
  <c r="W64" i="1"/>
  <c r="X64" i="1"/>
  <c r="Y63" i="1"/>
  <c r="Z63" i="1"/>
  <c r="BK108" i="1"/>
  <c r="BM107" i="1"/>
  <c r="BN107" i="1"/>
  <c r="AE142" i="1"/>
  <c r="AG141" i="1"/>
  <c r="AH141" i="1"/>
  <c r="R109" i="1"/>
  <c r="Q109" i="1"/>
  <c r="R37" i="1"/>
  <c r="Q37" i="1"/>
  <c r="O37" i="1"/>
  <c r="X65" i="1" l="1"/>
  <c r="Y64" i="1"/>
  <c r="Z64" i="1"/>
  <c r="V66" i="1"/>
  <c r="W65" i="1"/>
  <c r="BM108" i="1"/>
  <c r="BN108" i="1"/>
  <c r="BK109" i="1"/>
  <c r="AE143" i="1"/>
  <c r="AE144" i="1"/>
  <c r="AG142" i="1"/>
  <c r="AH142" i="1"/>
  <c r="Q110" i="1"/>
  <c r="R110" i="1"/>
  <c r="Q38" i="1"/>
  <c r="R38" i="1"/>
  <c r="O38" i="1"/>
  <c r="V67" i="1" l="1"/>
  <c r="W66" i="1"/>
  <c r="X66" i="1"/>
  <c r="Y65" i="1"/>
  <c r="Z65" i="1"/>
  <c r="BK110" i="1"/>
  <c r="BM109" i="1"/>
  <c r="BN109" i="1"/>
  <c r="AG143" i="1"/>
  <c r="AH143" i="1"/>
  <c r="Q111" i="1"/>
  <c r="R111" i="1"/>
  <c r="O39" i="1"/>
  <c r="Q39" i="1"/>
  <c r="R39" i="1"/>
  <c r="X67" i="1" l="1"/>
  <c r="Z66" i="1"/>
  <c r="Y66" i="1"/>
  <c r="V68" i="1"/>
  <c r="W67" i="1"/>
  <c r="BM110" i="1"/>
  <c r="BN110" i="1"/>
  <c r="BK111" i="1"/>
  <c r="AH144" i="1"/>
  <c r="AG144" i="1"/>
  <c r="Q112" i="1"/>
  <c r="R112" i="1"/>
  <c r="R40" i="1"/>
  <c r="Q40" i="1"/>
  <c r="O40" i="1"/>
  <c r="V69" i="1" l="1"/>
  <c r="W68" i="1"/>
  <c r="X68" i="1"/>
  <c r="Y67" i="1"/>
  <c r="Z67" i="1"/>
  <c r="BN111" i="1"/>
  <c r="BM111" i="1"/>
  <c r="BK112" i="1"/>
  <c r="R113" i="1"/>
  <c r="Q113" i="1"/>
  <c r="O41" i="1"/>
  <c r="R41" i="1"/>
  <c r="Q41" i="1"/>
  <c r="X69" i="1" l="1"/>
  <c r="Y68" i="1"/>
  <c r="Z68" i="1"/>
  <c r="V70" i="1"/>
  <c r="W69" i="1"/>
  <c r="BK113" i="1"/>
  <c r="BM112" i="1"/>
  <c r="BN112" i="1"/>
  <c r="R114" i="1"/>
  <c r="Q114" i="1"/>
  <c r="R42" i="1"/>
  <c r="Q42" i="1"/>
  <c r="O42" i="1"/>
  <c r="V71" i="1" l="1"/>
  <c r="W70" i="1"/>
  <c r="X70" i="1"/>
  <c r="Z69" i="1"/>
  <c r="Y69" i="1"/>
  <c r="BM113" i="1"/>
  <c r="BN113" i="1"/>
  <c r="BK114" i="1"/>
  <c r="Q115" i="1"/>
  <c r="R115" i="1"/>
  <c r="R43" i="1"/>
  <c r="Q43" i="1"/>
  <c r="O43" i="1"/>
  <c r="X71" i="1" l="1"/>
  <c r="Y70" i="1"/>
  <c r="Z70" i="1"/>
  <c r="V72" i="1"/>
  <c r="W71" i="1"/>
  <c r="BN114" i="1"/>
  <c r="BM114" i="1"/>
  <c r="BK115" i="1"/>
  <c r="R116" i="1"/>
  <c r="Q116" i="1"/>
  <c r="Q44" i="1"/>
  <c r="R44" i="1"/>
  <c r="O44" i="1"/>
  <c r="V73" i="1" l="1"/>
  <c r="W72" i="1"/>
  <c r="X72" i="1"/>
  <c r="Z71" i="1"/>
  <c r="Y71" i="1"/>
  <c r="BK116" i="1"/>
  <c r="BN115" i="1"/>
  <c r="BM115" i="1"/>
  <c r="R117" i="1"/>
  <c r="Q117" i="1"/>
  <c r="O45" i="1"/>
  <c r="R45" i="1"/>
  <c r="Q45" i="1"/>
  <c r="X73" i="1" l="1"/>
  <c r="Y72" i="1"/>
  <c r="Z72" i="1"/>
  <c r="V74" i="1"/>
  <c r="W73" i="1"/>
  <c r="BM116" i="1"/>
  <c r="BN116" i="1"/>
  <c r="BK117" i="1"/>
  <c r="R118" i="1"/>
  <c r="Q118" i="1"/>
  <c r="R46" i="1"/>
  <c r="Q46" i="1"/>
  <c r="O46" i="1"/>
  <c r="V75" i="1" l="1"/>
  <c r="W74" i="1"/>
  <c r="X74" i="1"/>
  <c r="Z73" i="1"/>
  <c r="Y73" i="1"/>
  <c r="BK118" i="1"/>
  <c r="BM117" i="1"/>
  <c r="BN117" i="1"/>
  <c r="Q119" i="1"/>
  <c r="R119" i="1"/>
  <c r="O47" i="1"/>
  <c r="Q47" i="1"/>
  <c r="R47" i="1"/>
  <c r="X75" i="1" l="1"/>
  <c r="Y74" i="1"/>
  <c r="Z74" i="1"/>
  <c r="V76" i="1"/>
  <c r="W75" i="1"/>
  <c r="BM118" i="1"/>
  <c r="BN118" i="1"/>
  <c r="BK119" i="1"/>
  <c r="R120" i="1"/>
  <c r="Q120" i="1"/>
  <c r="O48" i="1"/>
  <c r="R48" i="1"/>
  <c r="Q48" i="1"/>
  <c r="V77" i="1" l="1"/>
  <c r="W76" i="1"/>
  <c r="X76" i="1"/>
  <c r="Y75" i="1"/>
  <c r="Z75" i="1"/>
  <c r="BK120" i="1"/>
  <c r="BM119" i="1"/>
  <c r="BN119" i="1"/>
  <c r="R121" i="1"/>
  <c r="Q121" i="1"/>
  <c r="O49" i="1"/>
  <c r="R49" i="1"/>
  <c r="Q49" i="1"/>
  <c r="X77" i="1" l="1"/>
  <c r="Y76" i="1"/>
  <c r="Z76" i="1"/>
  <c r="V78" i="1"/>
  <c r="W77" i="1"/>
  <c r="BK121" i="1"/>
  <c r="BM120" i="1"/>
  <c r="BN120" i="1"/>
  <c r="R122" i="1"/>
  <c r="Q122" i="1"/>
  <c r="O50" i="1"/>
  <c r="R50" i="1"/>
  <c r="Q50" i="1"/>
  <c r="V79" i="1" l="1"/>
  <c r="W78" i="1"/>
  <c r="X78" i="1"/>
  <c r="Z77" i="1"/>
  <c r="Y77" i="1"/>
  <c r="BN121" i="1"/>
  <c r="BM121" i="1"/>
  <c r="BK122" i="1"/>
  <c r="Q123" i="1"/>
  <c r="R123" i="1"/>
  <c r="O51" i="1"/>
  <c r="R51" i="1"/>
  <c r="Q51" i="1"/>
  <c r="X79" i="1" l="1"/>
  <c r="Y78" i="1"/>
  <c r="Z78" i="1"/>
  <c r="V80" i="1"/>
  <c r="W79" i="1"/>
  <c r="BK123" i="1"/>
  <c r="BN122" i="1"/>
  <c r="BM122" i="1"/>
  <c r="R124" i="1"/>
  <c r="Q124" i="1"/>
  <c r="Q52" i="1"/>
  <c r="R52" i="1"/>
  <c r="O52" i="1"/>
  <c r="V81" i="1" l="1"/>
  <c r="W80" i="1"/>
  <c r="X80" i="1"/>
  <c r="Z79" i="1"/>
  <c r="Y79" i="1"/>
  <c r="BN123" i="1"/>
  <c r="BM123" i="1"/>
  <c r="BK124" i="1"/>
  <c r="Q125" i="1"/>
  <c r="R125" i="1"/>
  <c r="O53" i="1"/>
  <c r="Q53" i="1"/>
  <c r="R53" i="1"/>
  <c r="X81" i="1" l="1"/>
  <c r="Z80" i="1"/>
  <c r="Y80" i="1"/>
  <c r="V82" i="1"/>
  <c r="W81" i="1"/>
  <c r="BK125" i="1"/>
  <c r="BN124" i="1"/>
  <c r="BM124" i="1"/>
  <c r="R126" i="1"/>
  <c r="Q126" i="1"/>
  <c r="R54" i="1"/>
  <c r="Q54" i="1"/>
  <c r="O54" i="1"/>
  <c r="V83" i="1" l="1"/>
  <c r="W82" i="1"/>
  <c r="X82" i="1"/>
  <c r="Y81" i="1"/>
  <c r="Z81" i="1"/>
  <c r="BN125" i="1"/>
  <c r="BM125" i="1"/>
  <c r="BK126" i="1"/>
  <c r="R127" i="1"/>
  <c r="Q127" i="1"/>
  <c r="O55" i="1"/>
  <c r="Q55" i="1"/>
  <c r="R55" i="1"/>
  <c r="X83" i="1" l="1"/>
  <c r="Y82" i="1"/>
  <c r="Z82" i="1"/>
  <c r="V84" i="1"/>
  <c r="W83" i="1"/>
  <c r="BK127" i="1"/>
  <c r="BN126" i="1"/>
  <c r="BM126" i="1"/>
  <c r="R128" i="1"/>
  <c r="Q128" i="1"/>
  <c r="R56" i="1"/>
  <c r="Q56" i="1"/>
  <c r="O56" i="1"/>
  <c r="V85" i="1" l="1"/>
  <c r="W84" i="1"/>
  <c r="X84" i="1"/>
  <c r="Z83" i="1"/>
  <c r="Y83" i="1"/>
  <c r="BN127" i="1"/>
  <c r="BM127" i="1"/>
  <c r="BK128" i="1"/>
  <c r="Q129" i="1"/>
  <c r="R129" i="1"/>
  <c r="O57" i="1"/>
  <c r="R57" i="1"/>
  <c r="Q57" i="1"/>
  <c r="X85" i="1" l="1"/>
  <c r="Y84" i="1"/>
  <c r="Z84" i="1"/>
  <c r="V86" i="1"/>
  <c r="W85" i="1"/>
  <c r="BK129" i="1"/>
  <c r="BN128" i="1"/>
  <c r="BM128" i="1"/>
  <c r="R130" i="1"/>
  <c r="Q130" i="1"/>
  <c r="O58" i="1"/>
  <c r="R58" i="1"/>
  <c r="Q58" i="1"/>
  <c r="V87" i="1" l="1"/>
  <c r="W86" i="1"/>
  <c r="X86" i="1"/>
  <c r="Y85" i="1"/>
  <c r="Z85" i="1"/>
  <c r="BN129" i="1"/>
  <c r="BM129" i="1"/>
  <c r="BK130" i="1"/>
  <c r="R131" i="1"/>
  <c r="Q131" i="1"/>
  <c r="O59" i="1"/>
  <c r="Q59" i="1"/>
  <c r="R59" i="1"/>
  <c r="X87" i="1" l="1"/>
  <c r="Z86" i="1"/>
  <c r="Y86" i="1"/>
  <c r="V88" i="1"/>
  <c r="W87" i="1"/>
  <c r="BK131" i="1"/>
  <c r="BN130" i="1"/>
  <c r="BM130" i="1"/>
  <c r="Q132" i="1"/>
  <c r="R132" i="1"/>
  <c r="O60" i="1"/>
  <c r="Q60" i="1"/>
  <c r="R60" i="1"/>
  <c r="V89" i="1" l="1"/>
  <c r="W88" i="1"/>
  <c r="X88" i="1"/>
  <c r="Z87" i="1"/>
  <c r="Y87" i="1"/>
  <c r="BN131" i="1"/>
  <c r="BM131" i="1"/>
  <c r="BK132" i="1"/>
  <c r="Q133" i="1"/>
  <c r="R133" i="1"/>
  <c r="Q61" i="1"/>
  <c r="R61" i="1"/>
  <c r="O61" i="1"/>
  <c r="X89" i="1" l="1"/>
  <c r="Y88" i="1"/>
  <c r="Z88" i="1"/>
  <c r="V90" i="1"/>
  <c r="W89" i="1"/>
  <c r="BK133" i="1"/>
  <c r="BN132" i="1"/>
  <c r="BM132" i="1"/>
  <c r="Q134" i="1"/>
  <c r="R134" i="1"/>
  <c r="O62" i="1"/>
  <c r="R62" i="1"/>
  <c r="Q62" i="1"/>
  <c r="V91" i="1" l="1"/>
  <c r="W90" i="1"/>
  <c r="X90" i="1"/>
  <c r="Y89" i="1"/>
  <c r="Z89" i="1"/>
  <c r="BN133" i="1"/>
  <c r="BM133" i="1"/>
  <c r="BK134" i="1"/>
  <c r="Q135" i="1"/>
  <c r="R135" i="1"/>
  <c r="Q63" i="1"/>
  <c r="R63" i="1"/>
  <c r="O63" i="1"/>
  <c r="X91" i="1" l="1"/>
  <c r="Z90" i="1"/>
  <c r="Y90" i="1"/>
  <c r="V92" i="1"/>
  <c r="W91" i="1"/>
  <c r="BK135" i="1"/>
  <c r="BN134" i="1"/>
  <c r="BM134" i="1"/>
  <c r="R136" i="1"/>
  <c r="Q136" i="1"/>
  <c r="O64" i="1"/>
  <c r="R64" i="1"/>
  <c r="Q64" i="1"/>
  <c r="V93" i="1" l="1"/>
  <c r="W92" i="1"/>
  <c r="X92" i="1"/>
  <c r="Y91" i="1"/>
  <c r="Z91" i="1"/>
  <c r="BN135" i="1"/>
  <c r="BM135" i="1"/>
  <c r="BK136" i="1"/>
  <c r="R137" i="1"/>
  <c r="Q137" i="1"/>
  <c r="R65" i="1"/>
  <c r="Q65" i="1"/>
  <c r="O65" i="1"/>
  <c r="X93" i="1" l="1"/>
  <c r="Z92" i="1"/>
  <c r="Y92" i="1"/>
  <c r="V94" i="1"/>
  <c r="W93" i="1"/>
  <c r="BK137" i="1"/>
  <c r="BN136" i="1"/>
  <c r="BM136" i="1"/>
  <c r="Q138" i="1"/>
  <c r="R138" i="1"/>
  <c r="O66" i="1"/>
  <c r="R66" i="1"/>
  <c r="Q66" i="1"/>
  <c r="V95" i="1" l="1"/>
  <c r="W94" i="1"/>
  <c r="X94" i="1"/>
  <c r="Y93" i="1"/>
  <c r="Z93" i="1"/>
  <c r="BN137" i="1"/>
  <c r="BM137" i="1"/>
  <c r="BK138" i="1"/>
  <c r="Q139" i="1"/>
  <c r="R139" i="1"/>
  <c r="O67" i="1"/>
  <c r="Q67" i="1"/>
  <c r="R67" i="1"/>
  <c r="X95" i="1" l="1"/>
  <c r="Z94" i="1"/>
  <c r="Y94" i="1"/>
  <c r="V96" i="1"/>
  <c r="W95" i="1"/>
  <c r="BK139" i="1"/>
  <c r="BN138" i="1"/>
  <c r="BM138" i="1"/>
  <c r="R140" i="1"/>
  <c r="Q140" i="1"/>
  <c r="Q68" i="1"/>
  <c r="R68" i="1"/>
  <c r="O68" i="1"/>
  <c r="V97" i="1" l="1"/>
  <c r="W96" i="1"/>
  <c r="X96" i="1"/>
  <c r="Y95" i="1"/>
  <c r="Z95" i="1"/>
  <c r="BM139" i="1"/>
  <c r="BN139" i="1"/>
  <c r="BK140" i="1"/>
  <c r="Q141" i="1"/>
  <c r="R141" i="1"/>
  <c r="O69" i="1"/>
  <c r="Q69" i="1"/>
  <c r="R69" i="1"/>
  <c r="X97" i="1" l="1"/>
  <c r="Z96" i="1"/>
  <c r="Y96" i="1"/>
  <c r="V98" i="1"/>
  <c r="W97" i="1"/>
  <c r="BK141" i="1"/>
  <c r="BN140" i="1"/>
  <c r="BM140" i="1"/>
  <c r="Q142" i="1"/>
  <c r="R142" i="1"/>
  <c r="O70" i="1"/>
  <c r="R70" i="1"/>
  <c r="Q70" i="1"/>
  <c r="V99" i="1" l="1"/>
  <c r="W98" i="1"/>
  <c r="X98" i="1"/>
  <c r="Z97" i="1"/>
  <c r="Y97" i="1"/>
  <c r="BM141" i="1"/>
  <c r="BN141" i="1"/>
  <c r="BK142" i="1"/>
  <c r="R143" i="1"/>
  <c r="Q143" i="1"/>
  <c r="O71" i="1"/>
  <c r="Q71" i="1"/>
  <c r="R71" i="1"/>
  <c r="X99" i="1" l="1"/>
  <c r="Z98" i="1"/>
  <c r="Y98" i="1"/>
  <c r="V100" i="1"/>
  <c r="W99" i="1"/>
  <c r="BK144" i="1"/>
  <c r="BK143" i="1"/>
  <c r="BM142" i="1"/>
  <c r="BN142" i="1"/>
  <c r="R144" i="1"/>
  <c r="Q144" i="1"/>
  <c r="O72" i="1"/>
  <c r="R72" i="1"/>
  <c r="Q72" i="1"/>
  <c r="V101" i="1" l="1"/>
  <c r="W100" i="1"/>
  <c r="X100" i="1"/>
  <c r="Y99" i="1"/>
  <c r="Z99" i="1"/>
  <c r="BN143" i="1"/>
  <c r="BM143" i="1"/>
  <c r="O73" i="1"/>
  <c r="R73" i="1"/>
  <c r="Q73" i="1"/>
  <c r="X101" i="1" l="1"/>
  <c r="Z100" i="1"/>
  <c r="Y100" i="1"/>
  <c r="V102" i="1"/>
  <c r="W101" i="1"/>
  <c r="BM144" i="1"/>
  <c r="BN144" i="1"/>
  <c r="O74" i="1"/>
  <c r="R74" i="1"/>
  <c r="Q74" i="1"/>
  <c r="V103" i="1" l="1"/>
  <c r="W102" i="1"/>
  <c r="X102" i="1"/>
  <c r="Z101" i="1"/>
  <c r="Y101" i="1"/>
  <c r="O75" i="1"/>
  <c r="Q75" i="1"/>
  <c r="R75" i="1"/>
  <c r="X103" i="1" l="1"/>
  <c r="Z102" i="1"/>
  <c r="Y102" i="1"/>
  <c r="V104" i="1"/>
  <c r="W103" i="1"/>
  <c r="O76" i="1"/>
  <c r="Q76" i="1"/>
  <c r="R76" i="1"/>
  <c r="V105" i="1" l="1"/>
  <c r="W104" i="1"/>
  <c r="X104" i="1"/>
  <c r="Z103" i="1"/>
  <c r="Y103" i="1"/>
  <c r="R77" i="1"/>
  <c r="Q77" i="1"/>
  <c r="O77" i="1"/>
  <c r="X105" i="1" l="1"/>
  <c r="Y104" i="1"/>
  <c r="Z104" i="1"/>
  <c r="V106" i="1"/>
  <c r="W105" i="1"/>
  <c r="Q78" i="1"/>
  <c r="R78" i="1"/>
  <c r="O78" i="1"/>
  <c r="V107" i="1" l="1"/>
  <c r="W106" i="1"/>
  <c r="X106" i="1"/>
  <c r="Y105" i="1"/>
  <c r="Z105" i="1"/>
  <c r="O79" i="1"/>
  <c r="R79" i="1"/>
  <c r="Q79" i="1"/>
  <c r="X107" i="1" l="1"/>
  <c r="Z106" i="1"/>
  <c r="Y106" i="1"/>
  <c r="V108" i="1"/>
  <c r="W107" i="1"/>
  <c r="Q80" i="1"/>
  <c r="R80" i="1"/>
  <c r="O80" i="1"/>
  <c r="V109" i="1" l="1"/>
  <c r="W108" i="1"/>
  <c r="X108" i="1"/>
  <c r="Y107" i="1"/>
  <c r="Z107" i="1"/>
  <c r="R81" i="1"/>
  <c r="Q81" i="1"/>
  <c r="O81" i="1"/>
  <c r="X109" i="1" l="1"/>
  <c r="Z108" i="1"/>
  <c r="Y108" i="1"/>
  <c r="V110" i="1"/>
  <c r="W109" i="1"/>
  <c r="O82" i="1"/>
  <c r="Q82" i="1"/>
  <c r="R82" i="1"/>
  <c r="V111" i="1" l="1"/>
  <c r="W110" i="1"/>
  <c r="X110" i="1"/>
  <c r="Y109" i="1"/>
  <c r="Z109" i="1"/>
  <c r="R83" i="1"/>
  <c r="Q83" i="1"/>
  <c r="O83" i="1"/>
  <c r="X111" i="1" l="1"/>
  <c r="Y110" i="1"/>
  <c r="Z110" i="1"/>
  <c r="V112" i="1"/>
  <c r="W111" i="1"/>
  <c r="Q84" i="1"/>
  <c r="R84" i="1"/>
  <c r="O84" i="1"/>
  <c r="V113" i="1" l="1"/>
  <c r="W112" i="1"/>
  <c r="X112" i="1"/>
  <c r="Y111" i="1"/>
  <c r="Z111" i="1"/>
  <c r="Q85" i="1"/>
  <c r="R85" i="1"/>
  <c r="O85" i="1"/>
  <c r="X113" i="1" l="1"/>
  <c r="Z112" i="1"/>
  <c r="Y112" i="1"/>
  <c r="V114" i="1"/>
  <c r="W113" i="1"/>
  <c r="R86" i="1"/>
  <c r="Q86" i="1"/>
  <c r="O86" i="1"/>
  <c r="V115" i="1" l="1"/>
  <c r="W114" i="1"/>
  <c r="X114" i="1"/>
  <c r="Y113" i="1"/>
  <c r="Z113" i="1"/>
  <c r="O87" i="1"/>
  <c r="Q87" i="1"/>
  <c r="R87" i="1"/>
  <c r="X115" i="1" l="1"/>
  <c r="Z114" i="1"/>
  <c r="Y114" i="1"/>
  <c r="V116" i="1"/>
  <c r="W115" i="1"/>
  <c r="Q88" i="1"/>
  <c r="R88" i="1"/>
  <c r="O88" i="1"/>
  <c r="V117" i="1" l="1"/>
  <c r="W116" i="1"/>
  <c r="X116" i="1"/>
  <c r="Y115" i="1"/>
  <c r="Z115" i="1"/>
  <c r="Q89" i="1"/>
  <c r="R89" i="1"/>
  <c r="O89" i="1"/>
  <c r="X117" i="1" l="1"/>
  <c r="Z116" i="1"/>
  <c r="Y116" i="1"/>
  <c r="V118" i="1"/>
  <c r="W117" i="1"/>
  <c r="O90" i="1"/>
  <c r="Q90" i="1"/>
  <c r="R90" i="1"/>
  <c r="V119" i="1" l="1"/>
  <c r="W118" i="1"/>
  <c r="X118" i="1"/>
  <c r="Z117" i="1"/>
  <c r="Y117" i="1"/>
  <c r="O91" i="1"/>
  <c r="Q91" i="1"/>
  <c r="R91" i="1"/>
  <c r="X119" i="1" l="1"/>
  <c r="Z118" i="1"/>
  <c r="Y118" i="1"/>
  <c r="V120" i="1"/>
  <c r="W119" i="1"/>
  <c r="O92" i="1"/>
  <c r="Q92" i="1"/>
  <c r="R92" i="1"/>
  <c r="V121" i="1" l="1"/>
  <c r="W120" i="1"/>
  <c r="X120" i="1"/>
  <c r="Z119" i="1"/>
  <c r="Y119" i="1"/>
  <c r="O93" i="1"/>
  <c r="Q93" i="1"/>
  <c r="R93" i="1"/>
  <c r="X121" i="1" l="1"/>
  <c r="Y120" i="1"/>
  <c r="Z120" i="1"/>
  <c r="V122" i="1"/>
  <c r="W121" i="1"/>
  <c r="O94" i="1"/>
  <c r="R94" i="1"/>
  <c r="Q94" i="1"/>
  <c r="V123" i="1" l="1"/>
  <c r="W122" i="1"/>
  <c r="X122" i="1"/>
  <c r="Y121" i="1"/>
  <c r="Z121" i="1"/>
  <c r="R95" i="1"/>
  <c r="Q95" i="1"/>
  <c r="O95" i="1"/>
  <c r="X123" i="1" l="1"/>
  <c r="Y122" i="1"/>
  <c r="Z122" i="1"/>
  <c r="V124" i="1"/>
  <c r="W123" i="1"/>
  <c r="Q96" i="1"/>
  <c r="R96" i="1"/>
  <c r="O96" i="1"/>
  <c r="V125" i="1" l="1"/>
  <c r="W124" i="1"/>
  <c r="X124" i="1"/>
  <c r="Y123" i="1"/>
  <c r="Z123" i="1"/>
  <c r="Q97" i="1"/>
  <c r="R97" i="1"/>
  <c r="O97" i="1"/>
  <c r="X125" i="1" l="1"/>
  <c r="Y124" i="1"/>
  <c r="Z124" i="1"/>
  <c r="V126" i="1"/>
  <c r="W125" i="1"/>
  <c r="O99" i="1"/>
  <c r="O98" i="1"/>
  <c r="Q98" i="1"/>
  <c r="R98" i="1"/>
  <c r="V127" i="1" l="1"/>
  <c r="W126" i="1"/>
  <c r="X126" i="1"/>
  <c r="Z125" i="1"/>
  <c r="Y125" i="1"/>
  <c r="O100" i="1"/>
  <c r="X127" i="1" l="1"/>
  <c r="Z126" i="1"/>
  <c r="Y126" i="1"/>
  <c r="V128" i="1"/>
  <c r="W127" i="1"/>
  <c r="O101" i="1"/>
  <c r="V129" i="1" l="1"/>
  <c r="W128" i="1"/>
  <c r="X128" i="1"/>
  <c r="Y127" i="1"/>
  <c r="Z127" i="1"/>
  <c r="O102" i="1"/>
  <c r="X129" i="1" l="1"/>
  <c r="Y128" i="1"/>
  <c r="Z128" i="1"/>
  <c r="V130" i="1"/>
  <c r="W129" i="1"/>
  <c r="O103" i="1"/>
  <c r="V131" i="1" l="1"/>
  <c r="W130" i="1"/>
  <c r="X130" i="1"/>
  <c r="Y129" i="1"/>
  <c r="Z129" i="1"/>
  <c r="O104" i="1"/>
  <c r="X131" i="1" l="1"/>
  <c r="Z130" i="1"/>
  <c r="Y130" i="1"/>
  <c r="V132" i="1"/>
  <c r="W131" i="1"/>
  <c r="O105" i="1"/>
  <c r="V133" i="1" l="1"/>
  <c r="W132" i="1"/>
  <c r="X132" i="1"/>
  <c r="Z131" i="1"/>
  <c r="Y131" i="1"/>
  <c r="O106" i="1"/>
  <c r="X133" i="1" l="1"/>
  <c r="Y132" i="1"/>
  <c r="Z132" i="1"/>
  <c r="V134" i="1"/>
  <c r="W133" i="1"/>
  <c r="O107" i="1"/>
  <c r="V135" i="1" l="1"/>
  <c r="W134" i="1"/>
  <c r="X134" i="1"/>
  <c r="Z133" i="1"/>
  <c r="Y133" i="1"/>
  <c r="O108" i="1"/>
  <c r="X135" i="1" l="1"/>
  <c r="Z134" i="1"/>
  <c r="Y134" i="1"/>
  <c r="V136" i="1"/>
  <c r="W135" i="1"/>
  <c r="O109" i="1"/>
  <c r="V137" i="1" l="1"/>
  <c r="W136" i="1"/>
  <c r="X136" i="1"/>
  <c r="Y135" i="1"/>
  <c r="Z135" i="1"/>
  <c r="O110" i="1"/>
  <c r="X137" i="1" l="1"/>
  <c r="Z136" i="1"/>
  <c r="Y136" i="1"/>
  <c r="V138" i="1"/>
  <c r="W137" i="1"/>
  <c r="O111" i="1"/>
  <c r="V139" i="1" l="1"/>
  <c r="W138" i="1"/>
  <c r="X138" i="1"/>
  <c r="Z137" i="1"/>
  <c r="Y137" i="1"/>
  <c r="O112" i="1"/>
  <c r="X139" i="1" l="1"/>
  <c r="Y138" i="1"/>
  <c r="Z138" i="1"/>
  <c r="V140" i="1"/>
  <c r="W139" i="1"/>
  <c r="O113" i="1"/>
  <c r="V141" i="1" l="1"/>
  <c r="W140" i="1"/>
  <c r="X140" i="1"/>
  <c r="Y139" i="1"/>
  <c r="Z139" i="1"/>
  <c r="O114" i="1"/>
  <c r="X141" i="1" l="1"/>
  <c r="Z140" i="1"/>
  <c r="Y140" i="1"/>
  <c r="V142" i="1"/>
  <c r="W141" i="1"/>
  <c r="O115" i="1"/>
  <c r="V143" i="1" l="1"/>
  <c r="W142" i="1"/>
  <c r="X142" i="1"/>
  <c r="Z141" i="1"/>
  <c r="Y141" i="1"/>
  <c r="O116" i="1"/>
  <c r="X143" i="1" l="1"/>
  <c r="Z142" i="1"/>
  <c r="Y142" i="1"/>
  <c r="V144" i="1"/>
  <c r="W144" i="1" s="1"/>
  <c r="W143" i="1"/>
  <c r="O117" i="1"/>
  <c r="X144" i="1" l="1"/>
  <c r="Z143" i="1"/>
  <c r="Y143" i="1"/>
  <c r="O118" i="1"/>
  <c r="Y144" i="1" l="1"/>
  <c r="Z144" i="1"/>
  <c r="O119" i="1"/>
  <c r="O120" i="1" l="1"/>
  <c r="O121" i="1" l="1"/>
  <c r="O122" i="1" l="1"/>
  <c r="O123" i="1" l="1"/>
  <c r="O124" i="1" l="1"/>
  <c r="O125" i="1" l="1"/>
  <c r="O126" i="1" l="1"/>
  <c r="O127" i="1" l="1"/>
  <c r="O128" i="1" l="1"/>
  <c r="O129" i="1" l="1"/>
  <c r="O130" i="1" l="1"/>
  <c r="O131" i="1" l="1"/>
  <c r="O132" i="1" l="1"/>
  <c r="O133" i="1" l="1"/>
  <c r="O134" i="1" l="1"/>
  <c r="O135" i="1" l="1"/>
  <c r="O136" i="1" l="1"/>
  <c r="O137" i="1" l="1"/>
  <c r="O138" i="1" l="1"/>
  <c r="O139" i="1" l="1"/>
  <c r="O140" i="1" l="1"/>
  <c r="O141" i="1" l="1"/>
  <c r="O142" i="1" l="1"/>
  <c r="O144" i="1" l="1"/>
  <c r="O1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author>
    <author>Sam Marsh</author>
  </authors>
  <commentList>
    <comment ref="E7" authorId="0" shapeId="0" xr:uid="{00000000-0006-0000-0100-000001000000}">
      <text>
        <r>
          <rPr>
            <b/>
            <sz val="9"/>
            <color indexed="81"/>
            <rFont val="Tahoma"/>
            <family val="2"/>
          </rPr>
          <t>Sam:</t>
        </r>
        <r>
          <rPr>
            <sz val="9"/>
            <color indexed="81"/>
            <rFont val="Tahoma"/>
            <family val="2"/>
          </rPr>
          <t xml:space="preserve">
Discount rate as used in the 2008 valuation.
</t>
        </r>
      </text>
    </comment>
    <comment ref="G7" authorId="1" shapeId="0" xr:uid="{00000000-0006-0000-0100-000002000000}">
      <text>
        <r>
          <rPr>
            <b/>
            <sz val="9"/>
            <color indexed="81"/>
            <rFont val="Tahoma"/>
            <family val="2"/>
          </rPr>
          <t>Sam Marsh:</t>
        </r>
        <r>
          <rPr>
            <sz val="9"/>
            <color indexed="81"/>
            <rFont val="Tahoma"/>
            <family val="2"/>
          </rPr>
          <t xml:space="preserve">
Discount rate as used in 2011 valuation</t>
        </r>
      </text>
    </comment>
    <comment ref="I7" authorId="0" shapeId="0" xr:uid="{00000000-0006-0000-0100-000003000000}">
      <text>
        <r>
          <rPr>
            <b/>
            <sz val="9"/>
            <color indexed="81"/>
            <rFont val="Tahoma"/>
            <family val="2"/>
          </rPr>
          <t>Sam:</t>
        </r>
        <r>
          <rPr>
            <sz val="9"/>
            <color indexed="81"/>
            <rFont val="Tahoma"/>
            <family val="2"/>
          </rPr>
          <t xml:space="preserve">
Discount rate as used in 2011 valuation with de-risking removed.</t>
        </r>
      </text>
    </comment>
    <comment ref="K7" authorId="1" shapeId="0" xr:uid="{00000000-0006-0000-0100-000004000000}">
      <text>
        <r>
          <rPr>
            <b/>
            <sz val="9"/>
            <color indexed="81"/>
            <rFont val="Tahoma"/>
            <family val="2"/>
          </rPr>
          <t>Sam Marsh:</t>
        </r>
        <r>
          <rPr>
            <sz val="9"/>
            <color indexed="81"/>
            <rFont val="Tahoma"/>
            <family val="2"/>
          </rPr>
          <t xml:space="preserve">
Discount rate as found in consultation document, namely:
CPI-0.53% (Years 1-10)
CPI+2.8%, decreasing linearly to CPI+1.7% (Years 11-20)
CPI+1.7% thereafter</t>
        </r>
      </text>
    </comment>
    <comment ref="S7" authorId="1" shapeId="0" xr:uid="{00000000-0006-0000-0100-000005000000}">
      <text>
        <r>
          <rPr>
            <b/>
            <sz val="9"/>
            <color indexed="81"/>
            <rFont val="Tahoma"/>
            <family val="2"/>
          </rPr>
          <t>Sam Marsh:</t>
        </r>
        <r>
          <rPr>
            <sz val="9"/>
            <color indexed="81"/>
            <rFont val="Tahoma"/>
            <family val="2"/>
          </rPr>
          <t xml:space="preserve">
Discount rate as found in consultation document, namely:
CPI-0.53%, decrerasing linearly to CPI-1.32% (Years 1-10)
CPI+2.56%, decreasing linearly to CPI+1.7% (Years 11-20)
CPI+1.7% thereafter</t>
        </r>
      </text>
    </comment>
    <comment ref="AA7" authorId="1" shapeId="0" xr:uid="{00000000-0006-0000-0100-000006000000}">
      <text>
        <r>
          <rPr>
            <b/>
            <sz val="9"/>
            <color indexed="81"/>
            <rFont val="Tahoma"/>
            <family val="2"/>
          </rPr>
          <t>Sam Marsh:</t>
        </r>
        <r>
          <rPr>
            <sz val="9"/>
            <color indexed="81"/>
            <rFont val="Tahoma"/>
            <family val="2"/>
          </rPr>
          <t xml:space="preserve">
Here, the discount rate follows the September assumptions in Years 1-10, then stays constant (relative to CPI) from Year 11 onwards.
CPI-0.53%, (Years 1-10)
CPI+2.8% thereafter</t>
        </r>
      </text>
    </comment>
    <comment ref="AI7" authorId="1" shapeId="0" xr:uid="{00000000-0006-0000-0100-000007000000}">
      <text>
        <r>
          <rPr>
            <b/>
            <sz val="9"/>
            <color indexed="81"/>
            <rFont val="Tahoma"/>
            <family val="2"/>
          </rPr>
          <t>Sam Marsh:</t>
        </r>
        <r>
          <rPr>
            <sz val="9"/>
            <color indexed="81"/>
            <rFont val="Tahoma"/>
            <family val="2"/>
          </rPr>
          <t xml:space="preserve">
Discount rate as found in JNC148-3, namely:
CPI+1% (Years 1-10)
CPI+4%, decreasing linearly to CPI+2.56% (Years 11-20)
CPI+2.56% thereafter</t>
        </r>
      </text>
    </comment>
    <comment ref="AQ7" authorId="1" shapeId="0" xr:uid="{00000000-0006-0000-0100-000008000000}">
      <text>
        <r>
          <rPr>
            <b/>
            <sz val="9"/>
            <color indexed="81"/>
            <rFont val="Tahoma"/>
            <family val="2"/>
          </rPr>
          <t>Sam Marsh:</t>
        </r>
        <r>
          <rPr>
            <sz val="9"/>
            <color indexed="81"/>
            <rFont val="Tahoma"/>
            <family val="2"/>
          </rPr>
          <t xml:space="preserve">
Discount rate as found in JNC148-3, namely:
CPI+1%, decreasing linearly to CPI+0.08% (Years 1-10)
CPI+3.54%, decreasing linearly to CPI+2.56% (Years 11-20)
CPI+2.56% thereafter</t>
        </r>
      </text>
    </comment>
    <comment ref="AY7" authorId="1" shapeId="0" xr:uid="{00000000-0006-0000-0100-000009000000}">
      <text>
        <r>
          <rPr>
            <b/>
            <sz val="9"/>
            <color indexed="81"/>
            <rFont val="Tahoma"/>
            <family val="2"/>
          </rPr>
          <t>Sam Marsh:</t>
        </r>
        <r>
          <rPr>
            <sz val="9"/>
            <color indexed="81"/>
            <rFont val="Tahoma"/>
            <family val="2"/>
          </rPr>
          <t xml:space="preserve">
Discount rate based on JNC148-3, namely:
CPI+1% (Years 1-10)
CPI+4% thereafter</t>
        </r>
      </text>
    </comment>
    <comment ref="BG7" authorId="1" shapeId="0" xr:uid="{00000000-0006-0000-0100-00000A000000}">
      <text>
        <r>
          <rPr>
            <b/>
            <sz val="9"/>
            <color indexed="81"/>
            <rFont val="Tahoma"/>
            <family val="2"/>
          </rPr>
          <t>Sam Marsh:</t>
        </r>
        <r>
          <rPr>
            <sz val="9"/>
            <color indexed="81"/>
            <rFont val="Tahoma"/>
            <family val="2"/>
          </rPr>
          <t xml:space="preserve">
This is calculated as gilts+0.75%, based on the nominal long-dated gilt yields supplied by USS on the extra tab</t>
        </r>
      </text>
    </comment>
    <comment ref="BI7" authorId="0" shapeId="0" xr:uid="{00000000-0006-0000-0100-00000B000000}">
      <text>
        <r>
          <rPr>
            <b/>
            <sz val="9"/>
            <color indexed="81"/>
            <rFont val="Tahoma"/>
            <family val="2"/>
          </rPr>
          <t>Sam:</t>
        </r>
        <r>
          <rPr>
            <sz val="9"/>
            <color indexed="81"/>
            <rFont val="Tahoma"/>
            <family val="2"/>
          </rPr>
          <t xml:space="preserve">
Note that different inflation assumptions are used for the self-sufficiency valuation, which affects benefit payments. This is accounted for by multiplying the annual benefit payments by 1.005^t, where t is the number of years into the future.</t>
        </r>
      </text>
    </comment>
    <comment ref="BO7" authorId="0" shapeId="0" xr:uid="{00000000-0006-0000-0100-00000C000000}">
      <text>
        <r>
          <rPr>
            <b/>
            <sz val="9"/>
            <color indexed="81"/>
            <rFont val="Tahoma"/>
            <family val="2"/>
          </rPr>
          <t>Sam:</t>
        </r>
        <r>
          <rPr>
            <sz val="9"/>
            <color indexed="81"/>
            <rFont val="Tahoma"/>
            <family val="2"/>
          </rPr>
          <t xml:space="preserve">
Note that the discount rates A1 and A2 are identical from 2037 onwards.</t>
        </r>
      </text>
    </comment>
    <comment ref="BV7" authorId="0" shapeId="0" xr:uid="{00000000-0006-0000-0100-00000D000000}">
      <text>
        <r>
          <rPr>
            <b/>
            <sz val="9"/>
            <color indexed="81"/>
            <rFont val="Tahoma"/>
            <family val="2"/>
          </rPr>
          <t>Sam:</t>
        </r>
        <r>
          <rPr>
            <sz val="9"/>
            <color indexed="81"/>
            <rFont val="Tahoma"/>
            <family val="2"/>
          </rPr>
          <t xml:space="preserve">
USS have confirmed they have calculated this as (ILGs-0.25%)+0.75%, which is equivalent to CPI+1.5% (since CPI is estimated as ILGs-1%).</t>
        </r>
      </text>
    </comment>
    <comment ref="BX7" authorId="0" shapeId="0" xr:uid="{00000000-0006-0000-0100-00000E000000}">
      <text>
        <r>
          <rPr>
            <b/>
            <sz val="9"/>
            <color indexed="81"/>
            <rFont val="Tahoma"/>
            <family val="2"/>
          </rPr>
          <t>Sam:</t>
        </r>
        <r>
          <rPr>
            <sz val="9"/>
            <color indexed="81"/>
            <rFont val="Tahoma"/>
            <family val="2"/>
          </rPr>
          <t xml:space="preserve">
Payments are increased by a factor of 1.005^t, where t is the time in years since the calculation date.</t>
        </r>
      </text>
    </comment>
    <comment ref="CM7" authorId="1" shapeId="0" xr:uid="{00000000-0006-0000-0100-00000F000000}">
      <text>
        <r>
          <rPr>
            <b/>
            <sz val="9"/>
            <color indexed="81"/>
            <rFont val="Tahoma"/>
            <family val="2"/>
          </rPr>
          <t>Sam Marsh:</t>
        </r>
        <r>
          <rPr>
            <sz val="9"/>
            <color indexed="81"/>
            <rFont val="Tahoma"/>
            <family val="2"/>
          </rPr>
          <t xml:space="preserve">
Figures from consultation document until 2067, 2.8% thereafter</t>
        </r>
      </text>
    </comment>
    <comment ref="CO7" authorId="0" shapeId="0" xr:uid="{00000000-0006-0000-0100-000010000000}">
      <text>
        <r>
          <rPr>
            <b/>
            <sz val="9"/>
            <color indexed="81"/>
            <rFont val="Tahoma"/>
            <family val="2"/>
          </rPr>
          <t>Sam:</t>
        </r>
        <r>
          <rPr>
            <sz val="9"/>
            <color indexed="81"/>
            <rFont val="Tahoma"/>
            <family val="2"/>
          </rPr>
          <t xml:space="preserve">
As provided by USS on extra tab</t>
        </r>
      </text>
    </comment>
    <comment ref="CP7" authorId="1" shapeId="0" xr:uid="{00000000-0006-0000-0100-000011000000}">
      <text>
        <r>
          <rPr>
            <b/>
            <sz val="9"/>
            <color indexed="81"/>
            <rFont val="Tahoma"/>
            <family val="2"/>
          </rPr>
          <t>Sam Marsh:</t>
        </r>
        <r>
          <rPr>
            <sz val="9"/>
            <color indexed="81"/>
            <rFont val="Tahoma"/>
            <family val="2"/>
          </rPr>
          <t xml:space="preserve">
CPI in Year 1
CPI+1% in Year 2
CPI+2% thereafter</t>
        </r>
      </text>
    </comment>
    <comment ref="CV7" authorId="0" shapeId="0" xr:uid="{00000000-0006-0000-0100-000012000000}">
      <text>
        <r>
          <rPr>
            <b/>
            <sz val="9"/>
            <color indexed="81"/>
            <rFont val="Tahoma"/>
            <family val="2"/>
          </rPr>
          <t>Sam:</t>
        </r>
        <r>
          <rPr>
            <sz val="9"/>
            <color indexed="81"/>
            <rFont val="Tahoma"/>
            <family val="2"/>
          </rPr>
          <t xml:space="preserve">
As supplied by USS on extra tabs
</t>
        </r>
      </text>
    </comment>
    <comment ref="CY7" authorId="0" shapeId="0" xr:uid="{00000000-0006-0000-0100-000013000000}">
      <text>
        <r>
          <rPr>
            <b/>
            <sz val="9"/>
            <color indexed="81"/>
            <rFont val="Tahoma"/>
            <family val="2"/>
          </rPr>
          <t>Sam:</t>
        </r>
        <r>
          <rPr>
            <sz val="9"/>
            <color indexed="81"/>
            <rFont val="Tahoma"/>
            <family val="2"/>
          </rPr>
          <t xml:space="preserve">
Dummy data
</t>
        </r>
      </text>
    </comment>
    <comment ref="CZ7" authorId="0" shapeId="0" xr:uid="{00000000-0006-0000-0100-000014000000}">
      <text>
        <r>
          <rPr>
            <b/>
            <sz val="9"/>
            <color indexed="81"/>
            <rFont val="Tahoma"/>
            <family val="2"/>
          </rPr>
          <t>Sam:</t>
        </r>
        <r>
          <rPr>
            <sz val="9"/>
            <color indexed="81"/>
            <rFont val="Tahoma"/>
            <family val="2"/>
          </rPr>
          <t xml:space="preserve">
Dummy data</t>
        </r>
      </text>
    </comment>
    <comment ref="DA7" authorId="0" shapeId="0" xr:uid="{00000000-0006-0000-0100-000015000000}">
      <text>
        <r>
          <rPr>
            <b/>
            <sz val="9"/>
            <color indexed="81"/>
            <rFont val="Tahoma"/>
            <family val="2"/>
          </rPr>
          <t>Sam:</t>
        </r>
        <r>
          <rPr>
            <sz val="9"/>
            <color indexed="81"/>
            <rFont val="Tahoma"/>
            <family val="2"/>
          </rPr>
          <t xml:space="preserve">
Data recreated by @pjlee01</t>
        </r>
      </text>
    </comment>
  </commentList>
</comments>
</file>

<file path=xl/sharedStrings.xml><?xml version="1.0" encoding="utf-8"?>
<sst xmlns="http://schemas.openxmlformats.org/spreadsheetml/2006/main" count="170" uniqueCount="147">
  <si>
    <t>Year</t>
  </si>
  <si>
    <t>CPI</t>
  </si>
  <si>
    <t>-</t>
  </si>
  <si>
    <t>Salary growth</t>
  </si>
  <si>
    <t>All figures in £bn</t>
  </si>
  <si>
    <t>Maximum reliance inflated with salary growth</t>
  </si>
  <si>
    <t>Discount rate B</t>
  </si>
  <si>
    <t>Asset growth B</t>
  </si>
  <si>
    <t>B: USS assumptions without de-risking</t>
  </si>
  <si>
    <t>Inflation assumptions</t>
  </si>
  <si>
    <t>Test 1 data</t>
  </si>
  <si>
    <t>Compounded CPI</t>
  </si>
  <si>
    <t>Compounded salary growth</t>
  </si>
  <si>
    <t>Target reliance inflated with salary growth</t>
  </si>
  <si>
    <t>Target reliance inflated with CPI</t>
  </si>
  <si>
    <t>Maximum reliance inflated with CPI</t>
  </si>
  <si>
    <t>Discount rate A2</t>
  </si>
  <si>
    <t>Discount rate A1</t>
  </si>
  <si>
    <t>Compounded discount rate A2</t>
  </si>
  <si>
    <t>Compounded discount rate A1</t>
  </si>
  <si>
    <t>Asset growth A1 (real terms)</t>
  </si>
  <si>
    <t>Asset growth A2 (real terms)</t>
  </si>
  <si>
    <t>Asset growth B (real terms)</t>
  </si>
  <si>
    <t>Forecast growth, 2011 discount rate</t>
  </si>
  <si>
    <t>2011 discount rate</t>
  </si>
  <si>
    <t>2014 discount rate</t>
  </si>
  <si>
    <t>Historical growth</t>
  </si>
  <si>
    <t>Annual investment returns</t>
  </si>
  <si>
    <t>Compounded investment returns</t>
  </si>
  <si>
    <t>Equivalent value of 2017 assets</t>
  </si>
  <si>
    <t>Forecast growth, 2014 discount rate</t>
  </si>
  <si>
    <t>Previous forecasts</t>
  </si>
  <si>
    <t>A1: 2017 assumptions (September valuation)</t>
  </si>
  <si>
    <t>A2: 2017 assumptions (November valuation)</t>
  </si>
  <si>
    <t>2008 discount rate</t>
  </si>
  <si>
    <t>Forecast growth, 2008 discount rate</t>
  </si>
  <si>
    <t>Asset growth A1 with benefit payments deducted</t>
  </si>
  <si>
    <t>Asset growth A2 with benefit payments deducted</t>
  </si>
  <si>
    <t>Asset growth B with benefit payments deducted</t>
  </si>
  <si>
    <t>Asset growth A2 with benefit payments deducted (real terms)</t>
  </si>
  <si>
    <t>Asset growth A1 with benefit payments deducted (real terms)</t>
  </si>
  <si>
    <t>Asset growth A1 with benefit payments deducted (present value)</t>
  </si>
  <si>
    <t>Asset growth A2 with benefit payments deducted (present value)</t>
  </si>
  <si>
    <t>Asset growth B with benefit payments deducted (real terms)</t>
  </si>
  <si>
    <t>Asset growth B with benefit payments deducted (present value)</t>
  </si>
  <si>
    <t>Benefit payments</t>
  </si>
  <si>
    <t>Discount rate C</t>
  </si>
  <si>
    <t>Compounded discount rate C</t>
  </si>
  <si>
    <t>Asset growth C</t>
  </si>
  <si>
    <t>Asset growth C (real terms)</t>
  </si>
  <si>
    <t>Assets as at 31 March 2017:</t>
  </si>
  <si>
    <t>Asset growth C with benefit payments deducted</t>
  </si>
  <si>
    <t>Asset growth C with benefit payments deducted (real terms)</t>
  </si>
  <si>
    <t>Asset growth C with benefit payments deducted (present value)</t>
  </si>
  <si>
    <t>Compounded discount rate B</t>
  </si>
  <si>
    <t>Total liabilities to date, discounted by A2</t>
  </si>
  <si>
    <t>Total liabilities to date, discounted by A1</t>
  </si>
  <si>
    <t>Total liabilities to date, discounted by B</t>
  </si>
  <si>
    <t>Total liabilities to date, discounted by C</t>
  </si>
  <si>
    <t>C: Best estimate (September valuation)</t>
  </si>
  <si>
    <t>D: Best estimate (November valuation)</t>
  </si>
  <si>
    <t>E: Best estimate, no de-risking</t>
  </si>
  <si>
    <t>Discount rate F</t>
  </si>
  <si>
    <t>Compounded discount rate F</t>
  </si>
  <si>
    <t>Total liabilities to date, discounted by F</t>
  </si>
  <si>
    <t>Asset growth F (real terms)</t>
  </si>
  <si>
    <t>Asset growth F with benefit payments deducted</t>
  </si>
  <si>
    <t>Asset growth F with benefit payments deducted (real terms)</t>
  </si>
  <si>
    <t>Asset growth F with benefit payments deducted (present value)</t>
  </si>
  <si>
    <t>Discount rate D</t>
  </si>
  <si>
    <t>Compounded discount rate D</t>
  </si>
  <si>
    <t>Total liabilities to date, discounted by D</t>
  </si>
  <si>
    <t>Asset growth D</t>
  </si>
  <si>
    <t>Asset growth D (real terms)</t>
  </si>
  <si>
    <t>Asset growth D with benefit payments deducted</t>
  </si>
  <si>
    <t>Asset growth D with benefit payments deducted (present value)</t>
  </si>
  <si>
    <t>Asset growth D with benefit payments deducted (real terms)</t>
  </si>
  <si>
    <t>Discount rate E</t>
  </si>
  <si>
    <t>Compounded discount rate E</t>
  </si>
  <si>
    <t>Total liabilities to date, discounted by E</t>
  </si>
  <si>
    <t>Asset growth E</t>
  </si>
  <si>
    <t>Asset growth E (real terms)</t>
  </si>
  <si>
    <t>Asset growth E with benefit payments deducted</t>
  </si>
  <si>
    <t>Asset growth E with benefit payments deducted (real terms)</t>
  </si>
  <si>
    <t>Asset growth E with benefit payments deducted (present value)</t>
  </si>
  <si>
    <t>Annual benefit payments (ongoing scheme)</t>
  </si>
  <si>
    <t>Annual contributions (ongoing scheme)</t>
  </si>
  <si>
    <t>Annual benefit payments (closed scheme)</t>
  </si>
  <si>
    <t>Annual contributions (closed scheme)</t>
  </si>
  <si>
    <t>Net cashflow (closed scheme)</t>
  </si>
  <si>
    <t>Net cashflow (ongoing scheme)</t>
  </si>
  <si>
    <t>Asset growth A1, under the assumption of full-funding at Year 0</t>
  </si>
  <si>
    <t>Asset growth A2, under the assumption of full-funding at Year 0</t>
  </si>
  <si>
    <t>Asset growth F, under the assumption of full-funding at Year 0</t>
  </si>
  <si>
    <t>Expected cash flows from the 2017 valuation</t>
  </si>
  <si>
    <t>The cash flows below are the expected DB benefits, in nominal terms, based on the proposed assumptions for the 2017 valuation.  These assumptions are shown in the document below:</t>
  </si>
  <si>
    <t>https://www.uss.co.uk/~/media/document-libraries/uss/how-uss-is-run/valuation/uss-summary-of-rule-761-report-april-2018-final.pdf</t>
  </si>
  <si>
    <t xml:space="preserve">The expected DB cash flows arising from one year of benefit accrual on the existing benefit structure are also shown. </t>
  </si>
  <si>
    <t xml:space="preserve">For the avoidance of doubt, no allowance for transfers out is included in the cash flows below. </t>
  </si>
  <si>
    <t>Year to</t>
  </si>
  <si>
    <t>Expected cash flows in relation to benefits accrued at 31 March 2017</t>
  </si>
  <si>
    <t>Expected cash flows in relation to benefits projected to be accrued in 2017/18 year</t>
  </si>
  <si>
    <t>CPI inflation and discount rate</t>
  </si>
  <si>
    <t xml:space="preserve">For convenience, the table from the following report setting out the CPI inflation and discount rate assumption is included below. </t>
  </si>
  <si>
    <t>CPI is assumed to be constant after year 50.</t>
  </si>
  <si>
    <t>Term</t>
  </si>
  <si>
    <t>Discount rate</t>
  </si>
  <si>
    <t>(one year forward)</t>
  </si>
  <si>
    <t>Asset growth, ongoing scheme, no de-risking, net of contributions and payments</t>
  </si>
  <si>
    <t>Test 1 analysis</t>
  </si>
  <si>
    <t>Asset growth, ongoing scheme, no de-risking, net of contributions and payments (2017 value)</t>
  </si>
  <si>
    <t>Compounded discount rate B, from 2037</t>
  </si>
  <si>
    <t>Total 2037 liabilities to date, discounted by B</t>
  </si>
  <si>
    <t>Asset growth B, under assumption of full-funding on a TP basis at 2037</t>
  </si>
  <si>
    <t>Comparison of USS assets and liabilities under different discount rate assumptions</t>
  </si>
  <si>
    <t>Long-dated forward gilt yields</t>
  </si>
  <si>
    <t>Nominal gilt yield forward rates as at 31 March 2017</t>
  </si>
  <si>
    <t>The forward rates are assumed to be constant after year 50</t>
  </si>
  <si>
    <t>The gilt yields are provided for information only following a request, the trustee accepts no liability or responsibility to any third party for any decisions taken or advice given using them.</t>
  </si>
  <si>
    <t>Years</t>
  </si>
  <si>
    <t>Forward rate</t>
  </si>
  <si>
    <t>F: Self sufficiency (NB: see note in 'total liabilities to date' column)</t>
  </si>
  <si>
    <t>Compounded discount rate A1/A2, from 2037</t>
  </si>
  <si>
    <t>Total 2037 liabilities to date, discounted by A1/A2</t>
  </si>
  <si>
    <t>Asset growth A1/A2, under assumption of full-funding on a TP basis at 2037</t>
  </si>
  <si>
    <t>Asset growth, ongoing scheme, with November de-risking, net of contributions and payments</t>
  </si>
  <si>
    <t>Asset growth, ongoing scheme, with November de-risking, net of contributions and payments (2017 value)</t>
  </si>
  <si>
    <t>Asset growth, ongoing scheme, with September de-risking, net of contributions and payments</t>
  </si>
  <si>
    <t>Asset growth, ongoing scheme, with September de-risking, net of contributions and payments (2017 value)</t>
  </si>
  <si>
    <t>Self-sufficiency discount rate, from 2037</t>
  </si>
  <si>
    <t>Compounded self-sufficiency discount rate, from 2037</t>
  </si>
  <si>
    <t>Total 2037 self-sufficiency liabilities to date</t>
  </si>
  <si>
    <t>Asset growth, under assumption of full-funding on a self-sufficiency basis at 2037</t>
  </si>
  <si>
    <t>Asset growth, ongoing scheme, with November de-risking, net of contributions and payments (2017 real terms)</t>
  </si>
  <si>
    <t>Asset growth, ongoing scheme, with September de-risking, net of contributions and payments (2017 real terms)</t>
  </si>
  <si>
    <t>Asset growth, ongoing scheme, no de-risking, net of contributions and payments (2017 real terms)</t>
  </si>
  <si>
    <t>This tab summarises the analysis on the page 'Valuation analysis' dynamically. Figures will update as that spreadsheet is adjusted.</t>
  </si>
  <si>
    <t>First are recreations of the surplus or deficit under three different bases: the assumptions of the September draft valuation, that of the updated November valuation, and that of a valuation in which no de-risking occurs. The figures are compared with those stated by USS.</t>
  </si>
  <si>
    <t>Next come projected figures for Year 20. Year 20 is important, as it is used as a reference point in Test 1. These projected surpluses/deficits are based on the prudent investment growth assumptions and assume the scheme remains open until Year 20 with unchanged contributions and benefits.</t>
  </si>
  <si>
    <t>Next,  the surplus or deficit under the same three bases, but this time under best-estimate assumptions of investment growth rather than the prudently adjusted assumptions required law, and again compared with figures stated by USS (except in the final case, where the figure has never been stated).</t>
  </si>
  <si>
    <t>The final set of figures are the projected differences between the assets and the self-sufficiency liabilities at Year 20 under different bases, referred to by USS as a measure of the 'reliance on covenant'. The figures assme the prudent investment growth assumptions and that the scheme remains open until Year 20 with unchanged contributions and benefits. Note that these figures are not considered by USS in their application of Test 1, and have never been stated publicly or given to employers to aid decision-making.</t>
  </si>
  <si>
    <t xml:space="preserve">Asset growth, ongoing scheme, best-estimates, no de-risking, net of contributions and payments </t>
  </si>
  <si>
    <t>Asset growth, ongoing scheme, best-estimates, no de-risking, net of contributions and payments (2017 real terms)</t>
  </si>
  <si>
    <t>Asset growth, ongoing scheme, best-estimates, no de-risking, net of contributions and payments (2017 value)</t>
  </si>
  <si>
    <t>Compounded discount rate E, from 2037</t>
  </si>
  <si>
    <t>Total 2037 liabilities to date, discounted by E</t>
  </si>
  <si>
    <t>NOTE: The data for the Year 20 projections is not that supplied by USS, so those figures are based on dummy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</si>
</sst>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
    <numFmt numFmtId="166" formatCode="_(* #,##0.00_);_(* \(\ #,##0.00\ \);_(* &quot;-&quot;??_);_(\ @_ \)"/>
    <numFmt numFmtId="167" formatCode="#,##0_-;\(#,##0\);0_-"/>
    <numFmt numFmtId="168" formatCode="0.000%"/>
    <numFmt numFmtId="169" formatCode="0.000000000000000%"/>
    <numFmt numFmtId="170" formatCode="0.000000%"/>
  </numFmts>
  <fonts count="1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1"/>
      <color theme="1"/>
      <name val="Calibri"/>
      <family val="2"/>
      <scheme val="minor"/>
    </font>
    <font>
      <sz val="11"/>
      <color theme="3"/>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b/>
      <sz val="10"/>
      <color rgb="FFFFFFFF"/>
      <name val="Calibri"/>
      <family val="2"/>
    </font>
    <font>
      <b/>
      <i/>
      <sz val="10"/>
      <color rgb="FFFFFFFF"/>
      <name val="Calibri"/>
      <family val="2"/>
    </font>
    <font>
      <sz val="10"/>
      <color rgb="FF7C848A"/>
      <name val="Calibri"/>
      <family val="2"/>
    </font>
    <font>
      <sz val="10"/>
      <color rgb="FF000000"/>
      <name val="Calibri"/>
      <family val="2"/>
    </font>
    <font>
      <sz val="11"/>
      <name val="Calibri"/>
      <family val="2"/>
      <scheme val="minor"/>
    </font>
    <font>
      <sz val="10"/>
      <name val="Tahoma"/>
      <family val="2"/>
    </font>
    <font>
      <b/>
      <sz val="14"/>
      <name val="Arial"/>
      <family val="2"/>
    </font>
    <font>
      <sz val="10"/>
      <name val="Arial"/>
      <family val="2"/>
    </font>
    <font>
      <b/>
      <sz val="10"/>
      <color rgb="FF00008B"/>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C00000"/>
        <bgColor indexed="64"/>
      </patternFill>
    </fill>
    <fill>
      <patternFill patternType="solid">
        <fgColor rgb="FFF2F2F2"/>
        <bgColor indexed="64"/>
      </patternFill>
    </fill>
  </fills>
  <borders count="16">
    <border>
      <left/>
      <right/>
      <top/>
      <bottom/>
      <diagonal/>
    </border>
    <border>
      <left/>
      <right/>
      <top/>
      <bottom style="thick">
        <color theme="4"/>
      </bottom>
      <diagonal/>
    </border>
    <border>
      <left/>
      <right style="thick">
        <color theme="4"/>
      </right>
      <top/>
      <bottom/>
      <diagonal/>
    </border>
    <border>
      <left style="thick">
        <color theme="4"/>
      </left>
      <right/>
      <top/>
      <bottom/>
      <diagonal/>
    </border>
    <border>
      <left/>
      <right style="thick">
        <color theme="4"/>
      </right>
      <top/>
      <bottom style="thick">
        <color theme="4"/>
      </bottom>
      <diagonal/>
    </border>
    <border>
      <left style="thick">
        <color theme="4"/>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right/>
      <top style="thick">
        <color theme="4"/>
      </top>
      <bottom style="thick">
        <color theme="4"/>
      </bottom>
      <diagonal/>
    </border>
    <border>
      <left style="thin">
        <color theme="4"/>
      </left>
      <right style="thick">
        <color theme="4"/>
      </right>
      <top/>
      <bottom style="thick">
        <color theme="4"/>
      </bottom>
      <diagonal/>
    </border>
    <border>
      <left style="thin">
        <color theme="4"/>
      </left>
      <right style="thick">
        <color theme="4"/>
      </right>
      <top/>
      <bottom/>
      <diagonal/>
    </border>
    <border>
      <left style="thick">
        <color theme="4"/>
      </left>
      <right style="thin">
        <color theme="4"/>
      </right>
      <top/>
      <bottom style="thick">
        <color theme="4"/>
      </bottom>
      <diagonal/>
    </border>
    <border>
      <left style="thick">
        <color theme="4"/>
      </left>
      <right style="thin">
        <color theme="4"/>
      </right>
      <top/>
      <bottom/>
      <diagonal/>
    </border>
    <border>
      <left/>
      <right/>
      <top style="medium">
        <color indexed="64"/>
      </top>
      <bottom/>
      <diagonal/>
    </border>
    <border>
      <left/>
      <right/>
      <top/>
      <bottom style="medium">
        <color indexed="64"/>
      </bottom>
      <diagonal/>
    </border>
  </borders>
  <cellStyleXfs count="4">
    <xf numFmtId="0" fontId="0" fillId="0" borderId="0"/>
    <xf numFmtId="0" fontId="8" fillId="0" borderId="0" applyNumberFormat="0" applyFill="0" applyBorder="0" applyAlignment="0" applyProtection="0"/>
    <xf numFmtId="166" fontId="15" fillId="0" borderId="0" applyFont="0" applyFill="0" applyBorder="0" applyAlignment="0" applyProtection="0"/>
    <xf numFmtId="0" fontId="17" fillId="0" borderId="0"/>
  </cellStyleXfs>
  <cellXfs count="144">
    <xf numFmtId="0" fontId="0" fillId="0" borderId="0" xfId="0"/>
    <xf numFmtId="0" fontId="0" fillId="0" borderId="0" xfId="0" applyAlignment="1">
      <alignment horizontal="center"/>
    </xf>
    <xf numFmtId="0" fontId="0"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left"/>
    </xf>
    <xf numFmtId="0" fontId="0" fillId="0" borderId="0" xfId="0" applyFill="1"/>
    <xf numFmtId="0" fontId="1" fillId="0" borderId="0" xfId="0" applyFont="1"/>
    <xf numFmtId="0" fontId="1" fillId="0" borderId="0" xfId="0" applyFont="1" applyAlignment="1">
      <alignment horizontal="center"/>
    </xf>
    <xf numFmtId="0" fontId="1" fillId="0" borderId="2" xfId="0" applyFont="1" applyBorder="1" applyAlignment="1">
      <alignment horizontal="center"/>
    </xf>
    <xf numFmtId="10" fontId="0" fillId="0" borderId="3" xfId="0" applyNumberFormat="1" applyBorder="1" applyAlignment="1">
      <alignment horizontal="center"/>
    </xf>
    <xf numFmtId="0" fontId="0" fillId="0" borderId="0" xfId="0" applyFont="1" applyBorder="1" applyAlignment="1">
      <alignment horizontal="center"/>
    </xf>
    <xf numFmtId="10" fontId="0" fillId="0" borderId="0" xfId="0" applyNumberFormat="1" applyBorder="1" applyAlignment="1">
      <alignment horizontal="center"/>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164" fontId="0" fillId="0" borderId="3" xfId="0" applyNumberFormat="1" applyBorder="1" applyAlignment="1">
      <alignment horizontal="center"/>
    </xf>
    <xf numFmtId="164" fontId="0" fillId="0" borderId="0" xfId="0" applyNumberFormat="1" applyFont="1" applyBorder="1" applyAlignment="1">
      <alignment horizontal="center"/>
    </xf>
    <xf numFmtId="164" fontId="0" fillId="0" borderId="0" xfId="0" applyNumberFormat="1" applyBorder="1" applyAlignment="1">
      <alignment horizontal="center"/>
    </xf>
    <xf numFmtId="10" fontId="0" fillId="0" borderId="0" xfId="0" applyNumberFormat="1" applyFont="1" applyBorder="1" applyAlignment="1">
      <alignment horizontal="center"/>
    </xf>
    <xf numFmtId="164" fontId="0" fillId="0" borderId="2" xfId="0" applyNumberFormat="1" applyBorder="1" applyAlignment="1">
      <alignment horizontal="center"/>
    </xf>
    <xf numFmtId="164" fontId="0" fillId="0" borderId="2" xfId="0" applyNumberFormat="1" applyFont="1" applyBorder="1" applyAlignment="1">
      <alignment horizontal="center"/>
    </xf>
    <xf numFmtId="164" fontId="0" fillId="0" borderId="3" xfId="0" applyNumberFormat="1" applyFont="1" applyBorder="1" applyAlignment="1">
      <alignment horizontal="center"/>
    </xf>
    <xf numFmtId="0" fontId="4" fillId="0" borderId="0" xfId="0" applyFont="1" applyAlignment="1">
      <alignment horizontal="left"/>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164" fontId="0" fillId="0" borderId="11" xfId="0" applyNumberFormat="1" applyFont="1" applyBorder="1" applyAlignment="1">
      <alignment horizontal="center"/>
    </xf>
    <xf numFmtId="10" fontId="0" fillId="0" borderId="11" xfId="0" applyNumberFormat="1" applyBorder="1" applyAlignment="1">
      <alignment horizontal="center"/>
    </xf>
    <xf numFmtId="10" fontId="0" fillId="2" borderId="0" xfId="0" applyNumberFormat="1" applyFill="1" applyBorder="1" applyAlignment="1">
      <alignment horizontal="center"/>
    </xf>
    <xf numFmtId="10" fontId="0" fillId="2" borderId="0" xfId="0" applyNumberFormat="1" applyFont="1" applyFill="1" applyBorder="1" applyAlignment="1">
      <alignment horizontal="center"/>
    </xf>
    <xf numFmtId="164" fontId="0" fillId="2" borderId="0" xfId="0" applyNumberFormat="1" applyFill="1" applyBorder="1" applyAlignment="1">
      <alignment horizontal="center"/>
    </xf>
    <xf numFmtId="10" fontId="0" fillId="2" borderId="3" xfId="0" applyNumberFormat="1" applyFill="1" applyBorder="1" applyAlignment="1">
      <alignment horizontal="center"/>
    </xf>
    <xf numFmtId="164" fontId="0" fillId="2" borderId="0" xfId="0" applyNumberFormat="1" applyFont="1" applyFill="1" applyBorder="1" applyAlignment="1">
      <alignment horizontal="center"/>
    </xf>
    <xf numFmtId="10" fontId="0" fillId="2" borderId="11" xfId="0" applyNumberFormat="1" applyFill="1" applyBorder="1" applyAlignment="1">
      <alignment horizontal="center"/>
    </xf>
    <xf numFmtId="164" fontId="0" fillId="2" borderId="3" xfId="0" applyNumberFormat="1" applyFill="1" applyBorder="1" applyAlignment="1">
      <alignment horizontal="center"/>
    </xf>
    <xf numFmtId="164" fontId="0" fillId="2" borderId="2" xfId="0" applyNumberFormat="1" applyFill="1" applyBorder="1" applyAlignment="1">
      <alignment horizontal="center"/>
    </xf>
    <xf numFmtId="10" fontId="0" fillId="0" borderId="3" xfId="0" applyNumberFormat="1" applyFont="1" applyBorder="1" applyAlignment="1">
      <alignment horizontal="center"/>
    </xf>
    <xf numFmtId="164" fontId="1" fillId="0" borderId="0" xfId="0" applyNumberFormat="1" applyFont="1" applyBorder="1" applyAlignment="1">
      <alignment horizontal="center"/>
    </xf>
    <xf numFmtId="10" fontId="0" fillId="2" borderId="3" xfId="0" applyNumberFormat="1" applyFont="1" applyFill="1" applyBorder="1" applyAlignment="1">
      <alignment horizontal="center"/>
    </xf>
    <xf numFmtId="0" fontId="0" fillId="0" borderId="1" xfId="0" applyFont="1" applyBorder="1" applyAlignment="1">
      <alignment horizontal="center" vertical="center" wrapText="1"/>
    </xf>
    <xf numFmtId="0" fontId="0" fillId="0" borderId="5" xfId="0" applyFont="1" applyBorder="1" applyAlignment="1">
      <alignment horizontal="center" vertical="center" wrapText="1"/>
    </xf>
    <xf numFmtId="0" fontId="0" fillId="3" borderId="0" xfId="0" applyFill="1"/>
    <xf numFmtId="0" fontId="1" fillId="0" borderId="0" xfId="0" applyFont="1" applyAlignment="1">
      <alignment horizontal="center" vertical="center"/>
    </xf>
    <xf numFmtId="0" fontId="0" fillId="0" borderId="0" xfId="0" applyAlignment="1">
      <alignment horizontal="center" vertical="center"/>
    </xf>
    <xf numFmtId="10" fontId="1" fillId="0" borderId="0" xfId="0" applyNumberFormat="1" applyFont="1" applyBorder="1" applyAlignment="1">
      <alignment horizontal="center"/>
    </xf>
    <xf numFmtId="10" fontId="1" fillId="0" borderId="3" xfId="0" applyNumberFormat="1" applyFont="1" applyBorder="1" applyAlignment="1">
      <alignment horizontal="center"/>
    </xf>
    <xf numFmtId="164" fontId="5" fillId="0" borderId="0" xfId="0" applyNumberFormat="1" applyFont="1" applyBorder="1" applyAlignment="1">
      <alignment horizontal="center"/>
    </xf>
    <xf numFmtId="10" fontId="1" fillId="0" borderId="11" xfId="0" applyNumberFormat="1" applyFont="1" applyBorder="1" applyAlignment="1">
      <alignment horizontal="center"/>
    </xf>
    <xf numFmtId="164" fontId="1" fillId="0" borderId="3" xfId="0" applyNumberFormat="1" applyFont="1" applyBorder="1" applyAlignment="1">
      <alignment horizontal="center"/>
    </xf>
    <xf numFmtId="164" fontId="1" fillId="0" borderId="2" xfId="0" applyNumberFormat="1" applyFont="1" applyBorder="1" applyAlignment="1">
      <alignment horizontal="center"/>
    </xf>
    <xf numFmtId="164" fontId="6" fillId="0" borderId="0" xfId="0" applyNumberFormat="1" applyFont="1" applyBorder="1" applyAlignment="1">
      <alignment horizontal="center"/>
    </xf>
    <xf numFmtId="0" fontId="1" fillId="0" borderId="0" xfId="0" applyFont="1" applyBorder="1" applyAlignment="1">
      <alignment horizontal="center"/>
    </xf>
    <xf numFmtId="0" fontId="1" fillId="2" borderId="0" xfId="0" applyFont="1" applyFill="1" applyBorder="1" applyAlignment="1">
      <alignment horizontal="center"/>
    </xf>
    <xf numFmtId="0" fontId="1" fillId="2" borderId="2" xfId="0" applyFont="1" applyFill="1" applyBorder="1" applyAlignment="1">
      <alignment horizontal="center"/>
    </xf>
    <xf numFmtId="0" fontId="1" fillId="3" borderId="2" xfId="0" applyFont="1" applyFill="1" applyBorder="1" applyAlignment="1">
      <alignment horizontal="center"/>
    </xf>
    <xf numFmtId="0" fontId="1" fillId="3" borderId="0" xfId="0" applyFont="1" applyFill="1" applyBorder="1" applyAlignment="1">
      <alignment horizontal="center"/>
    </xf>
    <xf numFmtId="10" fontId="0" fillId="3" borderId="3" xfId="0" applyNumberFormat="1" applyFont="1" applyFill="1" applyBorder="1" applyAlignment="1">
      <alignment horizontal="center"/>
    </xf>
    <xf numFmtId="164" fontId="0" fillId="3" borderId="0" xfId="0" applyNumberFormat="1" applyFont="1" applyFill="1" applyBorder="1" applyAlignment="1">
      <alignment horizontal="center"/>
    </xf>
    <xf numFmtId="10" fontId="0" fillId="3" borderId="0" xfId="0" applyNumberFormat="1" applyFont="1" applyFill="1" applyBorder="1" applyAlignment="1">
      <alignment horizontal="center"/>
    </xf>
    <xf numFmtId="10" fontId="0" fillId="3" borderId="3" xfId="0" applyNumberFormat="1" applyFill="1" applyBorder="1" applyAlignment="1">
      <alignment horizontal="center"/>
    </xf>
    <xf numFmtId="164" fontId="0" fillId="3" borderId="0" xfId="0" applyNumberFormat="1" applyFill="1" applyBorder="1" applyAlignment="1">
      <alignment horizontal="center"/>
    </xf>
    <xf numFmtId="10" fontId="0" fillId="3" borderId="0" xfId="0" applyNumberFormat="1" applyFill="1" applyBorder="1" applyAlignment="1">
      <alignment horizontal="center"/>
    </xf>
    <xf numFmtId="10" fontId="0" fillId="3" borderId="11" xfId="0" applyNumberFormat="1" applyFill="1" applyBorder="1" applyAlignment="1">
      <alignment horizontal="center"/>
    </xf>
    <xf numFmtId="164" fontId="0" fillId="3" borderId="3" xfId="0" applyNumberFormat="1" applyFill="1" applyBorder="1" applyAlignment="1">
      <alignment horizontal="center"/>
    </xf>
    <xf numFmtId="164" fontId="0" fillId="3" borderId="2" xfId="0" applyNumberFormat="1" applyFill="1" applyBorder="1" applyAlignment="1">
      <alignment horizontal="center"/>
    </xf>
    <xf numFmtId="0" fontId="1" fillId="0" borderId="12" xfId="0" applyFont="1" applyBorder="1" applyAlignment="1">
      <alignment horizontal="center" vertical="center" wrapText="1"/>
    </xf>
    <xf numFmtId="164" fontId="1" fillId="0" borderId="13" xfId="0" applyNumberFormat="1" applyFont="1" applyBorder="1" applyAlignment="1">
      <alignment horizontal="center"/>
    </xf>
    <xf numFmtId="10" fontId="5" fillId="0" borderId="0" xfId="0" applyNumberFormat="1" applyFont="1" applyBorder="1" applyAlignment="1">
      <alignment horizontal="center"/>
    </xf>
    <xf numFmtId="0" fontId="7" fillId="0" borderId="0" xfId="0" applyFont="1" applyBorder="1" applyAlignment="1">
      <alignment horizontal="center"/>
    </xf>
    <xf numFmtId="0" fontId="1" fillId="0" borderId="2" xfId="0" applyFont="1" applyFill="1" applyBorder="1" applyAlignment="1">
      <alignment horizontal="center"/>
    </xf>
    <xf numFmtId="0" fontId="1" fillId="0" borderId="0" xfId="0" applyFont="1" applyFill="1" applyBorder="1" applyAlignment="1">
      <alignment horizontal="center"/>
    </xf>
    <xf numFmtId="10" fontId="0" fillId="0" borderId="3" xfId="0" applyNumberFormat="1" applyFont="1" applyFill="1" applyBorder="1" applyAlignment="1">
      <alignment horizontal="center"/>
    </xf>
    <xf numFmtId="164" fontId="0" fillId="0" borderId="0" xfId="0" applyNumberFormat="1" applyFont="1" applyFill="1" applyBorder="1" applyAlignment="1">
      <alignment horizontal="center"/>
    </xf>
    <xf numFmtId="10" fontId="0" fillId="0" borderId="0" xfId="0" applyNumberFormat="1" applyFont="1" applyFill="1" applyBorder="1" applyAlignment="1">
      <alignment horizontal="center"/>
    </xf>
    <xf numFmtId="10" fontId="0" fillId="0" borderId="3" xfId="0" applyNumberFormat="1" applyFill="1" applyBorder="1" applyAlignment="1">
      <alignment horizontal="center"/>
    </xf>
    <xf numFmtId="164" fontId="0" fillId="0" borderId="0" xfId="0" applyNumberFormat="1" applyFill="1" applyBorder="1" applyAlignment="1">
      <alignment horizontal="center"/>
    </xf>
    <xf numFmtId="10" fontId="0" fillId="0" borderId="0" xfId="0" applyNumberFormat="1" applyFill="1" applyBorder="1" applyAlignment="1">
      <alignment horizontal="center"/>
    </xf>
    <xf numFmtId="10" fontId="0" fillId="0" borderId="11" xfId="0" applyNumberFormat="1" applyFill="1" applyBorder="1" applyAlignment="1">
      <alignment horizontal="center"/>
    </xf>
    <xf numFmtId="164" fontId="0" fillId="0" borderId="3" xfId="0" applyNumberFormat="1" applyFill="1" applyBorder="1" applyAlignment="1">
      <alignment horizontal="center"/>
    </xf>
    <xf numFmtId="164" fontId="0" fillId="0" borderId="2" xfId="0" applyNumberFormat="1" applyFill="1" applyBorder="1" applyAlignment="1">
      <alignment horizontal="center"/>
    </xf>
    <xf numFmtId="164" fontId="5" fillId="0" borderId="2" xfId="0" applyNumberFormat="1" applyFont="1" applyBorder="1" applyAlignment="1">
      <alignment horizontal="center"/>
    </xf>
    <xf numFmtId="164" fontId="1" fillId="0" borderId="8" xfId="0" applyNumberFormat="1" applyFont="1" applyBorder="1" applyAlignment="1">
      <alignment horizontal="center"/>
    </xf>
    <xf numFmtId="164" fontId="1" fillId="0" borderId="0" xfId="0" applyNumberFormat="1" applyFont="1"/>
    <xf numFmtId="10" fontId="5" fillId="0" borderId="3" xfId="0" applyNumberFormat="1" applyFont="1" applyBorder="1" applyAlignment="1">
      <alignment horizontal="center"/>
    </xf>
    <xf numFmtId="0" fontId="0" fillId="0" borderId="3" xfId="0" applyFont="1" applyBorder="1" applyAlignment="1">
      <alignment horizontal="center"/>
    </xf>
    <xf numFmtId="2" fontId="0" fillId="0" borderId="0" xfId="0" applyNumberFormat="1"/>
    <xf numFmtId="164" fontId="0" fillId="0" borderId="0" xfId="0" applyNumberFormat="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0" xfId="1"/>
    <xf numFmtId="0" fontId="0" fillId="0" borderId="0" xfId="0" applyFont="1"/>
    <xf numFmtId="0" fontId="9" fillId="0" borderId="0" xfId="0" applyFont="1"/>
    <xf numFmtId="0" fontId="1" fillId="0" borderId="0" xfId="0" applyFont="1" applyAlignment="1">
      <alignment horizontal="right" wrapText="1"/>
    </xf>
    <xf numFmtId="165" fontId="1" fillId="0" borderId="0" xfId="0" applyNumberFormat="1" applyFont="1" applyAlignment="1">
      <alignment horizontal="right" wrapText="1"/>
    </xf>
    <xf numFmtId="14" fontId="0" fillId="0" borderId="0" xfId="0" applyNumberFormat="1"/>
    <xf numFmtId="165" fontId="0" fillId="0" borderId="0" xfId="0" applyNumberFormat="1"/>
    <xf numFmtId="0" fontId="1" fillId="0" borderId="0" xfId="0" applyFont="1" applyBorder="1" applyAlignment="1">
      <alignment horizontal="right" wrapText="1"/>
    </xf>
    <xf numFmtId="165" fontId="1" fillId="0" borderId="0" xfId="0" applyNumberFormat="1" applyFont="1" applyBorder="1" applyAlignment="1">
      <alignment horizontal="right" wrapText="1"/>
    </xf>
    <xf numFmtId="0" fontId="10" fillId="4" borderId="14"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12" fillId="5" borderId="15" xfId="0" applyFont="1" applyFill="1" applyBorder="1" applyAlignment="1">
      <alignment horizontal="center" vertical="center" wrapText="1"/>
    </xf>
    <xf numFmtId="10" fontId="12" fillId="5" borderId="15" xfId="0" applyNumberFormat="1" applyFont="1" applyFill="1" applyBorder="1" applyAlignment="1">
      <alignment horizontal="center" vertical="center" wrapText="1"/>
    </xf>
    <xf numFmtId="0" fontId="13" fillId="0" borderId="0" xfId="0" applyFont="1" applyAlignment="1">
      <alignment horizontal="center" vertical="center" wrapText="1"/>
    </xf>
    <xf numFmtId="0" fontId="0" fillId="0" borderId="0" xfId="0" applyBorder="1"/>
    <xf numFmtId="10" fontId="0" fillId="0" borderId="0" xfId="0" applyNumberFormat="1" applyBorder="1"/>
    <xf numFmtId="14" fontId="0" fillId="0" borderId="0" xfId="0" applyNumberFormat="1" applyBorder="1"/>
    <xf numFmtId="165" fontId="0" fillId="0" borderId="0" xfId="0" applyNumberFormat="1" applyBorder="1"/>
    <xf numFmtId="0" fontId="7" fillId="0" borderId="0" xfId="0" applyFont="1" applyFill="1" applyBorder="1" applyAlignment="1">
      <alignment horizontal="center"/>
    </xf>
    <xf numFmtId="10" fontId="5" fillId="0" borderId="0" xfId="0" applyNumberFormat="1" applyFont="1" applyFill="1" applyBorder="1" applyAlignment="1">
      <alignment horizontal="center"/>
    </xf>
    <xf numFmtId="10" fontId="5" fillId="0" borderId="3" xfId="0" applyNumberFormat="1" applyFont="1" applyFill="1" applyBorder="1" applyAlignment="1">
      <alignment horizontal="center"/>
    </xf>
    <xf numFmtId="164" fontId="5" fillId="0" borderId="0" xfId="0" applyNumberFormat="1" applyFont="1" applyFill="1" applyBorder="1" applyAlignment="1">
      <alignment horizontal="center"/>
    </xf>
    <xf numFmtId="2" fontId="0" fillId="0" borderId="0" xfId="0" applyNumberFormat="1" applyFill="1"/>
    <xf numFmtId="164" fontId="14" fillId="0" borderId="13" xfId="0" applyNumberFormat="1" applyFont="1" applyBorder="1" applyAlignment="1">
      <alignment horizontal="center"/>
    </xf>
    <xf numFmtId="164" fontId="14" fillId="0" borderId="0" xfId="0" applyNumberFormat="1" applyFont="1" applyBorder="1" applyAlignment="1">
      <alignment horizontal="center"/>
    </xf>
    <xf numFmtId="164" fontId="14" fillId="2" borderId="13" xfId="0" applyNumberFormat="1" applyFont="1" applyFill="1" applyBorder="1" applyAlignment="1">
      <alignment horizontal="center"/>
    </xf>
    <xf numFmtId="164" fontId="14" fillId="2" borderId="0" xfId="0" applyNumberFormat="1" applyFont="1" applyFill="1" applyBorder="1" applyAlignment="1">
      <alignment horizontal="center"/>
    </xf>
    <xf numFmtId="164" fontId="14" fillId="0" borderId="13" xfId="0" applyNumberFormat="1" applyFont="1" applyFill="1" applyBorder="1" applyAlignment="1">
      <alignment horizontal="center"/>
    </xf>
    <xf numFmtId="164" fontId="14" fillId="0" borderId="0" xfId="0" applyNumberFormat="1" applyFont="1" applyFill="1" applyBorder="1" applyAlignment="1">
      <alignment horizontal="center"/>
    </xf>
    <xf numFmtId="0" fontId="17" fillId="0" borderId="0" xfId="3"/>
    <xf numFmtId="0" fontId="18" fillId="0" borderId="0" xfId="2" applyNumberFormat="1" applyFont="1" applyAlignment="1">
      <alignment horizontal="right"/>
    </xf>
    <xf numFmtId="167" fontId="0" fillId="0" borderId="0" xfId="2" applyNumberFormat="1" applyFont="1" applyAlignment="1">
      <alignment horizontal="right"/>
    </xf>
    <xf numFmtId="168" fontId="0" fillId="0" borderId="0" xfId="2" applyNumberFormat="1" applyFont="1"/>
    <xf numFmtId="169" fontId="17" fillId="0" borderId="0" xfId="3" applyNumberFormat="1"/>
    <xf numFmtId="170" fontId="17" fillId="0" borderId="0" xfId="3" applyNumberFormat="1"/>
    <xf numFmtId="0" fontId="4" fillId="0" borderId="0" xfId="0" applyFont="1" applyAlignment="1">
      <alignment horizontal="left" wrapText="1"/>
    </xf>
    <xf numFmtId="0" fontId="1" fillId="0" borderId="0" xfId="0" applyFont="1" applyAlignment="1">
      <alignment wrapText="1"/>
    </xf>
    <xf numFmtId="0" fontId="0" fillId="0" borderId="0" xfId="0" applyFont="1" applyAlignment="1">
      <alignment wrapText="1"/>
    </xf>
    <xf numFmtId="0" fontId="0" fillId="0" borderId="0" xfId="0" applyAlignment="1">
      <alignment wrapText="1"/>
    </xf>
    <xf numFmtId="0" fontId="1" fillId="0" borderId="0" xfId="0" applyFont="1" applyAlignment="1"/>
    <xf numFmtId="0" fontId="1" fillId="0" borderId="0" xfId="0" applyFont="1" applyAlignment="1">
      <alignment horizontal="left" wrapText="1"/>
    </xf>
    <xf numFmtId="0" fontId="1" fillId="0" borderId="6" xfId="0"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7" xfId="0" applyBorder="1" applyAlignment="1"/>
    <xf numFmtId="0" fontId="0" fillId="0" borderId="8" xfId="0" applyBorder="1" applyAlignment="1"/>
    <xf numFmtId="0" fontId="1" fillId="0" borderId="6" xfId="0"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2" fontId="1" fillId="0" borderId="6" xfId="0" applyNumberFormat="1"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0" fillId="4" borderId="1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6" fillId="0" borderId="0" xfId="2" applyNumberFormat="1" applyFont="1" applyAlignment="1">
      <alignment horizontal="left"/>
    </xf>
  </cellXfs>
  <cellStyles count="4">
    <cellStyle name="Comma 2" xfId="2" xr:uid="{00000000-0005-0000-0000-000000000000}"/>
    <cellStyle name="Hyperlink" xfId="1" builtinId="8"/>
    <cellStyle name="Normal" xfId="0" builtinId="0"/>
    <cellStyle name="Normal 2" xfId="3" xr:uid="{00000000-0005-0000-0000-000003000000}"/>
  </cellStyles>
  <dxfs count="109">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left style="thick">
          <color theme="4"/>
        </left>
        <right style="thin">
          <color theme="4"/>
        </right>
        <top style="thick">
          <color auto="1"/>
        </top>
        <bottom style="thick">
          <color auto="1"/>
        </bottom>
        <vertical style="thin">
          <color theme="4"/>
        </vertical>
        <horizontal style="thick">
          <color auto="1"/>
        </horizontal>
      </border>
    </dxf>
    <dxf>
      <numFmt numFmtId="164" formatCode="0.0"/>
      <alignment horizontal="center" vertical="bottom" textRotation="0" wrapText="0" indent="0" justifyLastLine="0" shrinkToFit="0" readingOrder="0"/>
      <border diagonalUp="0" diagonalDown="0">
        <left/>
        <right style="thick">
          <color theme="4"/>
        </right>
        <top/>
        <bottom/>
        <vertical/>
        <horizontal/>
      </border>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left style="thick">
          <color theme="4"/>
        </left>
        <right/>
        <top/>
        <bottom/>
        <vertical/>
        <horizontal/>
      </border>
    </dxf>
    <dxf>
      <numFmt numFmtId="14" formatCode="0.00%"/>
      <alignment horizontal="center" vertical="bottom" textRotation="0" wrapText="0" indent="0" justifyLastLine="0" shrinkToFit="0" readingOrder="0"/>
      <border diagonalUp="0" diagonalDown="0">
        <left style="thin">
          <color theme="4"/>
        </left>
        <right style="thick">
          <color theme="4"/>
        </right>
        <top/>
        <bottom/>
        <vertical/>
        <horizontal/>
      </border>
    </dxf>
    <dxf>
      <numFmt numFmtId="14" formatCode="0.00%"/>
      <alignment horizontal="center" vertical="bottom" textRotation="0" wrapText="0" indent="0" justifyLastLine="0" shrinkToFit="0" readingOrder="0"/>
      <border diagonalUp="0" diagonalDown="0">
        <left/>
        <right style="thick">
          <color theme="4"/>
        </right>
        <top style="thick">
          <color auto="1"/>
        </top>
        <bottom style="thick">
          <color auto="1"/>
        </bottom>
        <vertical/>
        <horizontal style="thick">
          <color auto="1"/>
        </horizontal>
      </border>
    </dxf>
    <dxf>
      <numFmt numFmtId="14" formatCode="0.00%"/>
      <fill>
        <patternFill patternType="none">
          <fgColor indexed="64"/>
          <bgColor indexed="65"/>
        </patternFill>
      </fill>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border diagonalUp="0" diagonalDown="0">
        <left style="thick">
          <color theme="4"/>
        </left>
        <right/>
        <top style="thick">
          <color auto="1"/>
        </top>
        <bottom style="thick">
          <color auto="1"/>
        </bottom>
        <vertical/>
        <horizontal style="thick">
          <color auto="1"/>
        </horizontal>
      </border>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fill>
        <patternFill patternType="none">
          <fgColor indexed="64"/>
          <bgColor indexed="65"/>
        </patternFill>
      </fill>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left/>
        <right style="thick">
          <color theme="4"/>
        </right>
        <top/>
        <bottom/>
        <vertical/>
        <horizontal/>
      </border>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border diagonalUp="0" diagonalDown="0">
        <left/>
        <right style="thick">
          <color theme="4"/>
        </right>
        <top style="thick">
          <color auto="1"/>
        </top>
        <bottom style="thick">
          <color auto="1"/>
        </bottom>
        <vertical/>
        <horizontal style="thick">
          <color auto="1"/>
        </horizontal>
      </border>
    </dxf>
    <dxf>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center" vertical="bottom" textRotation="0" wrapText="0" indent="0" justifyLastLine="0" shrinkToFit="0" readingOrder="0"/>
    </dxf>
    <dxf>
      <font>
        <b val="0"/>
        <strike val="0"/>
        <outline val="0"/>
        <shadow val="0"/>
        <u val="none"/>
        <vertAlign val="baseline"/>
        <sz val="11"/>
        <color theme="1"/>
        <name val="Calibri"/>
        <scheme val="minor"/>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font>
        <b val="0"/>
        <strike val="0"/>
        <outline val="0"/>
        <shadow val="0"/>
        <u val="none"/>
        <vertAlign val="baseline"/>
        <sz val="11"/>
        <color theme="1"/>
        <name val="Calibri"/>
        <scheme val="minor"/>
      </font>
      <numFmt numFmtId="14" formatCode="0.00%"/>
      <alignment horizontal="center" vertical="bottom" textRotation="0" wrapText="0" indent="0" justifyLastLine="0" shrinkToFit="0" readingOrder="0"/>
      <border diagonalUp="0" diagonalDown="0">
        <left style="thick">
          <color theme="4"/>
        </left>
        <right/>
        <top style="thick">
          <color auto="1"/>
        </top>
        <bottom style="thick">
          <color auto="1"/>
        </bottom>
        <vertical/>
        <horizontal style="thick">
          <color auto="1"/>
        </horizontal>
      </border>
    </dxf>
    <dxf>
      <numFmt numFmtId="164" formatCode="0.0"/>
      <alignment horizontal="center" vertical="bottom" textRotation="0" wrapText="0" indent="0" justifyLastLine="0" shrinkToFit="0" readingOrder="0"/>
      <border diagonalUp="0" diagonalDown="0">
        <left/>
        <right style="thick">
          <color theme="4"/>
        </right>
        <top/>
        <bottom/>
        <vertical/>
        <horizontal/>
      </border>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border diagonalUp="0" diagonalDown="0">
        <left style="thick">
          <color theme="4"/>
        </left>
        <right/>
        <top/>
        <bottom/>
        <vertical/>
        <horizontal/>
      </border>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border diagonalUp="0" diagonalDown="0">
        <left style="thick">
          <color theme="4"/>
        </left>
        <right/>
        <top/>
        <bottom/>
        <vertical/>
        <horizontal/>
      </border>
    </dxf>
    <dxf>
      <font>
        <b/>
      </font>
      <numFmt numFmtId="164" formatCode="0.0"/>
      <alignment horizontal="center" vertical="bottom" textRotation="0" wrapText="0" indent="0" justifyLastLine="0" shrinkToFit="0" readingOrder="0"/>
    </dxf>
    <dxf>
      <font>
        <b/>
      </font>
      <numFmt numFmtId="14" formatCode="0.00%"/>
      <alignment horizontal="center" vertical="bottom" textRotation="0" wrapText="0" indent="0" justifyLastLine="0" shrinkToFit="0" readingOrder="0"/>
    </dxf>
    <dxf>
      <font>
        <b/>
      </font>
      <numFmt numFmtId="164" formatCode="0.0"/>
      <alignment horizontal="center" vertical="bottom" textRotation="0" wrapText="0" indent="0" justifyLastLine="0" shrinkToFit="0" readingOrder="0"/>
    </dxf>
    <dxf>
      <font>
        <b/>
      </font>
      <numFmt numFmtId="14"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64" formatCode="0.0"/>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numFmt numFmtId="14" formatCode="0.00%"/>
      <alignment horizontal="center" vertical="bottom" textRotation="0" wrapText="0" indent="0" justifyLastLine="0" shrinkToFit="0" readingOrder="0"/>
      <border diagonalUp="0" diagonalDown="0">
        <left style="thick">
          <color theme="4"/>
        </left>
        <right/>
        <top/>
        <bottom/>
        <vertical/>
        <horizontal/>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border diagonalUp="0" diagonalDown="0">
        <left/>
        <right style="thick">
          <color theme="4"/>
        </right>
        <top/>
        <bottom/>
        <vertical/>
        <horizontal/>
      </border>
    </dxf>
    <dxf>
      <border diagonalUp="0" diagonalDown="0">
        <left style="thick">
          <color theme="4"/>
        </left>
        <right style="thick">
          <color theme="4"/>
        </right>
        <top style="thick">
          <color theme="4"/>
        </top>
        <bottom style="thick">
          <color theme="4"/>
        </bottom>
      </border>
    </dxf>
    <dxf>
      <alignment horizontal="center" vertical="bottom" textRotation="0" wrapText="0" indent="0" justifyLastLine="0" shrinkToFit="0" readingOrder="0"/>
    </dxf>
    <dxf>
      <border>
        <bottom style="thick">
          <color theme="4"/>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colors>
    <mruColors>
      <color rgb="FF6900C0"/>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7:DA144" totalsRowShown="0" headerRowDxfId="108" dataDxfId="106" headerRowBorderDxfId="107" tableBorderDxfId="105">
  <tableColumns count="105">
    <tableColumn id="1" xr3:uid="{00000000-0010-0000-0000-000001000000}" name="Year" dataDxfId="104"/>
    <tableColumn id="50" xr3:uid="{00000000-0010-0000-0000-000032000000}" name="Annual investment returns" dataDxfId="103"/>
    <tableColumn id="51" xr3:uid="{00000000-0010-0000-0000-000033000000}" name="Compounded investment returns" dataDxfId="102"/>
    <tableColumn id="52" xr3:uid="{00000000-0010-0000-0000-000034000000}" name="Equivalent value of 2017 assets" dataDxfId="101"/>
    <tableColumn id="45" xr3:uid="{00000000-0010-0000-0000-00002D000000}" name="2008 discount rate" dataDxfId="100"/>
    <tableColumn id="46" xr3:uid="{00000000-0010-0000-0000-00002E000000}" name="Forecast growth, 2008 discount rate" dataDxfId="99"/>
    <tableColumn id="40" xr3:uid="{00000000-0010-0000-0000-000028000000}" name="2011 discount rate" dataDxfId="98"/>
    <tableColumn id="41" xr3:uid="{00000000-0010-0000-0000-000029000000}" name="Forecast growth, 2011 discount rate" dataDxfId="97"/>
    <tableColumn id="42" xr3:uid="{00000000-0010-0000-0000-00002A000000}" name="2014 discount rate" dataDxfId="96"/>
    <tableColumn id="43" xr3:uid="{00000000-0010-0000-0000-00002B000000}" name="Forecast growth, 2014 discount rate" dataDxfId="95"/>
    <tableColumn id="2" xr3:uid="{00000000-0010-0000-0000-000002000000}" name="Discount rate A1" dataDxfId="94"/>
    <tableColumn id="3" xr3:uid="{00000000-0010-0000-0000-000003000000}" name="Compounded discount rate A1" dataDxfId="93">
      <calculatedColumnFormula>(1+L7)*(1+K8)-1</calculatedColumnFormula>
    </tableColumn>
    <tableColumn id="10" xr3:uid="{00000000-0010-0000-0000-00000A000000}" name="Total liabilities to date, discounted by A1" dataDxfId="92"/>
    <tableColumn id="4" xr3:uid="{00000000-0010-0000-0000-000004000000}" name="Asset growth A1, under the assumption of full-funding at Year 0" dataDxfId="91">
      <calculatedColumnFormula>N7*(1+K8)</calculatedColumnFormula>
    </tableColumn>
    <tableColumn id="33" xr3:uid="{00000000-0010-0000-0000-000021000000}" name="Asset growth A1 (real terms)" dataDxfId="90"/>
    <tableColumn id="18" xr3:uid="{00000000-0010-0000-0000-000012000000}" name="Asset growth A1 with benefit payments deducted" dataDxfId="89">
      <calculatedColumnFormula>Table2[[#This Row],[Asset growth A1, under the assumption of full-funding at Year 0]]-Table2[[#This Row],[Annual benefit payments (closed scheme)]]</calculatedColumnFormula>
    </tableColumn>
    <tableColumn id="49" xr3:uid="{00000000-0010-0000-0000-000031000000}" name="Asset growth A1 with benefit payments deducted (real terms)" dataDxfId="88"/>
    <tableColumn id="53" xr3:uid="{00000000-0010-0000-0000-000035000000}" name="Asset growth A1 with benefit payments deducted (present value)" dataDxfId="87"/>
    <tableColumn id="24" xr3:uid="{00000000-0010-0000-0000-000018000000}" name="Discount rate A2" dataDxfId="86"/>
    <tableColumn id="25" xr3:uid="{00000000-0010-0000-0000-000019000000}" name="Compounded discount rate A2" dataDxfId="85">
      <calculatedColumnFormula>S8</calculatedColumnFormula>
    </tableColumn>
    <tableColumn id="11" xr3:uid="{00000000-0010-0000-0000-00000B000000}" name="Total liabilities to date, discounted by A2" dataDxfId="84"/>
    <tableColumn id="29" xr3:uid="{00000000-0010-0000-0000-00001D000000}" name="Asset growth A2, under the assumption of full-funding at Year 0" dataDxfId="83"/>
    <tableColumn id="38" xr3:uid="{00000000-0010-0000-0000-000026000000}" name="Asset growth A2 (real terms)" dataDxfId="82"/>
    <tableColumn id="21" xr3:uid="{00000000-0010-0000-0000-000015000000}" name="Asset growth A2 with benefit payments deducted" dataDxfId="81"/>
    <tableColumn id="48" xr3:uid="{00000000-0010-0000-0000-000030000000}" name="Asset growth A2 with benefit payments deducted (real terms)" dataDxfId="80"/>
    <tableColumn id="54" xr3:uid="{00000000-0010-0000-0000-000036000000}" name="Asset growth A2 with benefit payments deducted (present value)" dataDxfId="79"/>
    <tableColumn id="5" xr3:uid="{00000000-0010-0000-0000-000005000000}" name="Discount rate B" dataDxfId="78">
      <calculatedColumnFormula>CM8+2.8%</calculatedColumnFormula>
    </tableColumn>
    <tableColumn id="56" xr3:uid="{00000000-0010-0000-0000-000038000000}" name="Compounded discount rate B" dataDxfId="77"/>
    <tableColumn id="12" xr3:uid="{00000000-0010-0000-0000-00000C000000}" name="Total liabilities to date, discounted by B" dataDxfId="76"/>
    <tableColumn id="6" xr3:uid="{00000000-0010-0000-0000-000006000000}" name="Asset growth B" dataDxfId="75">
      <calculatedColumnFormula>AD7*(1+AA8)</calculatedColumnFormula>
    </tableColumn>
    <tableColumn id="39" xr3:uid="{00000000-0010-0000-0000-000027000000}" name="Asset growth B (real terms)" dataDxfId="74"/>
    <tableColumn id="44" xr3:uid="{00000000-0010-0000-0000-00002C000000}" name="Asset growth B with benefit payments deducted" dataDxfId="73"/>
    <tableColumn id="55" xr3:uid="{00000000-0010-0000-0000-000037000000}" name="Asset growth B with benefit payments deducted (real terms)" dataDxfId="72"/>
    <tableColumn id="57" xr3:uid="{00000000-0010-0000-0000-000039000000}" name="Asset growth B with benefit payments deducted (present value)" dataDxfId="71"/>
    <tableColumn id="9" xr3:uid="{00000000-0010-0000-0000-000009000000}" name="Discount rate C" dataDxfId="70"/>
    <tableColumn id="37" xr3:uid="{00000000-0010-0000-0000-000025000000}" name="Compounded discount rate C" dataDxfId="69"/>
    <tableColumn id="60" xr3:uid="{00000000-0010-0000-0000-00003C000000}" name="Total liabilities to date, discounted by C" dataDxfId="68"/>
    <tableColumn id="61" xr3:uid="{00000000-0010-0000-0000-00003D000000}" name="Asset growth C" dataDxfId="67"/>
    <tableColumn id="62" xr3:uid="{00000000-0010-0000-0000-00003E000000}" name="Asset growth C (real terms)" dataDxfId="66">
      <calculatedColumnFormula>Table2[[#This Row],[Asset growth B]]</calculatedColumnFormula>
    </tableColumn>
    <tableColumn id="67" xr3:uid="{00000000-0010-0000-0000-000043000000}" name="Asset growth C with benefit payments deducted" dataDxfId="65"/>
    <tableColumn id="68" xr3:uid="{00000000-0010-0000-0000-000044000000}" name="Asset growth C with benefit payments deducted (real terms)" dataDxfId="64"/>
    <tableColumn id="69" xr3:uid="{00000000-0010-0000-0000-000045000000}" name="Asset growth C with benefit payments deducted (present value)" dataDxfId="63"/>
    <tableColumn id="78" xr3:uid="{00000000-0010-0000-0000-00004E000000}" name="Discount rate D" dataDxfId="62"/>
    <tableColumn id="79" xr3:uid="{00000000-0010-0000-0000-00004F000000}" name="Compounded discount rate D" dataDxfId="61"/>
    <tableColumn id="80" xr3:uid="{00000000-0010-0000-0000-000050000000}" name="Total liabilities to date, discounted by D" dataDxfId="60"/>
    <tableColumn id="81" xr3:uid="{00000000-0010-0000-0000-000051000000}" name="Asset growth D" dataDxfId="59"/>
    <tableColumn id="82" xr3:uid="{00000000-0010-0000-0000-000052000000}" name="Asset growth D (real terms)" dataDxfId="58"/>
    <tableColumn id="83" xr3:uid="{00000000-0010-0000-0000-000053000000}" name="Asset growth D with benefit payments deducted" dataDxfId="57"/>
    <tableColumn id="84" xr3:uid="{00000000-0010-0000-0000-000054000000}" name="Asset growth D with benefit payments deducted (real terms)" dataDxfId="56"/>
    <tableColumn id="85" xr3:uid="{00000000-0010-0000-0000-000055000000}" name="Asset growth D with benefit payments deducted (present value)" dataDxfId="55"/>
    <tableColumn id="70" xr3:uid="{00000000-0010-0000-0000-000046000000}" name="Discount rate E" dataDxfId="54"/>
    <tableColumn id="71" xr3:uid="{00000000-0010-0000-0000-000047000000}" name="Compounded discount rate E" dataDxfId="53"/>
    <tableColumn id="72" xr3:uid="{00000000-0010-0000-0000-000048000000}" name="Total liabilities to date, discounted by E" dataDxfId="52"/>
    <tableColumn id="73" xr3:uid="{00000000-0010-0000-0000-000049000000}" name="Asset growth E" dataDxfId="51"/>
    <tableColumn id="74" xr3:uid="{00000000-0010-0000-0000-00004A000000}" name="Asset growth E (real terms)" dataDxfId="50"/>
    <tableColumn id="75" xr3:uid="{00000000-0010-0000-0000-00004B000000}" name="Asset growth E with benefit payments deducted" dataDxfId="49"/>
    <tableColumn id="76" xr3:uid="{00000000-0010-0000-0000-00004C000000}" name="Asset growth E with benefit payments deducted (real terms)" dataDxfId="48"/>
    <tableColumn id="77" xr3:uid="{00000000-0010-0000-0000-00004D000000}" name="Asset growth E with benefit payments deducted (present value)" dataDxfId="47"/>
    <tableColumn id="20" xr3:uid="{00000000-0010-0000-0000-000014000000}" name="Discount rate F" dataDxfId="46"/>
    <tableColumn id="63" xr3:uid="{00000000-0010-0000-0000-00003F000000}" name="Compounded discount rate F" dataDxfId="45"/>
    <tableColumn id="64" xr3:uid="{00000000-0010-0000-0000-000040000000}" name="Total liabilities to date, discounted by F" dataDxfId="44"/>
    <tableColumn id="65" xr3:uid="{00000000-0010-0000-0000-000041000000}" name="Asset growth F, under the assumption of full-funding at Year 0" dataDxfId="43"/>
    <tableColumn id="30" xr3:uid="{00000000-0010-0000-0000-00001E000000}" name="Asset growth F (real terms)" dataDxfId="42"/>
    <tableColumn id="66" xr3:uid="{00000000-0010-0000-0000-000042000000}" name="Asset growth F with benefit payments deducted" dataDxfId="41"/>
    <tableColumn id="31" xr3:uid="{00000000-0010-0000-0000-00001F000000}" name="Asset growth F with benefit payments deducted (real terms)" dataDxfId="40"/>
    <tableColumn id="34" xr3:uid="{00000000-0010-0000-0000-000022000000}" name="Asset growth F with benefit payments deducted (present value)" dataDxfId="39"/>
    <tableColumn id="7" xr3:uid="{00000000-0010-0000-0000-000007000000}" name="Compounded discount rate A1/A2, from 2037" dataDxfId="38"/>
    <tableColumn id="8" xr3:uid="{00000000-0010-0000-0000-000008000000}" name="Total 2037 liabilities to date, discounted by A1/A2" dataDxfId="37"/>
    <tableColumn id="32" xr3:uid="{00000000-0010-0000-0000-000020000000}" name="Asset growth A1/A2, under assumption of full-funding on a TP basis at 2037" dataDxfId="36">
      <calculatedColumnFormula>BP108</calculatedColumnFormula>
    </tableColumn>
    <tableColumn id="47" xr3:uid="{00000000-0010-0000-0000-00002F000000}" name="Compounded discount rate B, from 2037" dataDxfId="35"/>
    <tableColumn id="58" xr3:uid="{00000000-0010-0000-0000-00003A000000}" name="Total 2037 liabilities to date, discounted by B" dataDxfId="34"/>
    <tableColumn id="104" xr3:uid="{00000000-0010-0000-0000-000068000000}" name="Compounded discount rate E, from 2037" dataDxfId="33"/>
    <tableColumn id="105" xr3:uid="{00000000-0010-0000-0000-000069000000}" name="Total 2037 liabilities to date, discounted by E" dataDxfId="32"/>
    <tableColumn id="86" xr3:uid="{00000000-0010-0000-0000-000056000000}" name="Self-sufficiency discount rate, from 2037" dataDxfId="31"/>
    <tableColumn id="92" xr3:uid="{00000000-0010-0000-0000-00005C000000}" name="Compounded self-sufficiency discount rate, from 2037" dataDxfId="30"/>
    <tableColumn id="94" xr3:uid="{00000000-0010-0000-0000-00005E000000}" name="Total 2037 self-sufficiency liabilities to date" dataDxfId="29"/>
    <tableColumn id="97" xr3:uid="{00000000-0010-0000-0000-000061000000}" name="Asset growth, under assumption of full-funding on a self-sufficiency basis at 2037" dataDxfId="28"/>
    <tableColumn id="59" xr3:uid="{00000000-0010-0000-0000-00003B000000}" name="Asset growth B, under assumption of full-funding on a TP basis at 2037" dataDxfId="27">
      <calculatedColumnFormula>BS108</calculatedColumnFormula>
    </tableColumn>
    <tableColumn id="35" xr3:uid="{00000000-0010-0000-0000-000023000000}" name="Asset growth, ongoing scheme, with November de-risking, net of contributions and payments" dataDxfId="26"/>
    <tableColumn id="36" xr3:uid="{00000000-0010-0000-0000-000024000000}" name="Asset growth, ongoing scheme, with November de-risking, net of contributions and payments (2017 value)" dataDxfId="25"/>
    <tableColumn id="98" xr3:uid="{00000000-0010-0000-0000-000062000000}" name="Asset growth, ongoing scheme, with November de-risking, net of contributions and payments (2017 real terms)" dataDxfId="24">
      <calculatedColumnFormula>Table2[[#This Row],[Asset growth, ongoing scheme, with November de-risking, net of contributions and payments]]/(1+Table2[Compounded CPI])</calculatedColumnFormula>
    </tableColumn>
    <tableColumn id="95" xr3:uid="{00000000-0010-0000-0000-00005F000000}" name="Asset growth, ongoing scheme, with September de-risking, net of contributions and payments" dataDxfId="23"/>
    <tableColumn id="96" xr3:uid="{00000000-0010-0000-0000-000060000000}" name="Asset growth, ongoing scheme, with September de-risking, net of contributions and payments (2017 value)" dataDxfId="22">
      <calculatedColumnFormula>Table2[[#This Row],[Asset growth, ongoing scheme, with September de-risking, net of contributions and payments]]/(1+Table2[Compounded discount rate A1])</calculatedColumnFormula>
    </tableColumn>
    <tableColumn id="100" xr3:uid="{00000000-0010-0000-0000-000064000000}" name="Asset growth, ongoing scheme, with September de-risking, net of contributions and payments (2017 real terms)" dataDxfId="21">
      <calculatedColumnFormula>Table2[[#This Row],[Asset growth, ongoing scheme, with September de-risking, net of contributions and payments]]/(1+Table2[Compounded CPI])</calculatedColumnFormula>
    </tableColumn>
    <tableColumn id="22" xr3:uid="{00000000-0010-0000-0000-000016000000}" name="Asset growth, ongoing scheme, no de-risking, net of contributions and payments" dataDxfId="20"/>
    <tableColumn id="101" xr3:uid="{00000000-0010-0000-0000-000065000000}" name="Asset growth, ongoing scheme, no de-risking, net of contributions and payments (2017 value)" dataDxfId="19">
      <calculatedColumnFormula>Table2[[#This Row],[Asset growth, ongoing scheme, no de-risking, net of contributions and payments]]/(1+Table2[Compounded discount rate B])</calculatedColumnFormula>
    </tableColumn>
    <tableColumn id="28" xr3:uid="{00000000-0010-0000-0000-00001C000000}" name="Asset growth, ongoing scheme, no de-risking, net of contributions and payments (2017 real terms)" dataDxfId="18">
      <calculatedColumnFormula>Table2[[#This Row],[Asset growth, ongoing scheme, no de-risking, net of contributions and payments]]/(1+Table2[Compounded CPI])</calculatedColumnFormula>
    </tableColumn>
    <tableColumn id="99" xr3:uid="{00000000-0010-0000-0000-000063000000}" name="Asset growth, ongoing scheme, best-estimates, no de-risking, net of contributions and payments " dataDxfId="17"/>
    <tableColumn id="102" xr3:uid="{00000000-0010-0000-0000-000066000000}" name="Asset growth, ongoing scheme, best-estimates, no de-risking, net of contributions and payments (2017 value)" dataDxfId="16">
      <calculatedColumnFormula>Table2[[#This Row],[Asset growth, ongoing scheme, best-estimates, no de-risking, net of contributions and payments ]]/(1+Table2[Compounded discount rate E])</calculatedColumnFormula>
    </tableColumn>
    <tableColumn id="103" xr3:uid="{00000000-0010-0000-0000-000067000000}" name="Asset growth, ongoing scheme, best-estimates, no de-risking, net of contributions and payments (2017 real terms)" dataDxfId="15">
      <calculatedColumnFormula>Table2[[#This Row],[Asset growth, ongoing scheme, best-estimates, no de-risking, net of contributions and payments ]]/(1+Table2[Compounded CPI])</calculatedColumnFormula>
    </tableColumn>
    <tableColumn id="13" xr3:uid="{00000000-0010-0000-0000-00000D000000}" name="CPI" dataDxfId="14"/>
    <tableColumn id="23" xr3:uid="{00000000-0010-0000-0000-000017000000}" name="Compounded CPI" dataDxfId="13"/>
    <tableColumn id="93" xr3:uid="{00000000-0010-0000-0000-00005D000000}" name="Long-dated forward gilt yields" dataDxfId="12"/>
    <tableColumn id="16" xr3:uid="{00000000-0010-0000-0000-000010000000}" name="Salary growth" dataDxfId="11">
      <calculatedColumnFormula>CM8+2%</calculatedColumnFormula>
    </tableColumn>
    <tableColumn id="26" xr3:uid="{00000000-0010-0000-0000-00001A000000}" name="Compounded salary growth" dataDxfId="10"/>
    <tableColumn id="14" xr3:uid="{00000000-0010-0000-0000-00000E000000}" name="Target reliance inflated with CPI" dataDxfId="9">
      <calculatedColumnFormula>CR7*(1+CM8)</calculatedColumnFormula>
    </tableColumn>
    <tableColumn id="15" xr3:uid="{00000000-0010-0000-0000-00000F000000}" name="Maximum reliance inflated with CPI" dataDxfId="8">
      <calculatedColumnFormula>CS7*(1+CM8)</calculatedColumnFormula>
    </tableColumn>
    <tableColumn id="27" xr3:uid="{00000000-0010-0000-0000-00001B000000}" name="Target reliance inflated with salary growth" dataDxfId="7">
      <calculatedColumnFormula>Table2[]</calculatedColumnFormula>
    </tableColumn>
    <tableColumn id="17" xr3:uid="{00000000-0010-0000-0000-000011000000}" name="Maximum reliance inflated with salary growth" dataDxfId="6">
      <calculatedColumnFormula>CU7*(1+CP8)</calculatedColumnFormula>
    </tableColumn>
    <tableColumn id="19" xr3:uid="{00000000-0010-0000-0000-000013000000}" name="Annual benefit payments (closed scheme)" dataDxfId="5"/>
    <tableColumn id="89" xr3:uid="{00000000-0010-0000-0000-000059000000}" name="Annual contributions (closed scheme)" dataDxfId="4"/>
    <tableColumn id="90" xr3:uid="{00000000-0010-0000-0000-00005A000000}" name="Net cashflow (closed scheme)" dataDxfId="3"/>
    <tableColumn id="87" xr3:uid="{00000000-0010-0000-0000-000057000000}" name="Annual benefit payments (ongoing scheme)" dataDxfId="2"/>
    <tableColumn id="91" xr3:uid="{00000000-0010-0000-0000-00005B000000}" name="Annual contributions (ongoing scheme)" dataDxfId="1"/>
    <tableColumn id="88" xr3:uid="{00000000-0010-0000-0000-000058000000}" name="Net cashflow (ongoing scheme)"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uss.co.uk/~/media/document-libraries/uss/how-uss-is-run/valuation/uss-summary-of-rule-761-report-april-2018-final.pdf"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uss.co.uk/~/media/document-libraries/uss/how-uss-is-run/valuation/uss-summary-of-rule-761-report-april-2018-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1"/>
  <sheetViews>
    <sheetView zoomScaleNormal="100" workbookViewId="0"/>
  </sheetViews>
  <sheetFormatPr baseColWidth="10" defaultColWidth="8.83203125" defaultRowHeight="15" x14ac:dyDescent="0.2"/>
  <cols>
    <col min="1" max="1" width="98.1640625" customWidth="1"/>
    <col min="2" max="2" width="13" customWidth="1"/>
    <col min="3" max="3" width="13.6640625" customWidth="1"/>
    <col min="4" max="4" width="17.1640625" customWidth="1"/>
    <col min="5" max="5" width="14.6640625" customWidth="1"/>
    <col min="6" max="6" width="12.83203125" customWidth="1"/>
    <col min="7" max="7" width="14.33203125" customWidth="1"/>
    <col min="8" max="8" width="12.6640625" customWidth="1"/>
    <col min="9" max="9" width="13.33203125" customWidth="1"/>
    <col min="10" max="10" width="13" customWidth="1"/>
    <col min="11" max="11" width="13.6640625" style="1" customWidth="1"/>
    <col min="12" max="12" width="13.1640625" style="1" customWidth="1"/>
    <col min="13" max="13" width="14.6640625" style="1" customWidth="1"/>
    <col min="14" max="14" width="12.83203125" style="1" customWidth="1"/>
    <col min="15" max="15" width="14.33203125" customWidth="1"/>
    <col min="16" max="16" width="12.6640625" customWidth="1"/>
    <col min="17" max="17" width="13.33203125" customWidth="1"/>
    <col min="18" max="18" width="13" customWidth="1"/>
    <col min="19" max="19" width="13.6640625" customWidth="1"/>
    <col min="20" max="20" width="10.6640625" customWidth="1"/>
    <col min="21" max="21" width="14.6640625" customWidth="1"/>
    <col min="22" max="22" width="12.83203125" customWidth="1"/>
    <col min="23" max="23" width="14.33203125" customWidth="1"/>
    <col min="24" max="24" width="12.6640625" style="1" customWidth="1"/>
    <col min="25" max="25" width="13.33203125" customWidth="1"/>
    <col min="26" max="26" width="13" customWidth="1"/>
    <col min="27" max="27" width="13.6640625" customWidth="1"/>
    <col min="28" max="28" width="10.6640625" customWidth="1"/>
    <col min="29" max="29" width="14.6640625" customWidth="1"/>
    <col min="30" max="30" width="12.83203125" customWidth="1"/>
    <col min="31" max="31" width="14.33203125" customWidth="1"/>
    <col min="32" max="32" width="12.6640625" customWidth="1"/>
    <col min="33" max="33" width="13.33203125" customWidth="1"/>
    <col min="34" max="34" width="13" customWidth="1"/>
    <col min="35" max="35" width="13.6640625" customWidth="1"/>
    <col min="36" max="36" width="10.6640625" customWidth="1"/>
    <col min="37" max="37" width="14.6640625" customWidth="1"/>
    <col min="38" max="38" width="12.83203125" customWidth="1"/>
    <col min="39" max="39" width="14.33203125" customWidth="1"/>
    <col min="40" max="40" width="12.6640625" customWidth="1"/>
    <col min="41" max="41" width="13.33203125" customWidth="1"/>
    <col min="42" max="42" width="13" customWidth="1"/>
    <col min="43" max="43" width="13.6640625" customWidth="1"/>
    <col min="44" max="44" width="10.6640625" customWidth="1"/>
    <col min="45" max="45" width="14.6640625" customWidth="1"/>
    <col min="46" max="46" width="12.83203125" customWidth="1"/>
    <col min="47" max="47" width="14.33203125" customWidth="1"/>
    <col min="48" max="48" width="12.6640625" customWidth="1"/>
    <col min="49" max="49" width="13.33203125" customWidth="1"/>
    <col min="50" max="50" width="13" customWidth="1"/>
    <col min="51" max="51" width="13.6640625" customWidth="1"/>
    <col min="52" max="52" width="12.83203125" style="17" customWidth="1"/>
    <col min="53" max="53" width="14.6640625" style="84" customWidth="1"/>
    <col min="54" max="54" width="12.83203125" style="84" customWidth="1"/>
    <col min="55" max="55" width="14.33203125" style="84" customWidth="1"/>
    <col min="56" max="56" width="12.6640625" style="84" customWidth="1"/>
    <col min="57" max="57" width="15" style="84" customWidth="1"/>
    <col min="58" max="58" width="13.6640625" style="84" customWidth="1"/>
    <col min="59" max="59" width="14.1640625" style="84" customWidth="1"/>
    <col min="60" max="60" width="18.33203125" style="84" customWidth="1"/>
    <col min="61" max="61" width="19.33203125" style="84" customWidth="1"/>
    <col min="62" max="62" width="17.1640625" style="84" customWidth="1"/>
    <col min="63" max="63" width="19.6640625" style="84" customWidth="1"/>
    <col min="64" max="64" width="20.6640625" style="84" customWidth="1"/>
    <col min="65" max="65" width="20.83203125" style="84" customWidth="1"/>
    <col min="66" max="66" width="22.33203125" customWidth="1"/>
    <col min="67" max="67" width="21" customWidth="1"/>
    <col min="68" max="68" width="14.6640625" customWidth="1"/>
    <col min="69" max="69" width="13.83203125" customWidth="1"/>
    <col min="70" max="70" width="13.1640625" customWidth="1"/>
    <col min="71" max="71" width="19.1640625" customWidth="1"/>
    <col min="72" max="72" width="13.6640625" customWidth="1"/>
    <col min="73" max="73" width="12.83203125" customWidth="1"/>
    <col min="74" max="74" width="14" customWidth="1"/>
    <col min="75" max="75" width="14.1640625" customWidth="1"/>
    <col min="76" max="76" width="13" customWidth="1"/>
    <col min="77" max="77" width="15.1640625" customWidth="1"/>
    <col min="78" max="78" width="13.1640625" customWidth="1"/>
    <col min="79" max="79" width="12.1640625" customWidth="1"/>
    <col min="80" max="80" width="13" customWidth="1"/>
    <col min="81" max="84" width="13.83203125" customWidth="1"/>
    <col min="85" max="90" width="14.83203125" customWidth="1"/>
  </cols>
  <sheetData>
    <row r="1" spans="1:68" ht="20" x14ac:dyDescent="0.25">
      <c r="A1" s="124" t="s">
        <v>114</v>
      </c>
      <c r="H1" s="1"/>
      <c r="K1"/>
      <c r="L1"/>
      <c r="M1"/>
      <c r="N1"/>
      <c r="Q1" s="1"/>
      <c r="X1"/>
    </row>
    <row r="2" spans="1:68" ht="16" x14ac:dyDescent="0.2">
      <c r="A2" s="125" t="str">
        <f>CONCATENATE("Assets as at 31 March 2017: ",'Valuation analysis'!M3,"bn")</f>
        <v>Assets as at 31 March 2017: 60bn</v>
      </c>
      <c r="C2" s="4"/>
      <c r="H2" s="1"/>
      <c r="K2"/>
      <c r="L2"/>
      <c r="M2"/>
      <c r="N2"/>
      <c r="Q2" s="1"/>
      <c r="X2"/>
    </row>
    <row r="3" spans="1:68" ht="16" x14ac:dyDescent="0.2">
      <c r="A3" s="129" t="s">
        <v>146</v>
      </c>
      <c r="H3" s="1"/>
      <c r="K3"/>
      <c r="L3"/>
      <c r="M3"/>
      <c r="N3"/>
      <c r="Q3" s="1"/>
      <c r="X3"/>
      <c r="BP3" s="85"/>
    </row>
    <row r="4" spans="1:68" ht="19" x14ac:dyDescent="0.25">
      <c r="A4" s="124"/>
      <c r="H4" s="1"/>
      <c r="K4"/>
      <c r="L4"/>
      <c r="M4"/>
      <c r="N4"/>
      <c r="Q4" s="1"/>
      <c r="X4"/>
      <c r="BP4" s="85"/>
    </row>
    <row r="5" spans="1:68" ht="32" x14ac:dyDescent="0.2">
      <c r="A5" s="126" t="s">
        <v>136</v>
      </c>
      <c r="H5" s="1"/>
      <c r="K5"/>
      <c r="L5"/>
      <c r="M5"/>
      <c r="N5"/>
      <c r="Q5" s="1"/>
      <c r="X5"/>
      <c r="BP5" s="85"/>
    </row>
    <row r="6" spans="1:68" x14ac:dyDescent="0.2">
      <c r="A6" s="126"/>
      <c r="H6" s="1"/>
      <c r="K6"/>
      <c r="L6"/>
      <c r="M6"/>
      <c r="N6"/>
      <c r="Q6" s="1"/>
      <c r="X6"/>
      <c r="BP6" s="85"/>
    </row>
    <row r="7" spans="1:68" ht="48" x14ac:dyDescent="0.2">
      <c r="A7" s="126" t="s">
        <v>137</v>
      </c>
      <c r="H7" s="1"/>
      <c r="K7"/>
      <c r="L7"/>
      <c r="M7"/>
      <c r="N7"/>
      <c r="Q7" s="1"/>
      <c r="X7"/>
      <c r="BP7" s="85"/>
    </row>
    <row r="8" spans="1:68" x14ac:dyDescent="0.2">
      <c r="A8" s="126"/>
      <c r="H8" s="1"/>
      <c r="K8"/>
      <c r="L8"/>
      <c r="M8"/>
      <c r="N8"/>
      <c r="Q8" s="1"/>
      <c r="X8"/>
      <c r="BP8" s="85"/>
    </row>
    <row r="9" spans="1:68" ht="16" x14ac:dyDescent="0.2">
      <c r="A9" s="125" t="str">
        <f>CONCATENATE("Surplus/deficit under September assumptions: ",ROUND('Valuation analysis'!M3-'Valuation analysis'!M144,1),"bn"," (cf -5.1bn)")</f>
        <v>Surplus/deficit under September assumptions: -4.9bn (cf -5.1bn)</v>
      </c>
      <c r="B9" s="6"/>
      <c r="C9" s="6"/>
      <c r="D9" s="81"/>
      <c r="H9" s="1"/>
      <c r="K9"/>
      <c r="L9"/>
      <c r="M9"/>
      <c r="N9"/>
      <c r="Q9" s="1"/>
      <c r="X9"/>
    </row>
    <row r="10" spans="1:68" ht="16" x14ac:dyDescent="0.2">
      <c r="A10" s="125" t="str">
        <f>CONCATENATE("Surplus/deficit under November assumptions: ",ROUND('Valuation analysis'!M3-'Valuation analysis'!U144,1),"bn", " (cf -7.5bn)")</f>
        <v>Surplus/deficit under November assumptions: -7.5bn (cf -7.5bn)</v>
      </c>
      <c r="B10" s="6"/>
      <c r="C10" s="6"/>
      <c r="D10" s="81"/>
      <c r="H10" s="1"/>
      <c r="K10"/>
      <c r="L10"/>
      <c r="M10"/>
      <c r="N10"/>
      <c r="Q10" s="1"/>
      <c r="X10"/>
    </row>
    <row r="11" spans="1:68" ht="16" x14ac:dyDescent="0.2">
      <c r="A11" s="125" t="str">
        <f>CONCATENATE("Surplus/deficit under no de-risking: ",ROUND('Valuation analysis'!M3-'Valuation analysis'!AC144,1),"bn"," (cf -0.5bn)")</f>
        <v>Surplus/deficit under no de-risking: -0.4bn (cf -0.5bn)</v>
      </c>
      <c r="B11" s="6"/>
      <c r="C11" s="6"/>
      <c r="D11" s="81"/>
      <c r="H11" s="1"/>
      <c r="K11"/>
      <c r="L11"/>
      <c r="M11"/>
      <c r="N11"/>
      <c r="Q11" s="1"/>
      <c r="X11"/>
    </row>
    <row r="12" spans="1:68" x14ac:dyDescent="0.2">
      <c r="A12" s="125"/>
      <c r="B12" s="6"/>
      <c r="C12" s="6"/>
      <c r="D12" s="81"/>
      <c r="H12" s="1"/>
      <c r="K12"/>
      <c r="L12"/>
      <c r="M12"/>
      <c r="N12"/>
      <c r="Q12" s="1"/>
      <c r="X12"/>
    </row>
    <row r="13" spans="1:68" ht="48" x14ac:dyDescent="0.2">
      <c r="A13" s="126" t="s">
        <v>139</v>
      </c>
      <c r="B13" s="6"/>
      <c r="C13" s="6"/>
      <c r="D13" s="81"/>
      <c r="H13" s="1"/>
      <c r="K13"/>
      <c r="L13"/>
      <c r="M13"/>
      <c r="N13"/>
      <c r="Q13" s="1"/>
      <c r="X13"/>
    </row>
    <row r="14" spans="1:68" x14ac:dyDescent="0.2">
      <c r="A14" s="127"/>
      <c r="H14" s="1"/>
      <c r="K14"/>
      <c r="L14"/>
      <c r="M14"/>
      <c r="N14"/>
      <c r="Q14" s="1"/>
      <c r="X14"/>
    </row>
    <row r="15" spans="1:68" ht="16" x14ac:dyDescent="0.2">
      <c r="A15" s="125" t="str">
        <f>CONCATENATE("Surplus/deficit under September best-estimate assumptions: ",ROUND('Valuation analysis'!M3-'Valuation analysis'!AK144,1),"bn"," (cf 8.3bn)")</f>
        <v>Surplus/deficit under September best-estimate assumptions: 7.6bn (cf 8.3bn)</v>
      </c>
    </row>
    <row r="16" spans="1:68" ht="16" x14ac:dyDescent="0.2">
      <c r="A16" s="125" t="str">
        <f>CONCATENATE("Surplus/deficit under November best-estimate assumptions: ",ROUND('Valuation analysis'!M3-'Valuation analysis'!AS144,1),"bn"," (cf 5.2bn)")</f>
        <v>Surplus/deficit under November best-estimate assumptions: 5.1bn (cf 5.2bn)</v>
      </c>
    </row>
    <row r="17" spans="1:1" ht="16" x14ac:dyDescent="0.2">
      <c r="A17" s="125" t="str">
        <f>CONCATENATE("Surplus/deficit under best estimate, no de-risking: ",ROUND('Valuation analysis'!M3-'Valuation analysis'!BA144,1),"bn"," (no comparator)")</f>
        <v>Surplus/deficit under best estimate, no de-risking: 11.7bn (no comparator)</v>
      </c>
    </row>
    <row r="18" spans="1:1" x14ac:dyDescent="0.2">
      <c r="A18" s="125"/>
    </row>
    <row r="19" spans="1:1" ht="48" x14ac:dyDescent="0.2">
      <c r="A19" s="126" t="s">
        <v>138</v>
      </c>
    </row>
    <row r="20" spans="1:1" x14ac:dyDescent="0.2">
      <c r="A20" s="127"/>
    </row>
    <row r="21" spans="1:1" x14ac:dyDescent="0.2">
      <c r="A21" s="128" t="str">
        <f>CONCATENATE("Year 20 projected surplus/deficit under September assumptions (real terms): ",ROUND('Valuation analysis'!$CF$44-'Valuation analysis'!$BQ$44/(1+'Valuation analysis'!$CN$44),1),"bn (",ROUND('Valuation analysis'!$CF$44,1),"bn assets less ",ROUND('Valuation analysis'!$BQ$44/(1+'Valuation analysis'!$CN$44),1),"bn liabilities)")</f>
        <v>Year 20 projected surplus/deficit under September assumptions (real terms): 3.4bn (74.6bn assets less 71.2bn liabilities)</v>
      </c>
    </row>
    <row r="22" spans="1:1" x14ac:dyDescent="0.2">
      <c r="A22" s="128" t="str">
        <f>CONCATENATE("Year 20 projected surplus/deficit under November assumptions (real terms): ",ROUND('Valuation analysis'!CC44-'Valuation analysis'!BQ44/(1+'Valuation analysis'!CN44),1),"bn (",ROUND('Valuation analysis'!CC44,1),"bn assets less ",ROUND('Valuation analysis'!BQ44/(1+'Valuation analysis'!CN44),1),"bn liabilities)")</f>
        <v>Year 20 projected surplus/deficit under November assumptions (real terms): -0.2bn (71bn assets less 71.2bn liabilities)</v>
      </c>
    </row>
    <row r="23" spans="1:1" x14ac:dyDescent="0.2">
      <c r="A23" s="128" t="str">
        <f>CONCATENATE("Year 20 projected surplus/deficit under no de-risking (real terms): ",ROUND('Valuation analysis'!CI44-'Valuation analysis'!BS144/(1+'Valuation analysis'!CN44),1),"bn (",ROUND('Valuation analysis'!CI44,1),"bn assets less ",ROUND('Valuation analysis'!BS144/(1+'Valuation analysis'!CN44),1),"bn liabilities)")</f>
        <v>Year 20 projected surplus/deficit under no de-risking (real terms): 19bn (78.2bn assets less 59.2bn liabilities)</v>
      </c>
    </row>
    <row r="24" spans="1:1" x14ac:dyDescent="0.2">
      <c r="A24" s="128" t="str">
        <f>CONCATENATE("Year 20 projected surplus/deficit under no de-risking (real terms, best-estimate): ",ROUND('Valuation analysis'!CL44-'Valuation analysis'!BU144/(1+'Valuation analysis'!CN44),1),"bn (",ROUND('Valuation analysis'!CL44,1),"bn assets less ",ROUND('Valuation analysis'!BU144/(1+'Valuation analysis'!CN44),1),"bn liabilities)")</f>
        <v>Year 20 projected surplus/deficit under no de-risking (real terms, best-estimate): 51.6bn (101bn assets less 49.5bn liabilities)</v>
      </c>
    </row>
    <row r="25" spans="1:1" x14ac:dyDescent="0.2">
      <c r="A25" s="125"/>
    </row>
    <row r="26" spans="1:1" ht="80" x14ac:dyDescent="0.2">
      <c r="A26" s="126" t="s">
        <v>140</v>
      </c>
    </row>
    <row r="27" spans="1:1" x14ac:dyDescent="0.2">
      <c r="A27" s="127"/>
    </row>
    <row r="28" spans="1:1" x14ac:dyDescent="0.2">
      <c r="A28" s="128" t="str">
        <f>CONCATENATE("Year 20 projected reliance on covenant under September assumptions and current contributions (real terms): ",ROUND('Valuation analysis'!$BY$44/(1+'Valuation analysis'!$CN$44)-'Valuation analysis'!$CF$44,1),"bn (",ROUND('Valuation analysis'!$CF$44,1),"bn assets vs ",ROUND('Valuation analysis'!$BY$44/(1+'Valuation analysis'!$CN$44),1),"bn self-sufficiency liabilities)")</f>
        <v>Year 20 projected reliance on covenant under September assumptions and current contributions (real terms): 6.4bn (74.6bn assets vs 81bn self-sufficiency liabilities)</v>
      </c>
    </row>
    <row r="29" spans="1:1" x14ac:dyDescent="0.2">
      <c r="A29" s="128" t="str">
        <f>CONCATENATE("Year 20 projected reliance on covenant under November assumptions and current contributions (real terms): ",ROUND('Valuation analysis'!$BY$44/(1+'Valuation analysis'!$CN$44)-'Valuation analysis'!$CC$44,1),"bn (",ROUND('Valuation analysis'!$CC$44,1),"bn assets vs ",ROUND('Valuation analysis'!$BY$44/(1+'Valuation analysis'!$CN$44),1),"bn self-sufficiency liabilities)")</f>
        <v>Year 20 projected reliance on covenant under November assumptions and current contributions (real terms): 10bn (71bn assets vs 81bn self-sufficiency liabilities)</v>
      </c>
    </row>
    <row r="30" spans="1:1" x14ac:dyDescent="0.2">
      <c r="A30" s="128" t="str">
        <f>CONCATENATE("Year 20 projected reliance on covenant under no de-risking and current contributions (real terms): ",ROUND('Valuation analysis'!$BY$44/(1+'Valuation analysis'!$CN$44)-'Valuation analysis'!$CI$44,1),"bn (",ROUND('Valuation analysis'!$CI$44,1),"bn assets vs ",ROUND('Valuation analysis'!$BY$44/(1+'Valuation analysis'!$CN$44),1),"bn self-sufficiency liabilities)")</f>
        <v>Year 20 projected reliance on covenant under no de-risking and current contributions (real terms): 2.9bn (78.2bn assets vs 81bn self-sufficiency liabilities)</v>
      </c>
    </row>
    <row r="31" spans="1:1" x14ac:dyDescent="0.2">
      <c r="A31" s="128" t="str">
        <f>CONCATENATE("Year 20 projected reliance on covenant under no de-risking and current contributions (real terms): ",ROUND('Valuation analysis'!$BY$44/(1+'Valuation analysis'!$CN$44)-'Valuation analysis'!$CL$44,1),"bn (",ROUND('Valuation analysis'!$CL$44,1),"bn assets vs ",ROUND('Valuation analysis'!$BY$44/(1+'Valuation analysis'!$CN$44),1),"bn self-sufficiency liabilities)")</f>
        <v>Year 20 projected reliance on covenant under no de-risking and current contributions (real terms): -20bn (101bn assets vs 81bn self-sufficiency liabilities)</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Y144"/>
  <sheetViews>
    <sheetView zoomScale="80" zoomScaleNormal="80" workbookViewId="0">
      <pane xSplit="1" ySplit="7" topLeftCell="K111" activePane="bottomRight" state="frozen"/>
      <selection pane="topRight" activeCell="B1" sqref="B1"/>
      <selection pane="bottomLeft" activeCell="A7" sqref="A7"/>
      <selection pane="bottomRight"/>
    </sheetView>
  </sheetViews>
  <sheetFormatPr baseColWidth="10" defaultColWidth="8.83203125" defaultRowHeight="15" x14ac:dyDescent="0.2"/>
  <cols>
    <col min="1" max="1" width="9.33203125" style="7" customWidth="1"/>
    <col min="2" max="2" width="11.33203125" style="1" hidden="1" customWidth="1"/>
    <col min="3" max="3" width="15.33203125" style="1" hidden="1" customWidth="1"/>
    <col min="4" max="4" width="11.1640625" style="1" hidden="1" customWidth="1"/>
    <col min="5" max="5" width="14.6640625" style="6" hidden="1" customWidth="1"/>
    <col min="6" max="6" width="15" style="1" hidden="1" customWidth="1"/>
    <col min="7" max="7" width="12" style="1" hidden="1" customWidth="1"/>
    <col min="8" max="8" width="13" hidden="1" customWidth="1"/>
    <col min="9" max="9" width="12" style="1" hidden="1" customWidth="1"/>
    <col min="10" max="10" width="9.33203125" style="1" hidden="1" customWidth="1"/>
    <col min="11" max="11" width="13.33203125" customWidth="1"/>
    <col min="12" max="12" width="13" customWidth="1"/>
    <col min="13" max="13" width="13.6640625" customWidth="1"/>
    <col min="14" max="14" width="17.1640625" customWidth="1"/>
    <col min="15" max="15" width="14.6640625" customWidth="1"/>
    <col min="16" max="16" width="12.83203125" customWidth="1"/>
    <col min="17" max="17" width="14.33203125" customWidth="1"/>
    <col min="18" max="18" width="12.6640625" customWidth="1"/>
    <col min="19" max="19" width="13.33203125" customWidth="1"/>
    <col min="20" max="20" width="13" customWidth="1"/>
    <col min="21" max="21" width="13.6640625" style="1" customWidth="1"/>
    <col min="22" max="22" width="13.1640625" style="1" customWidth="1"/>
    <col min="23" max="23" width="14.6640625" style="1" customWidth="1"/>
    <col min="24" max="24" width="12.83203125" style="1" customWidth="1"/>
    <col min="25" max="25" width="14.33203125" customWidth="1"/>
    <col min="26" max="26" width="12.6640625" customWidth="1"/>
    <col min="27" max="27" width="13.33203125" customWidth="1"/>
    <col min="28" max="28" width="13" customWidth="1"/>
    <col min="29" max="29" width="13.6640625" customWidth="1"/>
    <col min="30" max="30" width="10.6640625" customWidth="1"/>
    <col min="31" max="31" width="14.6640625" customWidth="1"/>
    <col min="32" max="32" width="12.83203125" customWidth="1"/>
    <col min="33" max="33" width="14.33203125" customWidth="1"/>
    <col min="34" max="34" width="12.6640625" style="1" customWidth="1"/>
    <col min="35" max="35" width="13.33203125" customWidth="1"/>
    <col min="36" max="36" width="13" customWidth="1"/>
    <col min="37" max="37" width="13.6640625" customWidth="1"/>
    <col min="38" max="38" width="10.6640625" customWidth="1"/>
    <col min="39" max="39" width="14.6640625" customWidth="1"/>
    <col min="40" max="40" width="12.83203125" customWidth="1"/>
    <col min="41" max="41" width="14.33203125" customWidth="1"/>
    <col min="42" max="42" width="12.6640625" customWidth="1"/>
    <col min="43" max="43" width="13.33203125" customWidth="1"/>
    <col min="44" max="44" width="13" customWidth="1"/>
    <col min="45" max="45" width="13.6640625" customWidth="1"/>
    <col min="46" max="46" width="10.6640625" customWidth="1"/>
    <col min="47" max="47" width="14.6640625" customWidth="1"/>
    <col min="48" max="48" width="12.83203125" customWidth="1"/>
    <col min="49" max="49" width="14.33203125" customWidth="1"/>
    <col min="50" max="50" width="12.6640625" customWidth="1"/>
    <col min="51" max="51" width="13.33203125" customWidth="1"/>
    <col min="52" max="52" width="13" customWidth="1"/>
    <col min="53" max="53" width="13.6640625" customWidth="1"/>
    <col min="54" max="54" width="10.6640625" customWidth="1"/>
    <col min="55" max="55" width="14.6640625" customWidth="1"/>
    <col min="56" max="56" width="12.83203125" customWidth="1"/>
    <col min="57" max="57" width="14.33203125" customWidth="1"/>
    <col min="58" max="58" width="12.6640625" customWidth="1"/>
    <col min="59" max="59" width="13.33203125" customWidth="1"/>
    <col min="60" max="60" width="13" customWidth="1"/>
    <col min="61" max="61" width="13.6640625" customWidth="1"/>
    <col min="62" max="62" width="12.83203125" style="17" customWidth="1"/>
    <col min="63" max="63" width="14.6640625" style="84" customWidth="1"/>
    <col min="64" max="64" width="12.83203125" style="84" customWidth="1"/>
    <col min="65" max="65" width="14.33203125" style="84" customWidth="1"/>
    <col min="66" max="66" width="12.6640625" style="84" customWidth="1"/>
    <col min="67" max="67" width="15" style="84" customWidth="1"/>
    <col min="68" max="68" width="13.6640625" style="84" customWidth="1"/>
    <col min="69" max="69" width="14.1640625" style="84" customWidth="1"/>
    <col min="70" max="70" width="18.33203125" style="84" customWidth="1"/>
    <col min="71" max="71" width="19.33203125" style="84" customWidth="1"/>
    <col min="72" max="72" width="17.1640625" style="84" customWidth="1"/>
    <col min="73" max="73" width="19.6640625" style="84" customWidth="1"/>
    <col min="74" max="74" width="20.6640625" style="84" customWidth="1"/>
    <col min="75" max="75" width="20.83203125" style="84" customWidth="1"/>
    <col min="76" max="76" width="22.33203125" customWidth="1"/>
    <col min="77" max="77" width="21" customWidth="1"/>
    <col min="78" max="78" width="14.6640625" customWidth="1"/>
    <col min="79" max="79" width="13.83203125" customWidth="1"/>
    <col min="80" max="80" width="13.1640625" customWidth="1"/>
    <col min="81" max="81" width="19.1640625" customWidth="1"/>
    <col min="82" max="82" width="13.6640625" customWidth="1"/>
    <col min="83" max="83" width="12.83203125" customWidth="1"/>
    <col min="84" max="84" width="14" customWidth="1"/>
    <col min="85" max="85" width="14.1640625" customWidth="1"/>
    <col min="86" max="86" width="13" customWidth="1"/>
    <col min="87" max="87" width="15.1640625" customWidth="1"/>
    <col min="88" max="88" width="13.1640625" customWidth="1"/>
    <col min="89" max="89" width="12.1640625" customWidth="1"/>
    <col min="90" max="90" width="13" customWidth="1"/>
    <col min="91" max="94" width="13.83203125" customWidth="1"/>
    <col min="95" max="100" width="14.83203125" customWidth="1"/>
  </cols>
  <sheetData>
    <row r="1" spans="1:128" ht="19" x14ac:dyDescent="0.25">
      <c r="K1" s="22" t="s">
        <v>114</v>
      </c>
      <c r="R1" s="1"/>
      <c r="U1"/>
      <c r="V1"/>
      <c r="W1"/>
      <c r="X1"/>
      <c r="AA1" s="1"/>
      <c r="AH1"/>
    </row>
    <row r="2" spans="1:128" ht="19" x14ac:dyDescent="0.25">
      <c r="K2" s="22" t="s">
        <v>4</v>
      </c>
      <c r="R2" s="1"/>
      <c r="U2"/>
      <c r="V2"/>
      <c r="W2"/>
      <c r="X2"/>
      <c r="AA2" s="1"/>
      <c r="AH2"/>
    </row>
    <row r="3" spans="1:128" x14ac:dyDescent="0.2">
      <c r="K3" s="6" t="s">
        <v>50</v>
      </c>
      <c r="M3" s="4">
        <v>60</v>
      </c>
      <c r="R3" s="1"/>
      <c r="U3"/>
      <c r="V3"/>
      <c r="W3"/>
      <c r="X3"/>
      <c r="AA3" s="1"/>
      <c r="AH3"/>
    </row>
    <row r="4" spans="1:128" ht="19" x14ac:dyDescent="0.25">
      <c r="K4" s="22"/>
      <c r="R4" s="1"/>
      <c r="U4"/>
      <c r="V4"/>
      <c r="W4"/>
      <c r="X4"/>
      <c r="AA4" s="1"/>
      <c r="AH4"/>
      <c r="BZ4" s="85"/>
    </row>
    <row r="5" spans="1:128" ht="16" thickBot="1" x14ac:dyDescent="0.25">
      <c r="A5" s="4"/>
      <c r="R5" s="1"/>
      <c r="U5"/>
      <c r="V5"/>
      <c r="W5"/>
      <c r="X5"/>
      <c r="AA5" s="1"/>
      <c r="AH5"/>
    </row>
    <row r="6" spans="1:128" s="42" customFormat="1" ht="35" customHeight="1" thickTop="1" thickBot="1" x14ac:dyDescent="0.25">
      <c r="A6" s="41"/>
      <c r="B6" s="135" t="s">
        <v>26</v>
      </c>
      <c r="C6" s="136"/>
      <c r="D6" s="137"/>
      <c r="E6" s="138" t="s">
        <v>31</v>
      </c>
      <c r="F6" s="136"/>
      <c r="G6" s="136"/>
      <c r="H6" s="136"/>
      <c r="I6" s="136"/>
      <c r="J6" s="137"/>
      <c r="K6" s="135" t="s">
        <v>32</v>
      </c>
      <c r="L6" s="136"/>
      <c r="M6" s="136"/>
      <c r="N6" s="136"/>
      <c r="O6" s="136"/>
      <c r="P6" s="136"/>
      <c r="Q6" s="136"/>
      <c r="R6" s="137"/>
      <c r="S6" s="135" t="s">
        <v>33</v>
      </c>
      <c r="T6" s="139"/>
      <c r="U6" s="139"/>
      <c r="V6" s="139"/>
      <c r="W6" s="139"/>
      <c r="X6" s="139"/>
      <c r="Y6" s="139"/>
      <c r="Z6" s="140"/>
      <c r="AA6" s="135" t="s">
        <v>8</v>
      </c>
      <c r="AB6" s="136"/>
      <c r="AC6" s="136"/>
      <c r="AD6" s="136"/>
      <c r="AE6" s="136"/>
      <c r="AF6" s="136"/>
      <c r="AG6" s="136"/>
      <c r="AH6" s="137"/>
      <c r="AI6" s="135" t="s">
        <v>59</v>
      </c>
      <c r="AJ6" s="139"/>
      <c r="AK6" s="139"/>
      <c r="AL6" s="139"/>
      <c r="AM6" s="139"/>
      <c r="AN6" s="139"/>
      <c r="AO6" s="139"/>
      <c r="AP6" s="140"/>
      <c r="AQ6" s="135" t="s">
        <v>60</v>
      </c>
      <c r="AR6" s="139"/>
      <c r="AS6" s="139"/>
      <c r="AT6" s="139"/>
      <c r="AU6" s="139"/>
      <c r="AV6" s="139"/>
      <c r="AW6" s="139"/>
      <c r="AX6" s="140"/>
      <c r="AY6" s="135" t="s">
        <v>61</v>
      </c>
      <c r="AZ6" s="139"/>
      <c r="BA6" s="139"/>
      <c r="BB6" s="139"/>
      <c r="BC6" s="139"/>
      <c r="BD6" s="139"/>
      <c r="BE6" s="139"/>
      <c r="BF6" s="140"/>
      <c r="BG6" s="135" t="s">
        <v>121</v>
      </c>
      <c r="BH6" s="136"/>
      <c r="BI6" s="136"/>
      <c r="BJ6" s="136"/>
      <c r="BK6" s="136"/>
      <c r="BL6" s="136"/>
      <c r="BM6" s="136"/>
      <c r="BN6" s="137"/>
      <c r="BO6" s="135" t="s">
        <v>109</v>
      </c>
      <c r="BP6" s="136"/>
      <c r="BQ6" s="136"/>
      <c r="BR6" s="136"/>
      <c r="BS6" s="136"/>
      <c r="BT6" s="136"/>
      <c r="BU6" s="136"/>
      <c r="BV6" s="136"/>
      <c r="BW6" s="136"/>
      <c r="BX6" s="136"/>
      <c r="BY6" s="136"/>
      <c r="BZ6" s="136"/>
      <c r="CA6" s="136"/>
      <c r="CB6" s="136"/>
      <c r="CC6" s="136"/>
      <c r="CD6" s="136"/>
      <c r="CE6" s="136"/>
      <c r="CF6" s="136"/>
      <c r="CG6" s="136"/>
      <c r="CH6" s="136"/>
      <c r="CI6" s="136"/>
      <c r="CJ6" s="136"/>
      <c r="CK6" s="136"/>
      <c r="CL6" s="137"/>
      <c r="CM6" s="130" t="s">
        <v>9</v>
      </c>
      <c r="CN6" s="131"/>
      <c r="CO6" s="131"/>
      <c r="CP6" s="131"/>
      <c r="CQ6" s="132"/>
      <c r="CR6" s="130" t="s">
        <v>10</v>
      </c>
      <c r="CS6" s="131"/>
      <c r="CT6" s="131"/>
      <c r="CU6" s="132"/>
      <c r="CV6" s="130" t="s">
        <v>45</v>
      </c>
      <c r="CW6" s="133"/>
      <c r="CX6" s="133"/>
      <c r="CY6" s="133"/>
      <c r="CZ6" s="133"/>
      <c r="DA6" s="134"/>
      <c r="DB6" s="84"/>
      <c r="DC6" s="84"/>
      <c r="DD6" s="84"/>
      <c r="DE6" s="84"/>
      <c r="DF6" s="84"/>
      <c r="DG6" s="84"/>
      <c r="DH6" s="84"/>
      <c r="DI6" s="84"/>
      <c r="DJ6" s="84"/>
      <c r="DK6" s="84"/>
      <c r="DL6" s="84"/>
      <c r="DM6" s="84"/>
      <c r="DN6" s="84"/>
      <c r="DO6" s="84"/>
      <c r="DP6" s="84"/>
      <c r="DQ6" s="84"/>
      <c r="DR6" s="84"/>
      <c r="DS6" s="84"/>
    </row>
    <row r="7" spans="1:128" s="3" customFormat="1" ht="162" thickTop="1" thickBot="1" x14ac:dyDescent="0.25">
      <c r="A7" s="12" t="s">
        <v>0</v>
      </c>
      <c r="B7" s="13" t="s">
        <v>27</v>
      </c>
      <c r="C7" s="13" t="s">
        <v>28</v>
      </c>
      <c r="D7" s="13" t="s">
        <v>29</v>
      </c>
      <c r="E7" s="14" t="s">
        <v>34</v>
      </c>
      <c r="F7" s="13" t="s">
        <v>35</v>
      </c>
      <c r="G7" s="13" t="s">
        <v>24</v>
      </c>
      <c r="H7" s="13" t="s">
        <v>23</v>
      </c>
      <c r="I7" s="13" t="s">
        <v>25</v>
      </c>
      <c r="J7" s="13" t="s">
        <v>30</v>
      </c>
      <c r="K7" s="14" t="s">
        <v>17</v>
      </c>
      <c r="L7" s="13" t="s">
        <v>19</v>
      </c>
      <c r="M7" s="13" t="s">
        <v>56</v>
      </c>
      <c r="N7" s="86" t="s">
        <v>91</v>
      </c>
      <c r="O7" s="13" t="s">
        <v>20</v>
      </c>
      <c r="P7" s="13" t="s">
        <v>36</v>
      </c>
      <c r="Q7" s="13" t="s">
        <v>40</v>
      </c>
      <c r="R7" s="13" t="s">
        <v>41</v>
      </c>
      <c r="S7" s="14" t="s">
        <v>16</v>
      </c>
      <c r="T7" s="13" t="s">
        <v>18</v>
      </c>
      <c r="U7" s="13" t="s">
        <v>55</v>
      </c>
      <c r="V7" s="87" t="s">
        <v>92</v>
      </c>
      <c r="W7" s="13" t="s">
        <v>21</v>
      </c>
      <c r="X7" s="13" t="s">
        <v>37</v>
      </c>
      <c r="Y7" s="13" t="s">
        <v>39</v>
      </c>
      <c r="Z7" s="13" t="s">
        <v>42</v>
      </c>
      <c r="AA7" s="39" t="s">
        <v>6</v>
      </c>
      <c r="AB7" s="38" t="s">
        <v>54</v>
      </c>
      <c r="AC7" s="13" t="s">
        <v>57</v>
      </c>
      <c r="AD7" s="38" t="s">
        <v>7</v>
      </c>
      <c r="AE7" s="38" t="s">
        <v>22</v>
      </c>
      <c r="AF7" s="13" t="s">
        <v>38</v>
      </c>
      <c r="AG7" s="13" t="s">
        <v>43</v>
      </c>
      <c r="AH7" s="12" t="s">
        <v>44</v>
      </c>
      <c r="AI7" s="39" t="s">
        <v>46</v>
      </c>
      <c r="AJ7" s="38" t="s">
        <v>47</v>
      </c>
      <c r="AK7" s="13" t="s">
        <v>58</v>
      </c>
      <c r="AL7" s="38" t="s">
        <v>48</v>
      </c>
      <c r="AM7" s="38" t="s">
        <v>49</v>
      </c>
      <c r="AN7" s="13" t="s">
        <v>51</v>
      </c>
      <c r="AO7" s="13" t="s">
        <v>52</v>
      </c>
      <c r="AP7" s="12" t="s">
        <v>53</v>
      </c>
      <c r="AQ7" s="39" t="s">
        <v>69</v>
      </c>
      <c r="AR7" s="38" t="s">
        <v>70</v>
      </c>
      <c r="AS7" s="13" t="s">
        <v>71</v>
      </c>
      <c r="AT7" s="38" t="s">
        <v>72</v>
      </c>
      <c r="AU7" s="38" t="s">
        <v>73</v>
      </c>
      <c r="AV7" s="13" t="s">
        <v>74</v>
      </c>
      <c r="AW7" s="13" t="s">
        <v>76</v>
      </c>
      <c r="AX7" s="12" t="s">
        <v>75</v>
      </c>
      <c r="AY7" s="39" t="s">
        <v>77</v>
      </c>
      <c r="AZ7" s="38" t="s">
        <v>78</v>
      </c>
      <c r="BA7" s="13" t="s">
        <v>79</v>
      </c>
      <c r="BB7" s="38" t="s">
        <v>80</v>
      </c>
      <c r="BC7" s="38" t="s">
        <v>81</v>
      </c>
      <c r="BD7" s="13" t="s">
        <v>82</v>
      </c>
      <c r="BE7" s="13" t="s">
        <v>83</v>
      </c>
      <c r="BF7" s="12" t="s">
        <v>84</v>
      </c>
      <c r="BG7" s="39" t="s">
        <v>62</v>
      </c>
      <c r="BH7" s="13" t="s">
        <v>63</v>
      </c>
      <c r="BI7" s="13" t="s">
        <v>64</v>
      </c>
      <c r="BJ7" s="88" t="s">
        <v>93</v>
      </c>
      <c r="BK7" s="13" t="s">
        <v>65</v>
      </c>
      <c r="BL7" s="13" t="s">
        <v>66</v>
      </c>
      <c r="BM7" s="13" t="s">
        <v>67</v>
      </c>
      <c r="BN7" s="12" t="s">
        <v>68</v>
      </c>
      <c r="BO7" s="88" t="s">
        <v>122</v>
      </c>
      <c r="BP7" s="88" t="s">
        <v>123</v>
      </c>
      <c r="BQ7" s="88" t="s">
        <v>124</v>
      </c>
      <c r="BR7" s="88" t="s">
        <v>111</v>
      </c>
      <c r="BS7" s="88" t="s">
        <v>112</v>
      </c>
      <c r="BT7" s="88" t="s">
        <v>144</v>
      </c>
      <c r="BU7" s="88" t="s">
        <v>145</v>
      </c>
      <c r="BV7" s="88" t="s">
        <v>129</v>
      </c>
      <c r="BW7" s="88" t="s">
        <v>130</v>
      </c>
      <c r="BX7" s="88" t="s">
        <v>131</v>
      </c>
      <c r="BY7" s="88" t="s">
        <v>132</v>
      </c>
      <c r="BZ7" s="88" t="s">
        <v>113</v>
      </c>
      <c r="CA7" s="88" t="s">
        <v>125</v>
      </c>
      <c r="CB7" s="88" t="s">
        <v>126</v>
      </c>
      <c r="CC7" s="88" t="s">
        <v>133</v>
      </c>
      <c r="CD7" s="88" t="s">
        <v>127</v>
      </c>
      <c r="CE7" s="88" t="s">
        <v>128</v>
      </c>
      <c r="CF7" s="88" t="s">
        <v>134</v>
      </c>
      <c r="CG7" s="88" t="s">
        <v>108</v>
      </c>
      <c r="CH7" s="88" t="s">
        <v>110</v>
      </c>
      <c r="CI7" s="88" t="s">
        <v>135</v>
      </c>
      <c r="CJ7" s="88" t="s">
        <v>141</v>
      </c>
      <c r="CK7" s="88" t="s">
        <v>143</v>
      </c>
      <c r="CL7" s="12" t="s">
        <v>142</v>
      </c>
      <c r="CM7" s="14" t="s">
        <v>1</v>
      </c>
      <c r="CN7" s="13" t="s">
        <v>11</v>
      </c>
      <c r="CO7" s="88" t="s">
        <v>115</v>
      </c>
      <c r="CP7" s="23" t="s">
        <v>3</v>
      </c>
      <c r="CQ7" s="24" t="s">
        <v>12</v>
      </c>
      <c r="CR7" s="14" t="s">
        <v>14</v>
      </c>
      <c r="CS7" s="13" t="s">
        <v>15</v>
      </c>
      <c r="CT7" s="13" t="s">
        <v>13</v>
      </c>
      <c r="CU7" s="12" t="s">
        <v>5</v>
      </c>
      <c r="CV7" s="64" t="s">
        <v>87</v>
      </c>
      <c r="CW7" s="13" t="s">
        <v>88</v>
      </c>
      <c r="CX7" s="13" t="s">
        <v>89</v>
      </c>
      <c r="CY7" s="13" t="s">
        <v>85</v>
      </c>
      <c r="CZ7" s="13" t="s">
        <v>86</v>
      </c>
      <c r="DA7" s="13" t="s">
        <v>90</v>
      </c>
      <c r="DB7" s="17"/>
      <c r="DC7" s="84"/>
      <c r="DD7" s="84"/>
      <c r="DE7" s="84"/>
      <c r="DF7" s="84"/>
      <c r="DG7" s="84"/>
      <c r="DH7" s="84"/>
      <c r="DI7" s="84"/>
      <c r="DJ7" s="84"/>
      <c r="DK7" s="84"/>
      <c r="DL7" s="84"/>
      <c r="DM7" s="84"/>
      <c r="DN7" s="84"/>
      <c r="DO7" s="84"/>
      <c r="DP7" s="84"/>
      <c r="DQ7" s="84"/>
      <c r="DR7" s="84"/>
      <c r="DS7" s="84"/>
      <c r="DT7" s="84"/>
      <c r="DU7" s="84"/>
      <c r="DV7" s="84"/>
      <c r="DW7" s="84"/>
      <c r="DX7" s="84"/>
    </row>
    <row r="8" spans="1:128" s="3" customFormat="1" ht="15" hidden="1" customHeight="1" thickTop="1" x14ac:dyDescent="0.2">
      <c r="A8" s="8">
        <v>2001</v>
      </c>
      <c r="B8" s="18" t="s">
        <v>2</v>
      </c>
      <c r="C8" s="18" t="s">
        <v>2</v>
      </c>
      <c r="D8" s="16">
        <f t="shared" ref="D8:D22" si="0">D9/(1+B9)</f>
        <v>23.865125334827393</v>
      </c>
      <c r="E8" s="44"/>
      <c r="F8" s="16"/>
      <c r="G8" s="18"/>
      <c r="H8" s="18"/>
      <c r="I8" s="18"/>
      <c r="J8" s="18"/>
      <c r="K8" s="44"/>
      <c r="L8" s="18"/>
      <c r="M8" s="36">
        <f>Table2[[#This Row],[Annual benefit payments (closed scheme)]]/(1+Table2[[#This Row],[Compounded discount rate A1]])</f>
        <v>0</v>
      </c>
      <c r="N8" s="49"/>
      <c r="O8" s="36"/>
      <c r="P8" s="36"/>
      <c r="Q8" s="36"/>
      <c r="R8" s="36"/>
      <c r="S8" s="44"/>
      <c r="T8" s="43"/>
      <c r="U8" s="36">
        <f>Table2[[#This Row],[Annual benefit payments (closed scheme)]]/(1+Table2[[#This Row],[Compounded discount rate A1]])</f>
        <v>0</v>
      </c>
      <c r="V8" s="36"/>
      <c r="W8" s="36"/>
      <c r="X8" s="36"/>
      <c r="Y8" s="36"/>
      <c r="Z8" s="80"/>
      <c r="AA8" s="82"/>
      <c r="AB8" s="18">
        <f>Table2[[#This Row],[Discount rate B]]</f>
        <v>0</v>
      </c>
      <c r="AC8" s="36">
        <f>Table2[[#This Row],[Annual benefit payments (closed scheme)]]/(1+Table2[[#This Row],[Compounded discount rate A1]])</f>
        <v>0</v>
      </c>
      <c r="AD8" s="45"/>
      <c r="AE8" s="45"/>
      <c r="AF8" s="45"/>
      <c r="AG8" s="45"/>
      <c r="AH8" s="79"/>
      <c r="AI8" s="45"/>
      <c r="AJ8" s="45"/>
      <c r="AK8" s="45"/>
      <c r="AL8" s="45"/>
      <c r="AM8" s="45">
        <f>Table2[[#This Row],[Asset growth B]]</f>
        <v>0</v>
      </c>
      <c r="AN8" s="45"/>
      <c r="AO8" s="45"/>
      <c r="AP8" s="45"/>
      <c r="AQ8" s="45"/>
      <c r="AR8" s="45"/>
      <c r="AS8" s="45"/>
      <c r="AT8" s="45"/>
      <c r="AU8" s="45"/>
      <c r="AV8" s="45"/>
      <c r="AW8" s="45"/>
      <c r="AX8" s="45"/>
      <c r="AY8" s="45"/>
      <c r="AZ8" s="45"/>
      <c r="BA8" s="45"/>
      <c r="BB8" s="45"/>
      <c r="BC8" s="45"/>
      <c r="BD8" s="45"/>
      <c r="BE8" s="45"/>
      <c r="BF8" s="45"/>
      <c r="BG8" s="45"/>
      <c r="BH8" s="45"/>
      <c r="BI8" s="45"/>
      <c r="BJ8" s="49"/>
      <c r="BK8" s="36"/>
      <c r="BL8" s="45"/>
      <c r="BM8" s="45"/>
      <c r="BN8" s="79"/>
      <c r="BO8" s="45"/>
      <c r="BP8" s="45"/>
      <c r="BQ8" s="45">
        <f t="shared" ref="BQ8:BQ23" si="1">BP108</f>
        <v>112.31516237920171</v>
      </c>
      <c r="BR8" s="45"/>
      <c r="BS8" s="45"/>
      <c r="BT8" s="45"/>
      <c r="BU8" s="45"/>
      <c r="BV8" s="45"/>
      <c r="BW8" s="45"/>
      <c r="BX8" s="45"/>
      <c r="BY8" s="45"/>
      <c r="BZ8" s="45">
        <f t="shared" ref="BZ8:BZ23" si="2">BS108</f>
        <v>93.417511096851442</v>
      </c>
      <c r="CA8" s="45"/>
      <c r="CB8" s="45"/>
      <c r="CC8" s="45">
        <f>Table2[[#This Row],[Asset growth, ongoing scheme, with November de-risking, net of contributions and payments]]/(1+Table2[Compounded CPI])</f>
        <v>0</v>
      </c>
      <c r="CD8" s="45"/>
      <c r="CE8" s="45">
        <f>Table2[[#This Row],[Asset growth, ongoing scheme, with September de-risking, net of contributions and payments]]/(1+Table2[Compounded discount rate A1])</f>
        <v>0</v>
      </c>
      <c r="CF8" s="45">
        <f>Table2[[#This Row],[Asset growth, ongoing scheme, with September de-risking, net of contributions and payments]]/(1+Table2[Compounded CPI])</f>
        <v>0</v>
      </c>
      <c r="CG8" s="45"/>
      <c r="CH8" s="45">
        <f>Table2[[#This Row],[Asset growth, ongoing scheme, no de-risking, net of contributions and payments]]/(1+Table2[Compounded discount rate B])</f>
        <v>0</v>
      </c>
      <c r="CI8" s="45">
        <f>Table2[[#This Row],[Asset growth, ongoing scheme, no de-risking, net of contributions and payments]]/(1+Table2[Compounded CPI])</f>
        <v>0</v>
      </c>
      <c r="CJ8" s="45"/>
      <c r="CK8" s="45">
        <f>Table2[[#This Row],[Asset growth, ongoing scheme, best-estimates, no de-risking, net of contributions and payments ]]/(1+Table2[Compounded discount rate E])</f>
        <v>0</v>
      </c>
      <c r="CL8" s="45">
        <f>Table2[[#This Row],[Asset growth, ongoing scheme, best-estimates, no de-risking, net of contributions and payments ]]/(1+Table2[Compounded CPI])</f>
        <v>0</v>
      </c>
      <c r="CM8" s="44"/>
      <c r="CN8" s="43"/>
      <c r="CO8" s="43"/>
      <c r="CP8" s="43"/>
      <c r="CQ8" s="46"/>
      <c r="CR8" s="47"/>
      <c r="CS8" s="36"/>
      <c r="CT8" s="36"/>
      <c r="CU8" s="48"/>
      <c r="CV8" s="65"/>
      <c r="CW8" s="36"/>
      <c r="CX8" s="36"/>
      <c r="CY8" s="36"/>
      <c r="CZ8" s="36"/>
      <c r="DA8" s="36"/>
      <c r="DB8" s="17"/>
      <c r="DC8" s="84"/>
      <c r="DD8" s="84"/>
      <c r="DE8" s="84"/>
      <c r="DF8" s="84"/>
      <c r="DG8" s="84"/>
      <c r="DH8" s="84"/>
      <c r="DI8" s="84"/>
      <c r="DJ8" s="84"/>
      <c r="DK8" s="84"/>
      <c r="DL8" s="84"/>
      <c r="DM8" s="84"/>
      <c r="DN8" s="84"/>
      <c r="DO8" s="84"/>
      <c r="DP8" s="84"/>
      <c r="DQ8" s="84"/>
      <c r="DR8" s="84"/>
      <c r="DS8" s="84"/>
      <c r="DT8" s="84"/>
      <c r="DU8" s="84"/>
      <c r="DV8" s="84"/>
      <c r="DW8" s="84"/>
      <c r="DX8" s="84"/>
    </row>
    <row r="9" spans="1:128" s="3" customFormat="1" ht="15" hidden="1" customHeight="1" thickTop="1" x14ac:dyDescent="0.2">
      <c r="A9" s="8">
        <v>2002</v>
      </c>
      <c r="B9" s="18">
        <v>-0.10100000000000001</v>
      </c>
      <c r="C9" s="18">
        <f>Table2[[#This Row],[Annual investment returns]]</f>
        <v>-0.10100000000000001</v>
      </c>
      <c r="D9" s="16">
        <f t="shared" si="0"/>
        <v>21.454747676009827</v>
      </c>
      <c r="E9" s="44"/>
      <c r="F9" s="16"/>
      <c r="G9" s="18"/>
      <c r="H9" s="18"/>
      <c r="I9" s="18"/>
      <c r="J9" s="18"/>
      <c r="K9" s="44"/>
      <c r="L9" s="18"/>
      <c r="M9" s="36">
        <f>Table2[[#This Row],[Annual benefit payments (closed scheme)]]/(1+Table2[[#This Row],[Compounded discount rate A1]])</f>
        <v>0</v>
      </c>
      <c r="N9" s="49"/>
      <c r="O9" s="36"/>
      <c r="P9" s="36"/>
      <c r="Q9" s="36"/>
      <c r="R9" s="36"/>
      <c r="S9" s="44"/>
      <c r="T9" s="43"/>
      <c r="U9" s="36">
        <f>Table2[[#This Row],[Annual benefit payments (closed scheme)]]/(1+Table2[[#This Row],[Compounded discount rate A1]])</f>
        <v>0</v>
      </c>
      <c r="V9" s="36"/>
      <c r="W9" s="36"/>
      <c r="X9" s="36"/>
      <c r="Y9" s="36"/>
      <c r="Z9" s="48"/>
      <c r="AA9" s="82"/>
      <c r="AB9" s="18">
        <f>Table2[[#This Row],[Discount rate B]]</f>
        <v>0</v>
      </c>
      <c r="AC9" s="36">
        <f>Table2[[#This Row],[Annual benefit payments (closed scheme)]]/(1+Table2[[#This Row],[Compounded discount rate A1]])</f>
        <v>0</v>
      </c>
      <c r="AD9" s="45"/>
      <c r="AE9" s="45"/>
      <c r="AF9" s="45"/>
      <c r="AG9" s="45"/>
      <c r="AH9" s="79"/>
      <c r="AI9" s="45"/>
      <c r="AJ9" s="45"/>
      <c r="AK9" s="45"/>
      <c r="AL9" s="45"/>
      <c r="AM9" s="45">
        <f>Table2[[#This Row],[Asset growth B]]</f>
        <v>0</v>
      </c>
      <c r="AN9" s="45"/>
      <c r="AO9" s="45"/>
      <c r="AP9" s="45"/>
      <c r="AQ9" s="45"/>
      <c r="AR9" s="45"/>
      <c r="AS9" s="45"/>
      <c r="AT9" s="45"/>
      <c r="AU9" s="45"/>
      <c r="AV9" s="45"/>
      <c r="AW9" s="45"/>
      <c r="AX9" s="45"/>
      <c r="AY9" s="45"/>
      <c r="AZ9" s="45"/>
      <c r="BA9" s="45"/>
      <c r="BB9" s="45"/>
      <c r="BC9" s="45"/>
      <c r="BD9" s="45"/>
      <c r="BE9" s="45"/>
      <c r="BF9" s="45"/>
      <c r="BG9" s="45"/>
      <c r="BH9" s="45"/>
      <c r="BI9" s="45"/>
      <c r="BJ9" s="49"/>
      <c r="BK9" s="36"/>
      <c r="BL9" s="45"/>
      <c r="BM9" s="45"/>
      <c r="BN9" s="79"/>
      <c r="BO9" s="45"/>
      <c r="BP9" s="45"/>
      <c r="BQ9" s="45">
        <f t="shared" si="1"/>
        <v>112.35460118582843</v>
      </c>
      <c r="BR9" s="45"/>
      <c r="BS9" s="45"/>
      <c r="BT9" s="45"/>
      <c r="BU9" s="45"/>
      <c r="BV9" s="45"/>
      <c r="BW9" s="45"/>
      <c r="BX9" s="45"/>
      <c r="BY9" s="45"/>
      <c r="BZ9" s="45">
        <f t="shared" si="2"/>
        <v>93.437520774907384</v>
      </c>
      <c r="CA9" s="45"/>
      <c r="CB9" s="45"/>
      <c r="CC9" s="45">
        <f>Table2[[#This Row],[Asset growth, ongoing scheme, with November de-risking, net of contributions and payments]]/(1+Table2[Compounded CPI])</f>
        <v>0</v>
      </c>
      <c r="CD9" s="45"/>
      <c r="CE9" s="45">
        <f>Table2[[#This Row],[Asset growth, ongoing scheme, with September de-risking, net of contributions and payments]]/(1+Table2[Compounded discount rate A1])</f>
        <v>0</v>
      </c>
      <c r="CF9" s="45">
        <f>Table2[[#This Row],[Asset growth, ongoing scheme, with September de-risking, net of contributions and payments]]/(1+Table2[Compounded CPI])</f>
        <v>0</v>
      </c>
      <c r="CG9" s="45"/>
      <c r="CH9" s="45">
        <f>Table2[[#This Row],[Asset growth, ongoing scheme, no de-risking, net of contributions and payments]]/(1+Table2[Compounded discount rate B])</f>
        <v>0</v>
      </c>
      <c r="CI9" s="45">
        <f>Table2[[#This Row],[Asset growth, ongoing scheme, no de-risking, net of contributions and payments]]/(1+Table2[Compounded CPI])</f>
        <v>0</v>
      </c>
      <c r="CJ9" s="45"/>
      <c r="CK9" s="45">
        <f>Table2[[#This Row],[Asset growth, ongoing scheme, best-estimates, no de-risking, net of contributions and payments ]]/(1+Table2[Compounded discount rate E])</f>
        <v>0</v>
      </c>
      <c r="CL9" s="45">
        <f>Table2[[#This Row],[Asset growth, ongoing scheme, best-estimates, no de-risking, net of contributions and payments ]]/(1+Table2[Compounded CPI])</f>
        <v>0</v>
      </c>
      <c r="CM9" s="44"/>
      <c r="CN9" s="43"/>
      <c r="CO9" s="43"/>
      <c r="CP9" s="43"/>
      <c r="CQ9" s="46"/>
      <c r="CR9" s="47"/>
      <c r="CS9" s="36"/>
      <c r="CT9" s="36"/>
      <c r="CU9" s="48"/>
      <c r="CV9" s="65"/>
      <c r="CW9" s="36"/>
      <c r="CX9" s="36"/>
      <c r="CY9" s="36"/>
      <c r="CZ9" s="36"/>
      <c r="DA9" s="36"/>
      <c r="DB9" s="17"/>
      <c r="DC9" s="84"/>
      <c r="DD9" s="84"/>
      <c r="DE9" s="84"/>
      <c r="DF9" s="84"/>
      <c r="DG9" s="84"/>
      <c r="DH9" s="84"/>
      <c r="DI9" s="84"/>
      <c r="DJ9" s="84"/>
      <c r="DK9" s="84"/>
      <c r="DL9" s="84"/>
      <c r="DM9" s="84"/>
      <c r="DN9" s="84"/>
      <c r="DO9" s="84"/>
      <c r="DP9" s="84"/>
      <c r="DQ9" s="84"/>
      <c r="DR9" s="84"/>
      <c r="DS9" s="84"/>
      <c r="DT9" s="84"/>
      <c r="DU9" s="84"/>
      <c r="DV9" s="84"/>
      <c r="DW9" s="84"/>
      <c r="DX9" s="84"/>
    </row>
    <row r="10" spans="1:128" s="3" customFormat="1" ht="15" hidden="1" customHeight="1" thickTop="1" x14ac:dyDescent="0.2">
      <c r="A10" s="8">
        <v>2003</v>
      </c>
      <c r="B10" s="18">
        <v>-0.16700000000000001</v>
      </c>
      <c r="C10" s="18">
        <f>(1+C9)*(1+B10)-1</f>
        <v>-0.25113300000000005</v>
      </c>
      <c r="D10" s="16">
        <f t="shared" si="0"/>
        <v>17.871804814116185</v>
      </c>
      <c r="E10" s="44"/>
      <c r="F10" s="16"/>
      <c r="G10" s="18"/>
      <c r="H10" s="18"/>
      <c r="I10" s="18"/>
      <c r="J10" s="18"/>
      <c r="K10" s="44"/>
      <c r="L10" s="18"/>
      <c r="M10" s="36">
        <f>Table2[[#This Row],[Annual benefit payments (closed scheme)]]/(1+Table2[[#This Row],[Compounded discount rate A1]])</f>
        <v>0</v>
      </c>
      <c r="N10" s="49"/>
      <c r="O10" s="36"/>
      <c r="P10" s="36"/>
      <c r="Q10" s="36"/>
      <c r="R10" s="36"/>
      <c r="S10" s="44"/>
      <c r="T10" s="43"/>
      <c r="U10" s="36">
        <f>Table2[[#This Row],[Annual benefit payments (closed scheme)]]/(1+Table2[[#This Row],[Compounded discount rate A1]])</f>
        <v>0</v>
      </c>
      <c r="V10" s="36"/>
      <c r="W10" s="36"/>
      <c r="X10" s="36"/>
      <c r="Y10" s="36"/>
      <c r="Z10" s="48"/>
      <c r="AA10" s="82"/>
      <c r="AB10" s="18">
        <f>Table2[[#This Row],[Discount rate B]]</f>
        <v>0</v>
      </c>
      <c r="AC10" s="36">
        <f>Table2[[#This Row],[Annual benefit payments (closed scheme)]]/(1+Table2[[#This Row],[Compounded discount rate A1]])</f>
        <v>0</v>
      </c>
      <c r="AD10" s="45"/>
      <c r="AE10" s="45"/>
      <c r="AF10" s="45"/>
      <c r="AG10" s="45"/>
      <c r="AH10" s="79"/>
      <c r="AI10" s="45"/>
      <c r="AJ10" s="45"/>
      <c r="AK10" s="45"/>
      <c r="AL10" s="45"/>
      <c r="AM10" s="45">
        <f>Table2[[#This Row],[Asset growth B]]</f>
        <v>0</v>
      </c>
      <c r="AN10" s="45"/>
      <c r="AO10" s="45"/>
      <c r="AP10" s="45"/>
      <c r="AQ10" s="45"/>
      <c r="AR10" s="45"/>
      <c r="AS10" s="45"/>
      <c r="AT10" s="45"/>
      <c r="AU10" s="45"/>
      <c r="AV10" s="45"/>
      <c r="AW10" s="45"/>
      <c r="AX10" s="45"/>
      <c r="AY10" s="45"/>
      <c r="AZ10" s="45"/>
      <c r="BA10" s="45"/>
      <c r="BB10" s="45"/>
      <c r="BC10" s="45"/>
      <c r="BD10" s="45"/>
      <c r="BE10" s="45"/>
      <c r="BF10" s="45"/>
      <c r="BG10" s="45"/>
      <c r="BH10" s="45"/>
      <c r="BI10" s="45"/>
      <c r="BJ10" s="49"/>
      <c r="BK10" s="36"/>
      <c r="BL10" s="45"/>
      <c r="BM10" s="45"/>
      <c r="BN10" s="79"/>
      <c r="BO10" s="45"/>
      <c r="BP10" s="45"/>
      <c r="BQ10" s="45">
        <f t="shared" si="1"/>
        <v>112.39084245543852</v>
      </c>
      <c r="BR10" s="45"/>
      <c r="BS10" s="45"/>
      <c r="BT10" s="45"/>
      <c r="BU10" s="45"/>
      <c r="BV10" s="45"/>
      <c r="BW10" s="45"/>
      <c r="BX10" s="45"/>
      <c r="BY10" s="45"/>
      <c r="BZ10" s="45">
        <f t="shared" si="2"/>
        <v>93.455716560579162</v>
      </c>
      <c r="CA10" s="45"/>
      <c r="CB10" s="45"/>
      <c r="CC10" s="45">
        <f>Table2[[#This Row],[Asset growth, ongoing scheme, with November de-risking, net of contributions and payments]]/(1+Table2[Compounded CPI])</f>
        <v>0</v>
      </c>
      <c r="CD10" s="45"/>
      <c r="CE10" s="45">
        <f>Table2[[#This Row],[Asset growth, ongoing scheme, with September de-risking, net of contributions and payments]]/(1+Table2[Compounded discount rate A1])</f>
        <v>0</v>
      </c>
      <c r="CF10" s="45">
        <f>Table2[[#This Row],[Asset growth, ongoing scheme, with September de-risking, net of contributions and payments]]/(1+Table2[Compounded CPI])</f>
        <v>0</v>
      </c>
      <c r="CG10" s="45"/>
      <c r="CH10" s="45">
        <f>Table2[[#This Row],[Asset growth, ongoing scheme, no de-risking, net of contributions and payments]]/(1+Table2[Compounded discount rate B])</f>
        <v>0</v>
      </c>
      <c r="CI10" s="45">
        <f>Table2[[#This Row],[Asset growth, ongoing scheme, no de-risking, net of contributions and payments]]/(1+Table2[Compounded CPI])</f>
        <v>0</v>
      </c>
      <c r="CJ10" s="45"/>
      <c r="CK10" s="45">
        <f>Table2[[#This Row],[Asset growth, ongoing scheme, best-estimates, no de-risking, net of contributions and payments ]]/(1+Table2[Compounded discount rate E])</f>
        <v>0</v>
      </c>
      <c r="CL10" s="45">
        <f>Table2[[#This Row],[Asset growth, ongoing scheme, best-estimates, no de-risking, net of contributions and payments ]]/(1+Table2[Compounded CPI])</f>
        <v>0</v>
      </c>
      <c r="CM10" s="44"/>
      <c r="CN10" s="43"/>
      <c r="CO10" s="43"/>
      <c r="CP10" s="43"/>
      <c r="CQ10" s="46"/>
      <c r="CR10" s="47"/>
      <c r="CS10" s="36"/>
      <c r="CT10" s="36"/>
      <c r="CU10" s="48"/>
      <c r="CV10" s="65"/>
      <c r="CW10" s="36"/>
      <c r="CX10" s="36"/>
      <c r="CY10" s="36"/>
      <c r="CZ10" s="36"/>
      <c r="DA10" s="36"/>
      <c r="DB10" s="17"/>
      <c r="DC10" s="84"/>
      <c r="DD10" s="84"/>
      <c r="DE10" s="84"/>
      <c r="DF10" s="84"/>
      <c r="DG10" s="84"/>
      <c r="DH10" s="84"/>
      <c r="DI10" s="84"/>
      <c r="DJ10" s="84"/>
      <c r="DK10" s="84"/>
      <c r="DL10" s="84"/>
      <c r="DM10" s="84"/>
      <c r="DN10" s="84"/>
      <c r="DO10" s="84"/>
      <c r="DP10" s="84"/>
      <c r="DQ10" s="84"/>
      <c r="DR10" s="84"/>
      <c r="DS10" s="84"/>
      <c r="DT10" s="84"/>
      <c r="DU10" s="84"/>
      <c r="DV10" s="84"/>
      <c r="DW10" s="84"/>
      <c r="DX10" s="84"/>
    </row>
    <row r="11" spans="1:128" s="3" customFormat="1" ht="15" hidden="1" customHeight="1" thickTop="1" x14ac:dyDescent="0.2">
      <c r="A11" s="8">
        <v>2004</v>
      </c>
      <c r="B11" s="18">
        <v>0.182</v>
      </c>
      <c r="C11" s="18">
        <f t="shared" ref="C11:C24" si="3">(1+C10)*(1+B11)-1</f>
        <v>-0.11483920600000008</v>
      </c>
      <c r="D11" s="16">
        <f t="shared" si="0"/>
        <v>21.12447329028533</v>
      </c>
      <c r="E11" s="44"/>
      <c r="F11" s="16"/>
      <c r="G11" s="18"/>
      <c r="H11" s="18"/>
      <c r="I11" s="18"/>
      <c r="J11" s="18"/>
      <c r="K11" s="44"/>
      <c r="L11" s="18"/>
      <c r="M11" s="36">
        <f>Table2[[#This Row],[Annual benefit payments (closed scheme)]]/(1+Table2[[#This Row],[Compounded discount rate A1]])</f>
        <v>0</v>
      </c>
      <c r="N11" s="49"/>
      <c r="O11" s="36"/>
      <c r="P11" s="36"/>
      <c r="Q11" s="36"/>
      <c r="R11" s="36"/>
      <c r="S11" s="44"/>
      <c r="T11" s="43"/>
      <c r="U11" s="36">
        <f>Table2[[#This Row],[Annual benefit payments (closed scheme)]]/(1+Table2[[#This Row],[Compounded discount rate A1]])</f>
        <v>0</v>
      </c>
      <c r="V11" s="36"/>
      <c r="W11" s="36"/>
      <c r="X11" s="36"/>
      <c r="Y11" s="36"/>
      <c r="Z11" s="48"/>
      <c r="AA11" s="82"/>
      <c r="AB11" s="18">
        <f>Table2[[#This Row],[Discount rate B]]</f>
        <v>0</v>
      </c>
      <c r="AC11" s="36">
        <f>Table2[[#This Row],[Annual benefit payments (closed scheme)]]/(1+Table2[[#This Row],[Compounded discount rate A1]])</f>
        <v>0</v>
      </c>
      <c r="AD11" s="45"/>
      <c r="AE11" s="45"/>
      <c r="AF11" s="45"/>
      <c r="AG11" s="45"/>
      <c r="AH11" s="79"/>
      <c r="AI11" s="45"/>
      <c r="AJ11" s="45"/>
      <c r="AK11" s="45"/>
      <c r="AL11" s="45"/>
      <c r="AM11" s="45">
        <f>Table2[[#This Row],[Asset growth B]]</f>
        <v>0</v>
      </c>
      <c r="AN11" s="45"/>
      <c r="AO11" s="45"/>
      <c r="AP11" s="45"/>
      <c r="AQ11" s="45"/>
      <c r="AR11" s="45"/>
      <c r="AS11" s="45"/>
      <c r="AT11" s="45"/>
      <c r="AU11" s="45"/>
      <c r="AV11" s="45"/>
      <c r="AW11" s="45"/>
      <c r="AX11" s="45"/>
      <c r="AY11" s="45"/>
      <c r="AZ11" s="45"/>
      <c r="BA11" s="45"/>
      <c r="BB11" s="45"/>
      <c r="BC11" s="45"/>
      <c r="BD11" s="45"/>
      <c r="BE11" s="45"/>
      <c r="BF11" s="45"/>
      <c r="BG11" s="45"/>
      <c r="BH11" s="45"/>
      <c r="BI11" s="45"/>
      <c r="BJ11" s="49"/>
      <c r="BK11" s="36"/>
      <c r="BL11" s="45"/>
      <c r="BM11" s="45"/>
      <c r="BN11" s="79"/>
      <c r="BO11" s="45"/>
      <c r="BP11" s="45"/>
      <c r="BQ11" s="45">
        <f t="shared" si="1"/>
        <v>112.42408761357929</v>
      </c>
      <c r="BR11" s="45"/>
      <c r="BS11" s="45"/>
      <c r="BT11" s="45"/>
      <c r="BU11" s="45"/>
      <c r="BV11" s="45"/>
      <c r="BW11" s="45"/>
      <c r="BX11" s="45"/>
      <c r="BY11" s="45"/>
      <c r="BZ11" s="45">
        <f t="shared" si="2"/>
        <v>93.472234158320433</v>
      </c>
      <c r="CA11" s="45"/>
      <c r="CB11" s="45"/>
      <c r="CC11" s="45">
        <f>Table2[[#This Row],[Asset growth, ongoing scheme, with November de-risking, net of contributions and payments]]/(1+Table2[Compounded CPI])</f>
        <v>0</v>
      </c>
      <c r="CD11" s="45"/>
      <c r="CE11" s="45">
        <f>Table2[[#This Row],[Asset growth, ongoing scheme, with September de-risking, net of contributions and payments]]/(1+Table2[Compounded discount rate A1])</f>
        <v>0</v>
      </c>
      <c r="CF11" s="45">
        <f>Table2[[#This Row],[Asset growth, ongoing scheme, with September de-risking, net of contributions and payments]]/(1+Table2[Compounded CPI])</f>
        <v>0</v>
      </c>
      <c r="CG11" s="45"/>
      <c r="CH11" s="45">
        <f>Table2[[#This Row],[Asset growth, ongoing scheme, no de-risking, net of contributions and payments]]/(1+Table2[Compounded discount rate B])</f>
        <v>0</v>
      </c>
      <c r="CI11" s="45">
        <f>Table2[[#This Row],[Asset growth, ongoing scheme, no de-risking, net of contributions and payments]]/(1+Table2[Compounded CPI])</f>
        <v>0</v>
      </c>
      <c r="CJ11" s="45"/>
      <c r="CK11" s="45">
        <f>Table2[[#This Row],[Asset growth, ongoing scheme, best-estimates, no de-risking, net of contributions and payments ]]/(1+Table2[Compounded discount rate E])</f>
        <v>0</v>
      </c>
      <c r="CL11" s="45">
        <f>Table2[[#This Row],[Asset growth, ongoing scheme, best-estimates, no de-risking, net of contributions and payments ]]/(1+Table2[Compounded CPI])</f>
        <v>0</v>
      </c>
      <c r="CM11" s="44"/>
      <c r="CN11" s="43"/>
      <c r="CO11" s="43"/>
      <c r="CP11" s="43"/>
      <c r="CQ11" s="46"/>
      <c r="CR11" s="47"/>
      <c r="CS11" s="36"/>
      <c r="CT11" s="36"/>
      <c r="CU11" s="48"/>
      <c r="CV11" s="65"/>
      <c r="CW11" s="36"/>
      <c r="CX11" s="36"/>
      <c r="CY11" s="36"/>
      <c r="CZ11" s="36"/>
      <c r="DA11" s="36"/>
      <c r="DB11" s="17"/>
      <c r="DC11" s="84"/>
      <c r="DD11" s="84"/>
      <c r="DE11" s="84"/>
      <c r="DF11" s="84"/>
      <c r="DG11" s="84"/>
      <c r="DH11" s="84"/>
      <c r="DI11" s="84"/>
      <c r="DJ11" s="84"/>
      <c r="DK11" s="84"/>
      <c r="DL11" s="84"/>
      <c r="DM11" s="84"/>
      <c r="DN11" s="84"/>
      <c r="DO11" s="84"/>
      <c r="DP11" s="84"/>
      <c r="DQ11" s="84"/>
      <c r="DR11" s="84"/>
      <c r="DS11" s="84"/>
      <c r="DT11" s="84"/>
      <c r="DU11" s="84"/>
      <c r="DV11" s="84"/>
      <c r="DW11" s="84"/>
      <c r="DX11" s="84"/>
    </row>
    <row r="12" spans="1:128" s="3" customFormat="1" ht="15" hidden="1" customHeight="1" thickTop="1" x14ac:dyDescent="0.2">
      <c r="A12" s="8">
        <v>2005</v>
      </c>
      <c r="B12" s="18">
        <v>8.8999999999999996E-2</v>
      </c>
      <c r="C12" s="18">
        <f t="shared" si="3"/>
        <v>-3.6059895334000114E-2</v>
      </c>
      <c r="D12" s="16">
        <f t="shared" si="0"/>
        <v>23.004551413120723</v>
      </c>
      <c r="E12" s="44"/>
      <c r="F12" s="16"/>
      <c r="G12" s="18"/>
      <c r="H12" s="18"/>
      <c r="I12" s="18"/>
      <c r="J12" s="18"/>
      <c r="K12" s="44"/>
      <c r="L12" s="18"/>
      <c r="M12" s="36">
        <f>Table2[[#This Row],[Annual benefit payments (closed scheme)]]/(1+Table2[[#This Row],[Compounded discount rate A1]])</f>
        <v>0</v>
      </c>
      <c r="N12" s="49"/>
      <c r="O12" s="36"/>
      <c r="P12" s="36"/>
      <c r="Q12" s="36"/>
      <c r="R12" s="36"/>
      <c r="S12" s="44"/>
      <c r="T12" s="43"/>
      <c r="U12" s="36">
        <f>Table2[[#This Row],[Annual benefit payments (closed scheme)]]/(1+Table2[[#This Row],[Compounded discount rate A1]])</f>
        <v>0</v>
      </c>
      <c r="V12" s="36"/>
      <c r="W12" s="36"/>
      <c r="X12" s="36"/>
      <c r="Y12" s="36"/>
      <c r="Z12" s="48"/>
      <c r="AA12" s="82"/>
      <c r="AB12" s="18">
        <f>Table2[[#This Row],[Discount rate B]]</f>
        <v>0</v>
      </c>
      <c r="AC12" s="36">
        <f>Table2[[#This Row],[Annual benefit payments (closed scheme)]]/(1+Table2[[#This Row],[Compounded discount rate A1]])</f>
        <v>0</v>
      </c>
      <c r="AD12" s="45"/>
      <c r="AE12" s="45"/>
      <c r="AF12" s="45"/>
      <c r="AG12" s="45"/>
      <c r="AH12" s="79"/>
      <c r="AI12" s="45"/>
      <c r="AJ12" s="45"/>
      <c r="AK12" s="45"/>
      <c r="AL12" s="45"/>
      <c r="AM12" s="45">
        <f>Table2[[#This Row],[Asset growth B]]</f>
        <v>0</v>
      </c>
      <c r="AN12" s="45"/>
      <c r="AO12" s="45"/>
      <c r="AP12" s="45"/>
      <c r="AQ12" s="45"/>
      <c r="AR12" s="45"/>
      <c r="AS12" s="45"/>
      <c r="AT12" s="45"/>
      <c r="AU12" s="45"/>
      <c r="AV12" s="45"/>
      <c r="AW12" s="45"/>
      <c r="AX12" s="45"/>
      <c r="AY12" s="45"/>
      <c r="AZ12" s="45"/>
      <c r="BA12" s="45"/>
      <c r="BB12" s="45"/>
      <c r="BC12" s="45"/>
      <c r="BD12" s="45"/>
      <c r="BE12" s="45"/>
      <c r="BF12" s="45"/>
      <c r="BG12" s="45"/>
      <c r="BH12" s="45"/>
      <c r="BI12" s="45"/>
      <c r="BJ12" s="49"/>
      <c r="BK12" s="36"/>
      <c r="BL12" s="45"/>
      <c r="BM12" s="45"/>
      <c r="BN12" s="79"/>
      <c r="BO12" s="45"/>
      <c r="BP12" s="45"/>
      <c r="BQ12" s="45">
        <f t="shared" si="1"/>
        <v>112.44138255062215</v>
      </c>
      <c r="BR12" s="45"/>
      <c r="BS12" s="45"/>
      <c r="BT12" s="45"/>
      <c r="BU12" s="45"/>
      <c r="BV12" s="45"/>
      <c r="BW12" s="45"/>
      <c r="BX12" s="45"/>
      <c r="BY12" s="45"/>
      <c r="BZ12" s="45">
        <f t="shared" si="2"/>
        <v>93.480737478671074</v>
      </c>
      <c r="CA12" s="45"/>
      <c r="CB12" s="45"/>
      <c r="CC12" s="45">
        <f>Table2[[#This Row],[Asset growth, ongoing scheme, with November de-risking, net of contributions and payments]]/(1+Table2[Compounded CPI])</f>
        <v>0</v>
      </c>
      <c r="CD12" s="45"/>
      <c r="CE12" s="45">
        <f>Table2[[#This Row],[Asset growth, ongoing scheme, with September de-risking, net of contributions and payments]]/(1+Table2[Compounded discount rate A1])</f>
        <v>0</v>
      </c>
      <c r="CF12" s="45">
        <f>Table2[[#This Row],[Asset growth, ongoing scheme, with September de-risking, net of contributions and payments]]/(1+Table2[Compounded CPI])</f>
        <v>0</v>
      </c>
      <c r="CG12" s="45"/>
      <c r="CH12" s="45">
        <f>Table2[[#This Row],[Asset growth, ongoing scheme, no de-risking, net of contributions and payments]]/(1+Table2[Compounded discount rate B])</f>
        <v>0</v>
      </c>
      <c r="CI12" s="45">
        <f>Table2[[#This Row],[Asset growth, ongoing scheme, no de-risking, net of contributions and payments]]/(1+Table2[Compounded CPI])</f>
        <v>0</v>
      </c>
      <c r="CJ12" s="45"/>
      <c r="CK12" s="45">
        <f>Table2[[#This Row],[Asset growth, ongoing scheme, best-estimates, no de-risking, net of contributions and payments ]]/(1+Table2[Compounded discount rate E])</f>
        <v>0</v>
      </c>
      <c r="CL12" s="45">
        <f>Table2[[#This Row],[Asset growth, ongoing scheme, best-estimates, no de-risking, net of contributions and payments ]]/(1+Table2[Compounded CPI])</f>
        <v>0</v>
      </c>
      <c r="CM12" s="44"/>
      <c r="CN12" s="43"/>
      <c r="CO12" s="43"/>
      <c r="CP12" s="43"/>
      <c r="CQ12" s="46"/>
      <c r="CR12" s="47"/>
      <c r="CS12" s="36"/>
      <c r="CT12" s="36"/>
      <c r="CU12" s="48"/>
      <c r="CV12" s="65"/>
      <c r="CW12" s="36"/>
      <c r="CX12" s="36"/>
      <c r="CY12" s="36"/>
      <c r="CZ12" s="36"/>
      <c r="DA12" s="36"/>
      <c r="DB12" s="17"/>
      <c r="DC12" s="84"/>
      <c r="DD12" s="84"/>
      <c r="DE12" s="84"/>
      <c r="DF12" s="84"/>
      <c r="DG12" s="84"/>
      <c r="DH12" s="84"/>
      <c r="DI12" s="84"/>
      <c r="DJ12" s="84"/>
      <c r="DK12" s="84"/>
      <c r="DL12" s="84"/>
      <c r="DM12" s="84"/>
      <c r="DN12" s="84"/>
      <c r="DO12" s="84"/>
      <c r="DP12" s="84"/>
      <c r="DQ12" s="84"/>
      <c r="DR12" s="84"/>
      <c r="DS12" s="84"/>
      <c r="DT12" s="84"/>
      <c r="DU12" s="84"/>
      <c r="DV12" s="84"/>
      <c r="DW12" s="84"/>
      <c r="DX12" s="84"/>
    </row>
    <row r="13" spans="1:128" s="3" customFormat="1" ht="15" hidden="1" customHeight="1" thickTop="1" x14ac:dyDescent="0.2">
      <c r="A13" s="8">
        <v>2006</v>
      </c>
      <c r="B13" s="18">
        <v>0.24</v>
      </c>
      <c r="C13" s="18">
        <f t="shared" si="3"/>
        <v>0.19528572978583991</v>
      </c>
      <c r="D13" s="16">
        <f t="shared" si="0"/>
        <v>28.525643752269698</v>
      </c>
      <c r="E13" s="44"/>
      <c r="F13" s="16"/>
      <c r="G13" s="18"/>
      <c r="H13" s="18"/>
      <c r="I13" s="18"/>
      <c r="J13" s="18"/>
      <c r="K13" s="44"/>
      <c r="L13" s="18"/>
      <c r="M13" s="36">
        <f>Table2[[#This Row],[Annual benefit payments (closed scheme)]]/(1+Table2[[#This Row],[Compounded discount rate A1]])</f>
        <v>0</v>
      </c>
      <c r="N13" s="49"/>
      <c r="O13" s="36"/>
      <c r="P13" s="36"/>
      <c r="Q13" s="36"/>
      <c r="R13" s="36"/>
      <c r="S13" s="44"/>
      <c r="T13" s="43"/>
      <c r="U13" s="36">
        <f>Table2[[#This Row],[Annual benefit payments (closed scheme)]]/(1+Table2[[#This Row],[Compounded discount rate A1]])</f>
        <v>0</v>
      </c>
      <c r="V13" s="36"/>
      <c r="W13" s="36"/>
      <c r="X13" s="36"/>
      <c r="Y13" s="36"/>
      <c r="Z13" s="48"/>
      <c r="AA13" s="82"/>
      <c r="AB13" s="18">
        <f>Table2[[#This Row],[Discount rate B]]</f>
        <v>0</v>
      </c>
      <c r="AC13" s="36">
        <f>Table2[[#This Row],[Annual benefit payments (closed scheme)]]/(1+Table2[[#This Row],[Compounded discount rate A1]])</f>
        <v>0</v>
      </c>
      <c r="AD13" s="45"/>
      <c r="AE13" s="45"/>
      <c r="AF13" s="45"/>
      <c r="AG13" s="45"/>
      <c r="AH13" s="79"/>
      <c r="AI13" s="45"/>
      <c r="AJ13" s="45"/>
      <c r="AK13" s="45"/>
      <c r="AL13" s="45"/>
      <c r="AM13" s="45">
        <f>Table2[[#This Row],[Asset growth B]]</f>
        <v>0</v>
      </c>
      <c r="AN13" s="45"/>
      <c r="AO13" s="45"/>
      <c r="AP13" s="45"/>
      <c r="AQ13" s="45"/>
      <c r="AR13" s="45"/>
      <c r="AS13" s="45"/>
      <c r="AT13" s="45"/>
      <c r="AU13" s="45"/>
      <c r="AV13" s="45"/>
      <c r="AW13" s="45"/>
      <c r="AX13" s="45"/>
      <c r="AY13" s="45"/>
      <c r="AZ13" s="45"/>
      <c r="BA13" s="45"/>
      <c r="BB13" s="45"/>
      <c r="BC13" s="45"/>
      <c r="BD13" s="45"/>
      <c r="BE13" s="45"/>
      <c r="BF13" s="45"/>
      <c r="BG13" s="45"/>
      <c r="BH13" s="45"/>
      <c r="BI13" s="45"/>
      <c r="BJ13" s="49"/>
      <c r="BK13" s="36"/>
      <c r="BL13" s="45"/>
      <c r="BM13" s="45"/>
      <c r="BN13" s="79"/>
      <c r="BO13" s="45"/>
      <c r="BP13" s="45"/>
      <c r="BQ13" s="45">
        <f t="shared" si="1"/>
        <v>112.4638972575986</v>
      </c>
      <c r="BR13" s="45"/>
      <c r="BS13" s="45"/>
      <c r="BT13" s="45"/>
      <c r="BU13" s="45"/>
      <c r="BV13" s="45"/>
      <c r="BW13" s="45"/>
      <c r="BX13" s="45"/>
      <c r="BY13" s="45"/>
      <c r="BZ13" s="45">
        <f t="shared" si="2"/>
        <v>93.491691836610698</v>
      </c>
      <c r="CA13" s="45"/>
      <c r="CB13" s="45"/>
      <c r="CC13" s="45">
        <f>Table2[[#This Row],[Asset growth, ongoing scheme, with November de-risking, net of contributions and payments]]/(1+Table2[Compounded CPI])</f>
        <v>0</v>
      </c>
      <c r="CD13" s="45"/>
      <c r="CE13" s="45">
        <f>Table2[[#This Row],[Asset growth, ongoing scheme, with September de-risking, net of contributions and payments]]/(1+Table2[Compounded discount rate A1])</f>
        <v>0</v>
      </c>
      <c r="CF13" s="45">
        <f>Table2[[#This Row],[Asset growth, ongoing scheme, with September de-risking, net of contributions and payments]]/(1+Table2[Compounded CPI])</f>
        <v>0</v>
      </c>
      <c r="CG13" s="45"/>
      <c r="CH13" s="45">
        <f>Table2[[#This Row],[Asset growth, ongoing scheme, no de-risking, net of contributions and payments]]/(1+Table2[Compounded discount rate B])</f>
        <v>0</v>
      </c>
      <c r="CI13" s="45">
        <f>Table2[[#This Row],[Asset growth, ongoing scheme, no de-risking, net of contributions and payments]]/(1+Table2[Compounded CPI])</f>
        <v>0</v>
      </c>
      <c r="CJ13" s="45"/>
      <c r="CK13" s="45">
        <f>Table2[[#This Row],[Asset growth, ongoing scheme, best-estimates, no de-risking, net of contributions and payments ]]/(1+Table2[Compounded discount rate E])</f>
        <v>0</v>
      </c>
      <c r="CL13" s="45">
        <f>Table2[[#This Row],[Asset growth, ongoing scheme, best-estimates, no de-risking, net of contributions and payments ]]/(1+Table2[Compounded CPI])</f>
        <v>0</v>
      </c>
      <c r="CM13" s="44"/>
      <c r="CN13" s="43"/>
      <c r="CO13" s="43"/>
      <c r="CP13" s="43"/>
      <c r="CQ13" s="46"/>
      <c r="CR13" s="47"/>
      <c r="CS13" s="36"/>
      <c r="CT13" s="36"/>
      <c r="CU13" s="48"/>
      <c r="CV13" s="65"/>
      <c r="CW13" s="36"/>
      <c r="CX13" s="36"/>
      <c r="CY13" s="36"/>
      <c r="CZ13" s="36"/>
      <c r="DA13" s="36"/>
      <c r="DB13" s="17"/>
      <c r="DC13" s="84"/>
      <c r="DD13" s="84"/>
      <c r="DE13" s="84"/>
      <c r="DF13" s="84"/>
      <c r="DG13" s="84"/>
      <c r="DH13" s="84"/>
      <c r="DI13" s="84"/>
      <c r="DJ13" s="84"/>
      <c r="DK13" s="84"/>
      <c r="DL13" s="84"/>
      <c r="DM13" s="84"/>
      <c r="DN13" s="84"/>
      <c r="DO13" s="84"/>
      <c r="DP13" s="84"/>
      <c r="DQ13" s="84"/>
      <c r="DR13" s="84"/>
      <c r="DS13" s="84"/>
      <c r="DT13" s="84"/>
      <c r="DU13" s="84"/>
      <c r="DV13" s="84"/>
      <c r="DW13" s="84"/>
      <c r="DX13" s="84"/>
    </row>
    <row r="14" spans="1:128" s="3" customFormat="1" ht="15" hidden="1" customHeight="1" thickTop="1" x14ac:dyDescent="0.2">
      <c r="A14" s="8">
        <v>2007</v>
      </c>
      <c r="B14" s="18">
        <v>9.9000000000000005E-2</v>
      </c>
      <c r="C14" s="18">
        <f t="shared" si="3"/>
        <v>0.31361901703463801</v>
      </c>
      <c r="D14" s="16">
        <f t="shared" si="0"/>
        <v>31.349682483744399</v>
      </c>
      <c r="E14" s="44"/>
      <c r="F14" s="16"/>
      <c r="G14" s="18"/>
      <c r="H14" s="18"/>
      <c r="I14" s="18"/>
      <c r="J14" s="18"/>
      <c r="K14" s="44"/>
      <c r="L14" s="18"/>
      <c r="M14" s="36">
        <f>Table2[[#This Row],[Annual benefit payments (closed scheme)]]/(1+Table2[[#This Row],[Compounded discount rate A1]])</f>
        <v>0</v>
      </c>
      <c r="N14" s="49"/>
      <c r="O14" s="36"/>
      <c r="P14" s="36"/>
      <c r="Q14" s="36"/>
      <c r="R14" s="36"/>
      <c r="S14" s="44"/>
      <c r="T14" s="43"/>
      <c r="U14" s="36">
        <f>Table2[[#This Row],[Annual benefit payments (closed scheme)]]/(1+Table2[[#This Row],[Compounded discount rate A1]])</f>
        <v>0</v>
      </c>
      <c r="V14" s="36"/>
      <c r="W14" s="36"/>
      <c r="X14" s="36"/>
      <c r="Y14" s="36"/>
      <c r="Z14" s="48"/>
      <c r="AA14" s="82"/>
      <c r="AB14" s="18">
        <f>Table2[[#This Row],[Discount rate B]]</f>
        <v>0</v>
      </c>
      <c r="AC14" s="36">
        <f>Table2[[#This Row],[Annual benefit payments (closed scheme)]]/(1+Table2[[#This Row],[Compounded discount rate A1]])</f>
        <v>0</v>
      </c>
      <c r="AD14" s="45"/>
      <c r="AE14" s="45"/>
      <c r="AF14" s="45"/>
      <c r="AG14" s="45"/>
      <c r="AH14" s="79"/>
      <c r="AI14" s="45"/>
      <c r="AJ14" s="45"/>
      <c r="AK14" s="45"/>
      <c r="AL14" s="45"/>
      <c r="AM14" s="45">
        <f>Table2[[#This Row],[Asset growth B]]</f>
        <v>0</v>
      </c>
      <c r="AN14" s="45"/>
      <c r="AO14" s="45"/>
      <c r="AP14" s="45"/>
      <c r="AQ14" s="45"/>
      <c r="AR14" s="45"/>
      <c r="AS14" s="45"/>
      <c r="AT14" s="45"/>
      <c r="AU14" s="45"/>
      <c r="AV14" s="45"/>
      <c r="AW14" s="45"/>
      <c r="AX14" s="45"/>
      <c r="AY14" s="45"/>
      <c r="AZ14" s="45"/>
      <c r="BA14" s="45"/>
      <c r="BB14" s="45"/>
      <c r="BC14" s="45"/>
      <c r="BD14" s="45"/>
      <c r="BE14" s="45"/>
      <c r="BF14" s="45"/>
      <c r="BG14" s="45"/>
      <c r="BH14" s="45"/>
      <c r="BI14" s="45"/>
      <c r="BJ14" s="49"/>
      <c r="BK14" s="36"/>
      <c r="BL14" s="45"/>
      <c r="BM14" s="45"/>
      <c r="BN14" s="79"/>
      <c r="BO14" s="45"/>
      <c r="BP14" s="45"/>
      <c r="BQ14" s="45">
        <f t="shared" si="1"/>
        <v>112.47213748391445</v>
      </c>
      <c r="BR14" s="45"/>
      <c r="BS14" s="45"/>
      <c r="BT14" s="45"/>
      <c r="BU14" s="45"/>
      <c r="BV14" s="45"/>
      <c r="BW14" s="45"/>
      <c r="BX14" s="45"/>
      <c r="BY14" s="45"/>
      <c r="BZ14" s="45">
        <f t="shared" si="2"/>
        <v>93.495659280938554</v>
      </c>
      <c r="CA14" s="45"/>
      <c r="CB14" s="45"/>
      <c r="CC14" s="45">
        <f>Table2[[#This Row],[Asset growth, ongoing scheme, with November de-risking, net of contributions and payments]]/(1+Table2[Compounded CPI])</f>
        <v>0</v>
      </c>
      <c r="CD14" s="45"/>
      <c r="CE14" s="45">
        <f>Table2[[#This Row],[Asset growth, ongoing scheme, with September de-risking, net of contributions and payments]]/(1+Table2[Compounded discount rate A1])</f>
        <v>0</v>
      </c>
      <c r="CF14" s="45">
        <f>Table2[[#This Row],[Asset growth, ongoing scheme, with September de-risking, net of contributions and payments]]/(1+Table2[Compounded CPI])</f>
        <v>0</v>
      </c>
      <c r="CG14" s="45"/>
      <c r="CH14" s="45">
        <f>Table2[[#This Row],[Asset growth, ongoing scheme, no de-risking, net of contributions and payments]]/(1+Table2[Compounded discount rate B])</f>
        <v>0</v>
      </c>
      <c r="CI14" s="45">
        <f>Table2[[#This Row],[Asset growth, ongoing scheme, no de-risking, net of contributions and payments]]/(1+Table2[Compounded CPI])</f>
        <v>0</v>
      </c>
      <c r="CJ14" s="45"/>
      <c r="CK14" s="45">
        <f>Table2[[#This Row],[Asset growth, ongoing scheme, best-estimates, no de-risking, net of contributions and payments ]]/(1+Table2[Compounded discount rate E])</f>
        <v>0</v>
      </c>
      <c r="CL14" s="45">
        <f>Table2[[#This Row],[Asset growth, ongoing scheme, best-estimates, no de-risking, net of contributions and payments ]]/(1+Table2[Compounded CPI])</f>
        <v>0</v>
      </c>
      <c r="CM14" s="44"/>
      <c r="CN14" s="43"/>
      <c r="CO14" s="43"/>
      <c r="CP14" s="43"/>
      <c r="CQ14" s="46"/>
      <c r="CR14" s="47"/>
      <c r="CS14" s="36"/>
      <c r="CT14" s="36"/>
      <c r="CU14" s="48"/>
      <c r="CV14" s="65"/>
      <c r="CW14" s="36"/>
      <c r="CX14" s="36"/>
      <c r="CY14" s="36"/>
      <c r="CZ14" s="36"/>
      <c r="DA14" s="36"/>
      <c r="DB14" s="17"/>
      <c r="DC14" s="84"/>
      <c r="DD14" s="84"/>
      <c r="DE14" s="84"/>
      <c r="DF14" s="84"/>
      <c r="DG14" s="84"/>
      <c r="DH14" s="84"/>
      <c r="DI14" s="84"/>
      <c r="DJ14" s="84"/>
      <c r="DK14" s="84"/>
      <c r="DL14" s="84"/>
      <c r="DM14" s="84"/>
      <c r="DN14" s="84"/>
      <c r="DO14" s="84"/>
      <c r="DP14" s="84"/>
      <c r="DQ14" s="84"/>
      <c r="DR14" s="84"/>
      <c r="DS14" s="84"/>
      <c r="DT14" s="84"/>
      <c r="DU14" s="84"/>
      <c r="DV14" s="84"/>
      <c r="DW14" s="84"/>
      <c r="DX14" s="84"/>
    </row>
    <row r="15" spans="1:128" s="3" customFormat="1" ht="15" hidden="1" customHeight="1" thickTop="1" x14ac:dyDescent="0.2">
      <c r="A15" s="8">
        <v>2008</v>
      </c>
      <c r="B15" s="18">
        <v>7.4999999999999997E-2</v>
      </c>
      <c r="C15" s="18">
        <f t="shared" si="3"/>
        <v>0.41214044331223576</v>
      </c>
      <c r="D15" s="16">
        <f t="shared" si="0"/>
        <v>33.700908670025228</v>
      </c>
      <c r="E15" s="44" t="s">
        <v>2</v>
      </c>
      <c r="F15" s="16">
        <f>Table2[[#This Row],[Equivalent value of 2017 assets]]</f>
        <v>33.700908670025228</v>
      </c>
      <c r="G15" s="18"/>
      <c r="H15" s="18"/>
      <c r="I15" s="18"/>
      <c r="J15" s="18"/>
      <c r="K15" s="44"/>
      <c r="L15" s="18"/>
      <c r="M15" s="36">
        <f>Table2[[#This Row],[Annual benefit payments (closed scheme)]]/(1+Table2[[#This Row],[Compounded discount rate A1]])</f>
        <v>0</v>
      </c>
      <c r="N15" s="49"/>
      <c r="O15" s="36"/>
      <c r="P15" s="36"/>
      <c r="Q15" s="36"/>
      <c r="R15" s="36"/>
      <c r="S15" s="44"/>
      <c r="T15" s="43"/>
      <c r="U15" s="36">
        <f>Table2[[#This Row],[Annual benefit payments (closed scheme)]]/(1+Table2[[#This Row],[Compounded discount rate A1]])</f>
        <v>0</v>
      </c>
      <c r="V15" s="36"/>
      <c r="W15" s="36"/>
      <c r="X15" s="36"/>
      <c r="Y15" s="36"/>
      <c r="Z15" s="48"/>
      <c r="AA15" s="82"/>
      <c r="AB15" s="18">
        <f>Table2[[#This Row],[Discount rate B]]</f>
        <v>0</v>
      </c>
      <c r="AC15" s="36">
        <f>Table2[[#This Row],[Annual benefit payments (closed scheme)]]/(1+Table2[[#This Row],[Compounded discount rate A1]])</f>
        <v>0</v>
      </c>
      <c r="AD15" s="45"/>
      <c r="AE15" s="45"/>
      <c r="AF15" s="45"/>
      <c r="AG15" s="45"/>
      <c r="AH15" s="79"/>
      <c r="AI15" s="45"/>
      <c r="AJ15" s="45"/>
      <c r="AK15" s="45"/>
      <c r="AL15" s="45"/>
      <c r="AM15" s="45">
        <f>Table2[[#This Row],[Asset growth B]]</f>
        <v>0</v>
      </c>
      <c r="AN15" s="45"/>
      <c r="AO15" s="45"/>
      <c r="AP15" s="45"/>
      <c r="AQ15" s="45"/>
      <c r="AR15" s="45"/>
      <c r="AS15" s="45"/>
      <c r="AT15" s="45"/>
      <c r="AU15" s="45"/>
      <c r="AV15" s="45"/>
      <c r="AW15" s="45"/>
      <c r="AX15" s="45"/>
      <c r="AY15" s="45"/>
      <c r="AZ15" s="45"/>
      <c r="BA15" s="45"/>
      <c r="BB15" s="45"/>
      <c r="BC15" s="45"/>
      <c r="BD15" s="45"/>
      <c r="BE15" s="45"/>
      <c r="BF15" s="45"/>
      <c r="BG15" s="45"/>
      <c r="BH15" s="45"/>
      <c r="BI15" s="45"/>
      <c r="BJ15" s="49"/>
      <c r="BK15" s="36"/>
      <c r="BL15" s="45"/>
      <c r="BM15" s="45"/>
      <c r="BN15" s="79"/>
      <c r="BO15" s="45"/>
      <c r="BP15" s="45"/>
      <c r="BQ15" s="45">
        <f t="shared" si="1"/>
        <v>112.48548581202843</v>
      </c>
      <c r="BR15" s="45"/>
      <c r="BS15" s="45"/>
      <c r="BT15" s="45"/>
      <c r="BU15" s="45"/>
      <c r="BV15" s="45"/>
      <c r="BW15" s="45"/>
      <c r="BX15" s="45"/>
      <c r="BY15" s="45"/>
      <c r="BZ15" s="45">
        <f t="shared" si="2"/>
        <v>93.502019171584408</v>
      </c>
      <c r="CA15" s="45"/>
      <c r="CB15" s="45"/>
      <c r="CC15" s="45">
        <f>Table2[[#This Row],[Asset growth, ongoing scheme, with November de-risking, net of contributions and payments]]/(1+Table2[Compounded CPI])</f>
        <v>0</v>
      </c>
      <c r="CD15" s="45"/>
      <c r="CE15" s="45">
        <f>Table2[[#This Row],[Asset growth, ongoing scheme, with September de-risking, net of contributions and payments]]/(1+Table2[Compounded discount rate A1])</f>
        <v>0</v>
      </c>
      <c r="CF15" s="45">
        <f>Table2[[#This Row],[Asset growth, ongoing scheme, with September de-risking, net of contributions and payments]]/(1+Table2[Compounded CPI])</f>
        <v>0</v>
      </c>
      <c r="CG15" s="45"/>
      <c r="CH15" s="45">
        <f>Table2[[#This Row],[Asset growth, ongoing scheme, no de-risking, net of contributions and payments]]/(1+Table2[Compounded discount rate B])</f>
        <v>0</v>
      </c>
      <c r="CI15" s="45">
        <f>Table2[[#This Row],[Asset growth, ongoing scheme, no de-risking, net of contributions and payments]]/(1+Table2[Compounded CPI])</f>
        <v>0</v>
      </c>
      <c r="CJ15" s="45"/>
      <c r="CK15" s="45">
        <f>Table2[[#This Row],[Asset growth, ongoing scheme, best-estimates, no de-risking, net of contributions and payments ]]/(1+Table2[Compounded discount rate E])</f>
        <v>0</v>
      </c>
      <c r="CL15" s="45">
        <f>Table2[[#This Row],[Asset growth, ongoing scheme, best-estimates, no de-risking, net of contributions and payments ]]/(1+Table2[Compounded CPI])</f>
        <v>0</v>
      </c>
      <c r="CM15" s="44"/>
      <c r="CN15" s="43"/>
      <c r="CO15" s="43"/>
      <c r="CP15" s="43"/>
      <c r="CQ15" s="46"/>
      <c r="CR15" s="47"/>
      <c r="CS15" s="36"/>
      <c r="CT15" s="36"/>
      <c r="CU15" s="48"/>
      <c r="CV15" s="65"/>
      <c r="CW15" s="36"/>
      <c r="CX15" s="36"/>
      <c r="CY15" s="36"/>
      <c r="CZ15" s="36"/>
      <c r="DA15" s="36"/>
      <c r="DB15" s="17"/>
      <c r="DC15" s="84"/>
      <c r="DD15" s="84"/>
      <c r="DE15" s="84"/>
      <c r="DF15" s="84"/>
      <c r="DG15" s="84"/>
      <c r="DH15" s="84"/>
      <c r="DI15" s="84"/>
      <c r="DJ15" s="84"/>
      <c r="DK15" s="84"/>
      <c r="DL15" s="84"/>
      <c r="DM15" s="84"/>
      <c r="DN15" s="84"/>
      <c r="DO15" s="84"/>
      <c r="DP15" s="84"/>
      <c r="DQ15" s="84"/>
      <c r="DR15" s="84"/>
      <c r="DS15" s="84"/>
      <c r="DT15" s="84"/>
      <c r="DU15" s="84"/>
      <c r="DV15" s="84"/>
      <c r="DW15" s="84"/>
      <c r="DX15" s="84"/>
    </row>
    <row r="16" spans="1:128" s="3" customFormat="1" ht="15" hidden="1" customHeight="1" thickTop="1" x14ac:dyDescent="0.2">
      <c r="A16" s="8">
        <v>2009</v>
      </c>
      <c r="B16" s="18">
        <v>-0.27200000000000002</v>
      </c>
      <c r="C16" s="18">
        <f t="shared" si="3"/>
        <v>2.8038242731307506E-2</v>
      </c>
      <c r="D16" s="16">
        <f t="shared" si="0"/>
        <v>24.534261511778368</v>
      </c>
      <c r="E16" s="35">
        <v>6.0999999999999999E-2</v>
      </c>
      <c r="F16" s="16">
        <f>F15*(1+Table2[[#This Row],[2008 discount rate]])</f>
        <v>35.756664098896763</v>
      </c>
      <c r="G16" s="18"/>
      <c r="H16" s="18"/>
      <c r="I16" s="18"/>
      <c r="J16" s="18"/>
      <c r="K16" s="44"/>
      <c r="L16" s="18"/>
      <c r="M16" s="36">
        <f>Table2[[#This Row],[Annual benefit payments (closed scheme)]]/(1+Table2[[#This Row],[Compounded discount rate A1]])</f>
        <v>0</v>
      </c>
      <c r="N16" s="49"/>
      <c r="O16" s="36"/>
      <c r="P16" s="36"/>
      <c r="Q16" s="36"/>
      <c r="R16" s="36"/>
      <c r="S16" s="44"/>
      <c r="T16" s="43"/>
      <c r="U16" s="36">
        <f>Table2[[#This Row],[Annual benefit payments (closed scheme)]]/(1+Table2[[#This Row],[Compounded discount rate A1]])</f>
        <v>0</v>
      </c>
      <c r="V16" s="36"/>
      <c r="W16" s="36"/>
      <c r="X16" s="36"/>
      <c r="Y16" s="36"/>
      <c r="Z16" s="48"/>
      <c r="AA16" s="82"/>
      <c r="AB16" s="18">
        <f>Table2[[#This Row],[Discount rate B]]</f>
        <v>0</v>
      </c>
      <c r="AC16" s="36">
        <f>Table2[[#This Row],[Annual benefit payments (closed scheme)]]/(1+Table2[[#This Row],[Compounded discount rate A1]])</f>
        <v>0</v>
      </c>
      <c r="AD16" s="45"/>
      <c r="AE16" s="45"/>
      <c r="AF16" s="45"/>
      <c r="AG16" s="45"/>
      <c r="AH16" s="79"/>
      <c r="AI16" s="45"/>
      <c r="AJ16" s="45"/>
      <c r="AK16" s="45"/>
      <c r="AL16" s="45"/>
      <c r="AM16" s="45">
        <f>Table2[[#This Row],[Asset growth B]]</f>
        <v>0</v>
      </c>
      <c r="AN16" s="45"/>
      <c r="AO16" s="45"/>
      <c r="AP16" s="45"/>
      <c r="AQ16" s="45"/>
      <c r="AR16" s="45"/>
      <c r="AS16" s="45"/>
      <c r="AT16" s="45"/>
      <c r="AU16" s="45"/>
      <c r="AV16" s="45"/>
      <c r="AW16" s="45"/>
      <c r="AX16" s="45"/>
      <c r="AY16" s="45"/>
      <c r="AZ16" s="45"/>
      <c r="BA16" s="45"/>
      <c r="BB16" s="45"/>
      <c r="BC16" s="45"/>
      <c r="BD16" s="45"/>
      <c r="BE16" s="45"/>
      <c r="BF16" s="45"/>
      <c r="BG16" s="45"/>
      <c r="BH16" s="45"/>
      <c r="BI16" s="45"/>
      <c r="BJ16" s="49"/>
      <c r="BK16" s="36"/>
      <c r="BL16" s="45"/>
      <c r="BM16" s="45"/>
      <c r="BN16" s="79"/>
      <c r="BO16" s="45"/>
      <c r="BP16" s="45"/>
      <c r="BQ16" s="45">
        <f t="shared" si="1"/>
        <v>112.49245518720215</v>
      </c>
      <c r="BR16" s="45"/>
      <c r="BS16" s="45"/>
      <c r="BT16" s="45"/>
      <c r="BU16" s="45"/>
      <c r="BV16" s="45"/>
      <c r="BW16" s="45"/>
      <c r="BX16" s="45"/>
      <c r="BY16" s="45"/>
      <c r="BZ16" s="45">
        <f t="shared" si="2"/>
        <v>93.505305172589786</v>
      </c>
      <c r="CA16" s="45"/>
      <c r="CB16" s="45"/>
      <c r="CC16" s="45">
        <f>Table2[[#This Row],[Asset growth, ongoing scheme, with November de-risking, net of contributions and payments]]/(1+Table2[Compounded CPI])</f>
        <v>0</v>
      </c>
      <c r="CD16" s="45"/>
      <c r="CE16" s="45">
        <f>Table2[[#This Row],[Asset growth, ongoing scheme, with September de-risking, net of contributions and payments]]/(1+Table2[Compounded discount rate A1])</f>
        <v>0</v>
      </c>
      <c r="CF16" s="45">
        <f>Table2[[#This Row],[Asset growth, ongoing scheme, with September de-risking, net of contributions and payments]]/(1+Table2[Compounded CPI])</f>
        <v>0</v>
      </c>
      <c r="CG16" s="45"/>
      <c r="CH16" s="45">
        <f>Table2[[#This Row],[Asset growth, ongoing scheme, no de-risking, net of contributions and payments]]/(1+Table2[Compounded discount rate B])</f>
        <v>0</v>
      </c>
      <c r="CI16" s="45">
        <f>Table2[[#This Row],[Asset growth, ongoing scheme, no de-risking, net of contributions and payments]]/(1+Table2[Compounded CPI])</f>
        <v>0</v>
      </c>
      <c r="CJ16" s="45"/>
      <c r="CK16" s="45">
        <f>Table2[[#This Row],[Asset growth, ongoing scheme, best-estimates, no de-risking, net of contributions and payments ]]/(1+Table2[Compounded discount rate E])</f>
        <v>0</v>
      </c>
      <c r="CL16" s="45">
        <f>Table2[[#This Row],[Asset growth, ongoing scheme, best-estimates, no de-risking, net of contributions and payments ]]/(1+Table2[Compounded CPI])</f>
        <v>0</v>
      </c>
      <c r="CM16" s="44"/>
      <c r="CN16" s="43"/>
      <c r="CO16" s="43"/>
      <c r="CP16" s="43"/>
      <c r="CQ16" s="46"/>
      <c r="CR16" s="47"/>
      <c r="CS16" s="36"/>
      <c r="CT16" s="36"/>
      <c r="CU16" s="48"/>
      <c r="CV16" s="65"/>
      <c r="CW16" s="36"/>
      <c r="CX16" s="36"/>
      <c r="CY16" s="36"/>
      <c r="CZ16" s="36"/>
      <c r="DA16" s="36"/>
      <c r="DB16" s="17"/>
      <c r="DC16" s="84"/>
      <c r="DD16" s="84"/>
      <c r="DE16" s="84"/>
      <c r="DF16" s="84"/>
      <c r="DG16" s="84"/>
      <c r="DH16" s="84"/>
      <c r="DI16" s="84"/>
      <c r="DJ16" s="84"/>
      <c r="DK16" s="84"/>
      <c r="DL16" s="84"/>
      <c r="DM16" s="84"/>
      <c r="DN16" s="84"/>
      <c r="DO16" s="84"/>
      <c r="DP16" s="84"/>
      <c r="DQ16" s="84"/>
      <c r="DR16" s="84"/>
      <c r="DS16" s="84"/>
      <c r="DT16" s="84"/>
      <c r="DU16" s="84"/>
      <c r="DV16" s="84"/>
      <c r="DW16" s="84"/>
      <c r="DX16" s="84"/>
    </row>
    <row r="17" spans="1:128" s="3" customFormat="1" ht="15" hidden="1" customHeight="1" thickTop="1" x14ac:dyDescent="0.2">
      <c r="A17" s="8">
        <v>2010</v>
      </c>
      <c r="B17" s="18">
        <v>0.20699999999999999</v>
      </c>
      <c r="C17" s="18">
        <f t="shared" si="3"/>
        <v>0.24084215897668826</v>
      </c>
      <c r="D17" s="16">
        <f t="shared" si="0"/>
        <v>29.612853644716491</v>
      </c>
      <c r="E17" s="35">
        <v>6.0999999999999999E-2</v>
      </c>
      <c r="F17" s="16">
        <f>F16*(1+Table2[[#This Row],[2008 discount rate]])</f>
        <v>37.937820608929464</v>
      </c>
      <c r="G17" s="18"/>
      <c r="H17" s="18"/>
      <c r="I17" s="18"/>
      <c r="J17" s="18"/>
      <c r="K17" s="44"/>
      <c r="L17" s="18"/>
      <c r="M17" s="36">
        <f>Table2[[#This Row],[Annual benefit payments (closed scheme)]]/(1+Table2[[#This Row],[Compounded discount rate A1]])</f>
        <v>0</v>
      </c>
      <c r="N17" s="49"/>
      <c r="O17" s="36"/>
      <c r="P17" s="36"/>
      <c r="Q17" s="36"/>
      <c r="R17" s="36"/>
      <c r="S17" s="44"/>
      <c r="T17" s="43"/>
      <c r="U17" s="36">
        <f>Table2[[#This Row],[Annual benefit payments (closed scheme)]]/(1+Table2[[#This Row],[Compounded discount rate A1]])</f>
        <v>0</v>
      </c>
      <c r="V17" s="36"/>
      <c r="W17" s="36"/>
      <c r="X17" s="36"/>
      <c r="Y17" s="36"/>
      <c r="Z17" s="48"/>
      <c r="AA17" s="82"/>
      <c r="AB17" s="18">
        <f>Table2[[#This Row],[Discount rate B]]</f>
        <v>0</v>
      </c>
      <c r="AC17" s="36">
        <f>Table2[[#This Row],[Annual benefit payments (closed scheme)]]/(1+Table2[[#This Row],[Compounded discount rate A1]])</f>
        <v>0</v>
      </c>
      <c r="AD17" s="45"/>
      <c r="AE17" s="45"/>
      <c r="AF17" s="45"/>
      <c r="AG17" s="45"/>
      <c r="AH17" s="79"/>
      <c r="AI17" s="45"/>
      <c r="AJ17" s="45"/>
      <c r="AK17" s="45"/>
      <c r="AL17" s="45"/>
      <c r="AM17" s="45">
        <f>Table2[[#This Row],[Asset growth B]]</f>
        <v>0</v>
      </c>
      <c r="AN17" s="45"/>
      <c r="AO17" s="45"/>
      <c r="AP17" s="45"/>
      <c r="AQ17" s="45"/>
      <c r="AR17" s="45"/>
      <c r="AS17" s="45"/>
      <c r="AT17" s="45"/>
      <c r="AU17" s="45"/>
      <c r="AV17" s="45"/>
      <c r="AW17" s="45"/>
      <c r="AX17" s="45"/>
      <c r="AY17" s="45"/>
      <c r="AZ17" s="45"/>
      <c r="BA17" s="45"/>
      <c r="BB17" s="45"/>
      <c r="BC17" s="45"/>
      <c r="BD17" s="45"/>
      <c r="BE17" s="45"/>
      <c r="BF17" s="45"/>
      <c r="BG17" s="45"/>
      <c r="BH17" s="45"/>
      <c r="BI17" s="45"/>
      <c r="BJ17" s="49"/>
      <c r="BK17" s="36"/>
      <c r="BL17" s="45"/>
      <c r="BM17" s="45"/>
      <c r="BN17" s="79"/>
      <c r="BO17" s="45"/>
      <c r="BP17" s="45"/>
      <c r="BQ17" s="45">
        <f t="shared" si="1"/>
        <v>112.49857042976868</v>
      </c>
      <c r="BR17" s="45"/>
      <c r="BS17" s="45"/>
      <c r="BT17" s="45"/>
      <c r="BU17" s="45"/>
      <c r="BV17" s="45"/>
      <c r="BW17" s="45"/>
      <c r="BX17" s="45"/>
      <c r="BY17" s="45"/>
      <c r="BZ17" s="45">
        <f t="shared" si="2"/>
        <v>93.508158414598185</v>
      </c>
      <c r="CA17" s="45"/>
      <c r="CB17" s="45"/>
      <c r="CC17" s="45">
        <f>Table2[[#This Row],[Asset growth, ongoing scheme, with November de-risking, net of contributions and payments]]/(1+Table2[Compounded CPI])</f>
        <v>0</v>
      </c>
      <c r="CD17" s="45"/>
      <c r="CE17" s="45">
        <f>Table2[[#This Row],[Asset growth, ongoing scheme, with September de-risking, net of contributions and payments]]/(1+Table2[Compounded discount rate A1])</f>
        <v>0</v>
      </c>
      <c r="CF17" s="45">
        <f>Table2[[#This Row],[Asset growth, ongoing scheme, with September de-risking, net of contributions and payments]]/(1+Table2[Compounded CPI])</f>
        <v>0</v>
      </c>
      <c r="CG17" s="45"/>
      <c r="CH17" s="45">
        <f>Table2[[#This Row],[Asset growth, ongoing scheme, no de-risking, net of contributions and payments]]/(1+Table2[Compounded discount rate B])</f>
        <v>0</v>
      </c>
      <c r="CI17" s="45">
        <f>Table2[[#This Row],[Asset growth, ongoing scheme, no de-risking, net of contributions and payments]]/(1+Table2[Compounded CPI])</f>
        <v>0</v>
      </c>
      <c r="CJ17" s="45"/>
      <c r="CK17" s="45">
        <f>Table2[[#This Row],[Asset growth, ongoing scheme, best-estimates, no de-risking, net of contributions and payments ]]/(1+Table2[Compounded discount rate E])</f>
        <v>0</v>
      </c>
      <c r="CL17" s="45">
        <f>Table2[[#This Row],[Asset growth, ongoing scheme, best-estimates, no de-risking, net of contributions and payments ]]/(1+Table2[Compounded CPI])</f>
        <v>0</v>
      </c>
      <c r="CM17" s="44"/>
      <c r="CN17" s="43"/>
      <c r="CO17" s="43"/>
      <c r="CP17" s="43"/>
      <c r="CQ17" s="46"/>
      <c r="CR17" s="47"/>
      <c r="CS17" s="36"/>
      <c r="CT17" s="36"/>
      <c r="CU17" s="48"/>
      <c r="CV17" s="65"/>
      <c r="CW17" s="36"/>
      <c r="CX17" s="36"/>
      <c r="CY17" s="36"/>
      <c r="CZ17" s="36"/>
      <c r="DA17" s="36"/>
      <c r="DB17" s="17"/>
      <c r="DC17" s="84"/>
      <c r="DD17" s="84"/>
      <c r="DE17" s="84"/>
      <c r="DF17" s="84"/>
      <c r="DG17" s="84"/>
      <c r="DH17" s="84"/>
      <c r="DI17" s="84"/>
      <c r="DJ17" s="84"/>
      <c r="DK17" s="84"/>
      <c r="DL17" s="84"/>
      <c r="DM17" s="84"/>
      <c r="DN17" s="84"/>
      <c r="DO17" s="84"/>
      <c r="DP17" s="84"/>
      <c r="DQ17" s="84"/>
      <c r="DR17" s="84"/>
      <c r="DS17" s="84"/>
      <c r="DT17" s="84"/>
      <c r="DU17" s="84"/>
      <c r="DV17" s="84"/>
      <c r="DW17" s="84"/>
      <c r="DX17" s="84"/>
    </row>
    <row r="18" spans="1:128" s="3" customFormat="1" ht="15" hidden="1" customHeight="1" thickTop="1" x14ac:dyDescent="0.2">
      <c r="A18" s="8">
        <v>2011</v>
      </c>
      <c r="B18" s="18">
        <v>0.11700000000000001</v>
      </c>
      <c r="C18" s="18">
        <f t="shared" si="3"/>
        <v>0.38602069157696084</v>
      </c>
      <c r="D18" s="16">
        <f t="shared" si="0"/>
        <v>33.077557521148321</v>
      </c>
      <c r="E18" s="35">
        <v>6.0999999999999999E-2</v>
      </c>
      <c r="F18" s="16">
        <f>F17*(1+Table2[[#This Row],[2008 discount rate]])</f>
        <v>40.252027666074156</v>
      </c>
      <c r="G18" s="18" t="s">
        <v>2</v>
      </c>
      <c r="H18" s="16">
        <f>Table2[[#This Row],[Equivalent value of 2017 assets]]</f>
        <v>33.077557521148321</v>
      </c>
      <c r="I18" s="18"/>
      <c r="J18" s="36"/>
      <c r="K18" s="44"/>
      <c r="L18" s="18"/>
      <c r="M18" s="36">
        <f>Table2[[#This Row],[Annual benefit payments (closed scheme)]]/(1+Table2[[#This Row],[Compounded discount rate A1]])</f>
        <v>0</v>
      </c>
      <c r="N18" s="49"/>
      <c r="O18" s="36"/>
      <c r="P18" s="36"/>
      <c r="Q18" s="36"/>
      <c r="R18" s="36"/>
      <c r="S18" s="44"/>
      <c r="T18" s="43"/>
      <c r="U18" s="36">
        <f>Table2[[#This Row],[Annual benefit payments (closed scheme)]]/(1+Table2[[#This Row],[Compounded discount rate A1]])</f>
        <v>0</v>
      </c>
      <c r="V18" s="36"/>
      <c r="W18" s="36"/>
      <c r="X18" s="36"/>
      <c r="Y18" s="36"/>
      <c r="Z18" s="48"/>
      <c r="AA18" s="82"/>
      <c r="AB18" s="18">
        <f>Table2[[#This Row],[Discount rate B]]</f>
        <v>0</v>
      </c>
      <c r="AC18" s="36">
        <f>Table2[[#This Row],[Annual benefit payments (closed scheme)]]/(1+Table2[[#This Row],[Compounded discount rate A1]])</f>
        <v>0</v>
      </c>
      <c r="AD18" s="45"/>
      <c r="AE18" s="45"/>
      <c r="AF18" s="45"/>
      <c r="AG18" s="45"/>
      <c r="AH18" s="79"/>
      <c r="AI18" s="45"/>
      <c r="AJ18" s="45"/>
      <c r="AK18" s="45"/>
      <c r="AL18" s="45"/>
      <c r="AM18" s="45">
        <f>Table2[[#This Row],[Asset growth B]]</f>
        <v>0</v>
      </c>
      <c r="AN18" s="45"/>
      <c r="AO18" s="45"/>
      <c r="AP18" s="45"/>
      <c r="AQ18" s="45"/>
      <c r="AR18" s="45"/>
      <c r="AS18" s="45"/>
      <c r="AT18" s="45"/>
      <c r="AU18" s="45"/>
      <c r="AV18" s="45"/>
      <c r="AW18" s="45"/>
      <c r="AX18" s="45"/>
      <c r="AY18" s="45"/>
      <c r="AZ18" s="45"/>
      <c r="BA18" s="45"/>
      <c r="BB18" s="45"/>
      <c r="BC18" s="45"/>
      <c r="BD18" s="45"/>
      <c r="BE18" s="45"/>
      <c r="BF18" s="45"/>
      <c r="BG18" s="45"/>
      <c r="BH18" s="45"/>
      <c r="BI18" s="45"/>
      <c r="BJ18" s="49"/>
      <c r="BK18" s="36"/>
      <c r="BL18" s="45"/>
      <c r="BM18" s="45"/>
      <c r="BN18" s="79"/>
      <c r="BO18" s="45"/>
      <c r="BP18" s="45"/>
      <c r="BQ18" s="45">
        <f t="shared" si="1"/>
        <v>112.49910257406121</v>
      </c>
      <c r="BR18" s="45"/>
      <c r="BS18" s="45"/>
      <c r="BT18" s="45"/>
      <c r="BU18" s="45"/>
      <c r="BV18" s="45"/>
      <c r="BW18" s="45"/>
      <c r="BX18" s="45"/>
      <c r="BY18" s="45"/>
      <c r="BZ18" s="45">
        <f t="shared" si="2"/>
        <v>93.508404114737544</v>
      </c>
      <c r="CA18" s="45"/>
      <c r="CB18" s="45"/>
      <c r="CC18" s="45">
        <f>Table2[[#This Row],[Asset growth, ongoing scheme, with November de-risking, net of contributions and payments]]/(1+Table2[Compounded CPI])</f>
        <v>0</v>
      </c>
      <c r="CD18" s="45"/>
      <c r="CE18" s="45">
        <f>Table2[[#This Row],[Asset growth, ongoing scheme, with September de-risking, net of contributions and payments]]/(1+Table2[Compounded discount rate A1])</f>
        <v>0</v>
      </c>
      <c r="CF18" s="45">
        <f>Table2[[#This Row],[Asset growth, ongoing scheme, with September de-risking, net of contributions and payments]]/(1+Table2[Compounded CPI])</f>
        <v>0</v>
      </c>
      <c r="CG18" s="45"/>
      <c r="CH18" s="45">
        <f>Table2[[#This Row],[Asset growth, ongoing scheme, no de-risking, net of contributions and payments]]/(1+Table2[Compounded discount rate B])</f>
        <v>0</v>
      </c>
      <c r="CI18" s="45">
        <f>Table2[[#This Row],[Asset growth, ongoing scheme, no de-risking, net of contributions and payments]]/(1+Table2[Compounded CPI])</f>
        <v>0</v>
      </c>
      <c r="CJ18" s="45"/>
      <c r="CK18" s="45">
        <f>Table2[[#This Row],[Asset growth, ongoing scheme, best-estimates, no de-risking, net of contributions and payments ]]/(1+Table2[Compounded discount rate E])</f>
        <v>0</v>
      </c>
      <c r="CL18" s="45">
        <f>Table2[[#This Row],[Asset growth, ongoing scheme, best-estimates, no de-risking, net of contributions and payments ]]/(1+Table2[Compounded CPI])</f>
        <v>0</v>
      </c>
      <c r="CM18" s="44"/>
      <c r="CN18" s="43"/>
      <c r="CO18" s="43"/>
      <c r="CP18" s="43"/>
      <c r="CQ18" s="46"/>
      <c r="CR18" s="47"/>
      <c r="CS18" s="36"/>
      <c r="CT18" s="36"/>
      <c r="CU18" s="48"/>
      <c r="CV18" s="65"/>
      <c r="CW18" s="36"/>
      <c r="CX18" s="36"/>
      <c r="CY18" s="36"/>
      <c r="CZ18" s="36"/>
      <c r="DA18" s="36"/>
      <c r="DB18" s="17"/>
      <c r="DC18" s="84"/>
      <c r="DD18" s="84"/>
      <c r="DE18" s="84"/>
      <c r="DF18" s="84"/>
      <c r="DG18" s="84"/>
      <c r="DH18" s="84"/>
      <c r="DI18" s="84"/>
      <c r="DJ18" s="84"/>
      <c r="DK18" s="84"/>
      <c r="DL18" s="84"/>
      <c r="DM18" s="84"/>
      <c r="DN18" s="84"/>
      <c r="DO18" s="84"/>
      <c r="DP18" s="84"/>
      <c r="DQ18" s="84"/>
      <c r="DR18" s="84"/>
      <c r="DS18" s="84"/>
      <c r="DT18" s="84"/>
      <c r="DU18" s="84"/>
      <c r="DV18" s="84"/>
      <c r="DW18" s="84"/>
      <c r="DX18" s="84"/>
    </row>
    <row r="19" spans="1:128" s="3" customFormat="1" ht="15" hidden="1" customHeight="1" thickTop="1" x14ac:dyDescent="0.2">
      <c r="A19" s="8">
        <v>2012</v>
      </c>
      <c r="B19" s="18">
        <v>3.2000000000000002E-3</v>
      </c>
      <c r="C19" s="18">
        <f t="shared" si="3"/>
        <v>0.3904559577900073</v>
      </c>
      <c r="D19" s="16">
        <f t="shared" si="0"/>
        <v>33.183405705215996</v>
      </c>
      <c r="E19" s="35">
        <v>6.0999999999999999E-2</v>
      </c>
      <c r="F19" s="16">
        <f>F18*(1+Table2[[#This Row],[2008 discount rate]])</f>
        <v>42.707401353704675</v>
      </c>
      <c r="G19" s="18">
        <v>6.0999999999999999E-2</v>
      </c>
      <c r="H19" s="16">
        <f>H18*(1+Table2[[#This Row],[2011 discount rate]])</f>
        <v>35.095288529938365</v>
      </c>
      <c r="I19" s="36"/>
      <c r="J19" s="36"/>
      <c r="K19" s="35"/>
      <c r="L19" s="18"/>
      <c r="M19" s="36">
        <f>Table2[[#This Row],[Annual benefit payments (closed scheme)]]/(1+Table2[[#This Row],[Compounded discount rate A1]])</f>
        <v>0</v>
      </c>
      <c r="N19" s="49"/>
      <c r="O19" s="36"/>
      <c r="P19" s="36"/>
      <c r="Q19" s="36"/>
      <c r="R19" s="36"/>
      <c r="S19" s="44"/>
      <c r="T19" s="43"/>
      <c r="U19" s="36">
        <f>Table2[[#This Row],[Annual benefit payments (closed scheme)]]/(1+Table2[[#This Row],[Compounded discount rate A1]])</f>
        <v>0</v>
      </c>
      <c r="V19" s="36"/>
      <c r="W19" s="36"/>
      <c r="X19" s="36"/>
      <c r="Y19" s="36"/>
      <c r="Z19" s="48"/>
      <c r="AA19" s="82"/>
      <c r="AB19" s="18">
        <f>Table2[[#This Row],[Discount rate B]]</f>
        <v>0</v>
      </c>
      <c r="AC19" s="36">
        <f>Table2[[#This Row],[Annual benefit payments (closed scheme)]]/(1+Table2[[#This Row],[Compounded discount rate A1]])</f>
        <v>0</v>
      </c>
      <c r="AD19" s="45"/>
      <c r="AE19" s="45"/>
      <c r="AF19" s="45"/>
      <c r="AG19" s="45"/>
      <c r="AH19" s="79"/>
      <c r="AI19" s="45"/>
      <c r="AJ19" s="45"/>
      <c r="AK19" s="45"/>
      <c r="AL19" s="45"/>
      <c r="AM19" s="45">
        <f>Table2[[#This Row],[Asset growth B]]</f>
        <v>0</v>
      </c>
      <c r="AN19" s="45"/>
      <c r="AO19" s="45"/>
      <c r="AP19" s="45"/>
      <c r="AQ19" s="45"/>
      <c r="AR19" s="45"/>
      <c r="AS19" s="45"/>
      <c r="AT19" s="45"/>
      <c r="AU19" s="45"/>
      <c r="AV19" s="45"/>
      <c r="AW19" s="45"/>
      <c r="AX19" s="45"/>
      <c r="AY19" s="45"/>
      <c r="AZ19" s="45"/>
      <c r="BA19" s="45"/>
      <c r="BB19" s="45"/>
      <c r="BC19" s="45"/>
      <c r="BD19" s="45"/>
      <c r="BE19" s="45"/>
      <c r="BF19" s="45"/>
      <c r="BG19" s="45"/>
      <c r="BH19" s="45"/>
      <c r="BI19" s="45"/>
      <c r="BJ19" s="49"/>
      <c r="BK19" s="36"/>
      <c r="BL19" s="45"/>
      <c r="BM19" s="45"/>
      <c r="BN19" s="79"/>
      <c r="BO19" s="45"/>
      <c r="BP19" s="45"/>
      <c r="BQ19" s="45">
        <f t="shared" si="1"/>
        <v>112.50470570148333</v>
      </c>
      <c r="BR19" s="45"/>
      <c r="BS19" s="45"/>
      <c r="BT19" s="45"/>
      <c r="BU19" s="45"/>
      <c r="BV19" s="45"/>
      <c r="BW19" s="45"/>
      <c r="BX19" s="45"/>
      <c r="BY19" s="45"/>
      <c r="BZ19" s="45">
        <f t="shared" si="2"/>
        <v>93.510964218491452</v>
      </c>
      <c r="CA19" s="45"/>
      <c r="CB19" s="45"/>
      <c r="CC19" s="45">
        <f>Table2[[#This Row],[Asset growth, ongoing scheme, with November de-risking, net of contributions and payments]]/(1+Table2[Compounded CPI])</f>
        <v>0</v>
      </c>
      <c r="CD19" s="45"/>
      <c r="CE19" s="45">
        <f>Table2[[#This Row],[Asset growth, ongoing scheme, with September de-risking, net of contributions and payments]]/(1+Table2[Compounded discount rate A1])</f>
        <v>0</v>
      </c>
      <c r="CF19" s="45">
        <f>Table2[[#This Row],[Asset growth, ongoing scheme, with September de-risking, net of contributions and payments]]/(1+Table2[Compounded CPI])</f>
        <v>0</v>
      </c>
      <c r="CG19" s="45"/>
      <c r="CH19" s="45">
        <f>Table2[[#This Row],[Asset growth, ongoing scheme, no de-risking, net of contributions and payments]]/(1+Table2[Compounded discount rate B])</f>
        <v>0</v>
      </c>
      <c r="CI19" s="45">
        <f>Table2[[#This Row],[Asset growth, ongoing scheme, no de-risking, net of contributions and payments]]/(1+Table2[Compounded CPI])</f>
        <v>0</v>
      </c>
      <c r="CJ19" s="45"/>
      <c r="CK19" s="45">
        <f>Table2[[#This Row],[Asset growth, ongoing scheme, best-estimates, no de-risking, net of contributions and payments ]]/(1+Table2[Compounded discount rate E])</f>
        <v>0</v>
      </c>
      <c r="CL19" s="45">
        <f>Table2[[#This Row],[Asset growth, ongoing scheme, best-estimates, no de-risking, net of contributions and payments ]]/(1+Table2[Compounded CPI])</f>
        <v>0</v>
      </c>
      <c r="CM19" s="44"/>
      <c r="CN19" s="43"/>
      <c r="CO19" s="43"/>
      <c r="CP19" s="43"/>
      <c r="CQ19" s="46"/>
      <c r="CR19" s="47"/>
      <c r="CS19" s="36"/>
      <c r="CT19" s="36"/>
      <c r="CU19" s="48"/>
      <c r="CV19" s="65"/>
      <c r="CW19" s="36"/>
      <c r="CX19" s="36"/>
      <c r="CY19" s="36"/>
      <c r="CZ19" s="36"/>
      <c r="DA19" s="36"/>
      <c r="DB19" s="17"/>
      <c r="DC19" s="84"/>
      <c r="DD19" s="84"/>
      <c r="DE19" s="84"/>
      <c r="DF19" s="84"/>
      <c r="DG19" s="84"/>
      <c r="DH19" s="84"/>
      <c r="DI19" s="84"/>
      <c r="DJ19" s="84"/>
      <c r="DK19" s="84"/>
      <c r="DL19" s="84"/>
      <c r="DM19" s="84"/>
      <c r="DN19" s="84"/>
      <c r="DO19" s="84"/>
      <c r="DP19" s="84"/>
      <c r="DQ19" s="84"/>
      <c r="DR19" s="84"/>
      <c r="DS19" s="84"/>
      <c r="DT19" s="84"/>
      <c r="DU19" s="84"/>
      <c r="DV19" s="84"/>
      <c r="DW19" s="84"/>
      <c r="DX19" s="84"/>
    </row>
    <row r="20" spans="1:128" s="3" customFormat="1" ht="15" hidden="1" customHeight="1" thickTop="1" x14ac:dyDescent="0.2">
      <c r="A20" s="8">
        <v>2013</v>
      </c>
      <c r="B20" s="18">
        <v>0.114</v>
      </c>
      <c r="C20" s="18">
        <f t="shared" si="3"/>
        <v>0.54896793697806823</v>
      </c>
      <c r="D20" s="16">
        <f t="shared" si="0"/>
        <v>36.966313955610623</v>
      </c>
      <c r="E20" s="35">
        <v>6.0999999999999999E-2</v>
      </c>
      <c r="F20" s="16">
        <f>F19*(1+Table2[[#This Row],[2008 discount rate]])</f>
        <v>45.312552836280659</v>
      </c>
      <c r="G20" s="18">
        <v>6.0999999999999999E-2</v>
      </c>
      <c r="H20" s="16">
        <f>H19*(1+Table2[[#This Row],[2011 discount rate]])</f>
        <v>37.236101130264601</v>
      </c>
      <c r="I20" s="36"/>
      <c r="J20" s="36"/>
      <c r="K20" s="35"/>
      <c r="L20" s="18"/>
      <c r="M20" s="36">
        <f>Table2[[#This Row],[Annual benefit payments (closed scheme)]]/(1+Table2[[#This Row],[Compounded discount rate A1]])</f>
        <v>0</v>
      </c>
      <c r="N20" s="49"/>
      <c r="O20" s="36"/>
      <c r="P20" s="36"/>
      <c r="Q20" s="36"/>
      <c r="R20" s="36"/>
      <c r="S20" s="44"/>
      <c r="T20" s="43"/>
      <c r="U20" s="36">
        <f>Table2[[#This Row],[Annual benefit payments (closed scheme)]]/(1+Table2[[#This Row],[Compounded discount rate A1]])</f>
        <v>0</v>
      </c>
      <c r="V20" s="36"/>
      <c r="W20" s="36"/>
      <c r="X20" s="36"/>
      <c r="Y20" s="36"/>
      <c r="Z20" s="48"/>
      <c r="AA20" s="82"/>
      <c r="AB20" s="18">
        <f>Table2[[#This Row],[Discount rate B]]</f>
        <v>0</v>
      </c>
      <c r="AC20" s="36">
        <f>Table2[[#This Row],[Annual benefit payments (closed scheme)]]/(1+Table2[[#This Row],[Compounded discount rate A1]])</f>
        <v>0</v>
      </c>
      <c r="AD20" s="45"/>
      <c r="AE20" s="45"/>
      <c r="AF20" s="45"/>
      <c r="AG20" s="45"/>
      <c r="AH20" s="79"/>
      <c r="AI20" s="45"/>
      <c r="AJ20" s="45"/>
      <c r="AK20" s="45"/>
      <c r="AL20" s="45"/>
      <c r="AM20" s="45">
        <f>Table2[[#This Row],[Asset growth B]]</f>
        <v>0</v>
      </c>
      <c r="AN20" s="45"/>
      <c r="AO20" s="45"/>
      <c r="AP20" s="45"/>
      <c r="AQ20" s="45"/>
      <c r="AR20" s="45"/>
      <c r="AS20" s="45"/>
      <c r="AT20" s="45"/>
      <c r="AU20" s="45"/>
      <c r="AV20" s="45"/>
      <c r="AW20" s="45"/>
      <c r="AX20" s="45"/>
      <c r="AY20" s="45"/>
      <c r="AZ20" s="45"/>
      <c r="BA20" s="45"/>
      <c r="BB20" s="45"/>
      <c r="BC20" s="45"/>
      <c r="BD20" s="45"/>
      <c r="BE20" s="45"/>
      <c r="BF20" s="45"/>
      <c r="BG20" s="45"/>
      <c r="BH20" s="45"/>
      <c r="BI20" s="45"/>
      <c r="BJ20" s="49"/>
      <c r="BK20" s="36"/>
      <c r="BL20" s="45"/>
      <c r="BM20" s="45"/>
      <c r="BN20" s="79"/>
      <c r="BO20" s="45"/>
      <c r="BP20" s="45"/>
      <c r="BQ20" s="45">
        <f t="shared" si="1"/>
        <v>112.50470570148333</v>
      </c>
      <c r="BR20" s="45"/>
      <c r="BS20" s="45"/>
      <c r="BT20" s="45"/>
      <c r="BU20" s="45"/>
      <c r="BV20" s="45"/>
      <c r="BW20" s="45"/>
      <c r="BX20" s="45"/>
      <c r="BY20" s="45"/>
      <c r="BZ20" s="45">
        <f t="shared" si="2"/>
        <v>93.510964218491452</v>
      </c>
      <c r="CA20" s="45"/>
      <c r="CB20" s="45"/>
      <c r="CC20" s="45">
        <f>Table2[[#This Row],[Asset growth, ongoing scheme, with November de-risking, net of contributions and payments]]/(1+Table2[Compounded CPI])</f>
        <v>0</v>
      </c>
      <c r="CD20" s="45"/>
      <c r="CE20" s="45">
        <f>Table2[[#This Row],[Asset growth, ongoing scheme, with September de-risking, net of contributions and payments]]/(1+Table2[Compounded discount rate A1])</f>
        <v>0</v>
      </c>
      <c r="CF20" s="45">
        <f>Table2[[#This Row],[Asset growth, ongoing scheme, with September de-risking, net of contributions and payments]]/(1+Table2[Compounded CPI])</f>
        <v>0</v>
      </c>
      <c r="CG20" s="45"/>
      <c r="CH20" s="45">
        <f>Table2[[#This Row],[Asset growth, ongoing scheme, no de-risking, net of contributions and payments]]/(1+Table2[Compounded discount rate B])</f>
        <v>0</v>
      </c>
      <c r="CI20" s="45">
        <f>Table2[[#This Row],[Asset growth, ongoing scheme, no de-risking, net of contributions and payments]]/(1+Table2[Compounded CPI])</f>
        <v>0</v>
      </c>
      <c r="CJ20" s="45"/>
      <c r="CK20" s="45">
        <f>Table2[[#This Row],[Asset growth, ongoing scheme, best-estimates, no de-risking, net of contributions and payments ]]/(1+Table2[Compounded discount rate E])</f>
        <v>0</v>
      </c>
      <c r="CL20" s="45">
        <f>Table2[[#This Row],[Asset growth, ongoing scheme, best-estimates, no de-risking, net of contributions and payments ]]/(1+Table2[Compounded CPI])</f>
        <v>0</v>
      </c>
      <c r="CM20" s="44"/>
      <c r="CN20" s="43"/>
      <c r="CO20" s="43"/>
      <c r="CP20" s="43"/>
      <c r="CQ20" s="46"/>
      <c r="CR20" s="47"/>
      <c r="CS20" s="36"/>
      <c r="CT20" s="36"/>
      <c r="CU20" s="48"/>
      <c r="CV20" s="65"/>
      <c r="CW20" s="36"/>
      <c r="CX20" s="36"/>
      <c r="CY20" s="36"/>
      <c r="CZ20" s="36"/>
      <c r="DA20" s="36"/>
      <c r="DB20" s="17"/>
      <c r="DC20" s="84"/>
      <c r="DD20" s="84"/>
      <c r="DE20" s="84"/>
      <c r="DF20" s="84"/>
      <c r="DG20" s="84"/>
      <c r="DH20" s="84"/>
      <c r="DI20" s="84"/>
      <c r="DJ20" s="84"/>
      <c r="DK20" s="84"/>
      <c r="DL20" s="84"/>
      <c r="DM20" s="84"/>
      <c r="DN20" s="84"/>
      <c r="DO20" s="84"/>
      <c r="DP20" s="84"/>
      <c r="DQ20" s="84"/>
      <c r="DR20" s="84"/>
      <c r="DS20" s="84"/>
      <c r="DT20" s="84"/>
      <c r="DU20" s="84"/>
      <c r="DV20" s="84"/>
      <c r="DW20" s="84"/>
      <c r="DX20" s="84"/>
    </row>
    <row r="21" spans="1:128" s="3" customFormat="1" ht="15" hidden="1" customHeight="1" thickTop="1" x14ac:dyDescent="0.2">
      <c r="A21" s="8">
        <v>2014</v>
      </c>
      <c r="B21" s="18">
        <v>0.128</v>
      </c>
      <c r="C21" s="18">
        <f t="shared" si="3"/>
        <v>0.74723583291126117</v>
      </c>
      <c r="D21" s="16">
        <f t="shared" si="0"/>
        <v>41.698002141928789</v>
      </c>
      <c r="E21" s="35">
        <v>6.0999999999999999E-2</v>
      </c>
      <c r="F21" s="16">
        <f>F20*(1+Table2[[#This Row],[2008 discount rate]])</f>
        <v>48.076618559293777</v>
      </c>
      <c r="G21" s="18">
        <v>6.0999999999999999E-2</v>
      </c>
      <c r="H21" s="16">
        <f>H20*(1+Table2[[#This Row],[2011 discount rate]])</f>
        <v>39.50750329921074</v>
      </c>
      <c r="I21" s="36" t="s">
        <v>2</v>
      </c>
      <c r="J21" s="16">
        <f>Table2[[#This Row],[Equivalent value of 2017 assets]]</f>
        <v>41.698002141928789</v>
      </c>
      <c r="K21" s="35"/>
      <c r="L21" s="18"/>
      <c r="M21" s="36">
        <f>Table2[[#This Row],[Annual benefit payments (closed scheme)]]/(1+Table2[[#This Row],[Compounded discount rate A1]])</f>
        <v>0</v>
      </c>
      <c r="N21" s="49"/>
      <c r="O21" s="36"/>
      <c r="P21" s="36"/>
      <c r="Q21" s="36"/>
      <c r="R21" s="36"/>
      <c r="S21" s="44"/>
      <c r="T21" s="43"/>
      <c r="U21" s="36">
        <f>Table2[[#This Row],[Annual benefit payments (closed scheme)]]/(1+Table2[[#This Row],[Compounded discount rate A1]])</f>
        <v>0</v>
      </c>
      <c r="V21" s="36"/>
      <c r="W21" s="36"/>
      <c r="X21" s="36"/>
      <c r="Y21" s="36"/>
      <c r="Z21" s="48"/>
      <c r="AA21" s="82"/>
      <c r="AB21" s="18">
        <f>Table2[[#This Row],[Discount rate B]]</f>
        <v>0</v>
      </c>
      <c r="AC21" s="36">
        <f>Table2[[#This Row],[Annual benefit payments (closed scheme)]]/(1+Table2[[#This Row],[Compounded discount rate A1]])</f>
        <v>0</v>
      </c>
      <c r="AD21" s="45"/>
      <c r="AE21" s="45"/>
      <c r="AF21" s="45"/>
      <c r="AG21" s="45"/>
      <c r="AH21" s="79"/>
      <c r="AI21" s="45"/>
      <c r="AJ21" s="45"/>
      <c r="AK21" s="45"/>
      <c r="AL21" s="45"/>
      <c r="AM21" s="45">
        <f>Table2[[#This Row],[Asset growth B]]</f>
        <v>0</v>
      </c>
      <c r="AN21" s="45"/>
      <c r="AO21" s="45"/>
      <c r="AP21" s="45"/>
      <c r="AQ21" s="45"/>
      <c r="AR21" s="45"/>
      <c r="AS21" s="45"/>
      <c r="AT21" s="45"/>
      <c r="AU21" s="45"/>
      <c r="AV21" s="45"/>
      <c r="AW21" s="45"/>
      <c r="AX21" s="45"/>
      <c r="AY21" s="45"/>
      <c r="AZ21" s="45"/>
      <c r="BA21" s="45"/>
      <c r="BB21" s="45"/>
      <c r="BC21" s="45"/>
      <c r="BD21" s="45"/>
      <c r="BE21" s="45"/>
      <c r="BF21" s="45"/>
      <c r="BG21" s="45"/>
      <c r="BH21" s="45"/>
      <c r="BI21" s="45"/>
      <c r="BJ21" s="49"/>
      <c r="BK21" s="36"/>
      <c r="BL21" s="45"/>
      <c r="BM21" s="45"/>
      <c r="BN21" s="79"/>
      <c r="BO21" s="45"/>
      <c r="BP21" s="45"/>
      <c r="BQ21" s="45">
        <f t="shared" si="1"/>
        <v>112.50470570148333</v>
      </c>
      <c r="BR21" s="45"/>
      <c r="BS21" s="45"/>
      <c r="BT21" s="45"/>
      <c r="BU21" s="45"/>
      <c r="BV21" s="45"/>
      <c r="BW21" s="45"/>
      <c r="BX21" s="45"/>
      <c r="BY21" s="45"/>
      <c r="BZ21" s="45">
        <f t="shared" si="2"/>
        <v>93.510964218491452</v>
      </c>
      <c r="CA21" s="45"/>
      <c r="CB21" s="45"/>
      <c r="CC21" s="45">
        <f>Table2[[#This Row],[Asset growth, ongoing scheme, with November de-risking, net of contributions and payments]]/(1+Table2[Compounded CPI])</f>
        <v>0</v>
      </c>
      <c r="CD21" s="45"/>
      <c r="CE21" s="45">
        <f>Table2[[#This Row],[Asset growth, ongoing scheme, with September de-risking, net of contributions and payments]]/(1+Table2[Compounded discount rate A1])</f>
        <v>0</v>
      </c>
      <c r="CF21" s="45">
        <f>Table2[[#This Row],[Asset growth, ongoing scheme, with September de-risking, net of contributions and payments]]/(1+Table2[Compounded CPI])</f>
        <v>0</v>
      </c>
      <c r="CG21" s="45"/>
      <c r="CH21" s="45">
        <f>Table2[[#This Row],[Asset growth, ongoing scheme, no de-risking, net of contributions and payments]]/(1+Table2[Compounded discount rate B])</f>
        <v>0</v>
      </c>
      <c r="CI21" s="45">
        <f>Table2[[#This Row],[Asset growth, ongoing scheme, no de-risking, net of contributions and payments]]/(1+Table2[Compounded CPI])</f>
        <v>0</v>
      </c>
      <c r="CJ21" s="45"/>
      <c r="CK21" s="45">
        <f>Table2[[#This Row],[Asset growth, ongoing scheme, best-estimates, no de-risking, net of contributions and payments ]]/(1+Table2[Compounded discount rate E])</f>
        <v>0</v>
      </c>
      <c r="CL21" s="45">
        <f>Table2[[#This Row],[Asset growth, ongoing scheme, best-estimates, no de-risking, net of contributions and payments ]]/(1+Table2[Compounded CPI])</f>
        <v>0</v>
      </c>
      <c r="CM21" s="44"/>
      <c r="CN21" s="43"/>
      <c r="CO21" s="43"/>
      <c r="CP21" s="43"/>
      <c r="CQ21" s="46"/>
      <c r="CR21" s="47"/>
      <c r="CS21" s="36"/>
      <c r="CT21" s="36"/>
      <c r="CU21" s="48"/>
      <c r="CV21" s="65"/>
      <c r="CW21" s="36"/>
      <c r="CX21" s="36"/>
      <c r="CY21" s="36"/>
      <c r="CZ21" s="36"/>
      <c r="DA21" s="36"/>
      <c r="DB21" s="17"/>
      <c r="DC21" s="84"/>
      <c r="DD21" s="84"/>
      <c r="DE21" s="84"/>
      <c r="DF21" s="84"/>
      <c r="DG21" s="84"/>
      <c r="DH21" s="84"/>
      <c r="DI21" s="84"/>
      <c r="DJ21" s="84"/>
      <c r="DK21" s="84"/>
      <c r="DL21" s="84"/>
      <c r="DM21" s="84"/>
      <c r="DN21" s="84"/>
      <c r="DO21" s="84"/>
      <c r="DP21" s="84"/>
      <c r="DQ21" s="84"/>
      <c r="DR21" s="84"/>
      <c r="DS21" s="84"/>
      <c r="DT21" s="84"/>
      <c r="DU21" s="84"/>
      <c r="DV21" s="84"/>
      <c r="DW21" s="84"/>
      <c r="DX21" s="84"/>
    </row>
    <row r="22" spans="1:128" s="3" customFormat="1" ht="15" hidden="1" customHeight="1" thickTop="1" x14ac:dyDescent="0.2">
      <c r="A22" s="8">
        <v>2015</v>
      </c>
      <c r="B22" s="18">
        <v>0.17899999999999999</v>
      </c>
      <c r="C22" s="18">
        <f t="shared" si="3"/>
        <v>1.0599910470023768</v>
      </c>
      <c r="D22" s="16">
        <f t="shared" si="0"/>
        <v>49.161944525334043</v>
      </c>
      <c r="E22" s="35">
        <v>6.0999999999999999E-2</v>
      </c>
      <c r="F22" s="16">
        <f>F21*(1+Table2[[#This Row],[2008 discount rate]])</f>
        <v>51.009292291410695</v>
      </c>
      <c r="G22" s="18">
        <v>6.0999999999999999E-2</v>
      </c>
      <c r="H22" s="16">
        <f>H21*(1+Table2[[#This Row],[2011 discount rate]])</f>
        <v>41.917461000462595</v>
      </c>
      <c r="I22" s="18">
        <v>5.1999999999999998E-2</v>
      </c>
      <c r="J22" s="16">
        <f>J21*(1+Table2[[#This Row],[2014 discount rate]])</f>
        <v>43.86629825330909</v>
      </c>
      <c r="K22" s="35"/>
      <c r="L22" s="18"/>
      <c r="M22" s="36">
        <f>Table2[[#This Row],[Annual benefit payments (closed scheme)]]/(1+Table2[[#This Row],[Compounded discount rate A1]])</f>
        <v>0</v>
      </c>
      <c r="N22" s="49"/>
      <c r="O22" s="36"/>
      <c r="P22" s="36"/>
      <c r="Q22" s="36"/>
      <c r="R22" s="36"/>
      <c r="S22" s="44"/>
      <c r="T22" s="43"/>
      <c r="U22" s="36">
        <f>Table2[[#This Row],[Annual benefit payments (closed scheme)]]/(1+Table2[[#This Row],[Compounded discount rate A1]])</f>
        <v>0</v>
      </c>
      <c r="V22" s="36"/>
      <c r="W22" s="36"/>
      <c r="X22" s="36"/>
      <c r="Y22" s="36"/>
      <c r="Z22" s="48"/>
      <c r="AA22" s="82"/>
      <c r="AB22" s="18">
        <f>Table2[[#This Row],[Discount rate B]]</f>
        <v>0</v>
      </c>
      <c r="AC22" s="36">
        <f>Table2[[#This Row],[Annual benefit payments (closed scheme)]]/(1+Table2[[#This Row],[Compounded discount rate A1]])</f>
        <v>0</v>
      </c>
      <c r="AD22" s="45"/>
      <c r="AE22" s="45"/>
      <c r="AF22" s="45"/>
      <c r="AG22" s="45"/>
      <c r="AH22" s="79"/>
      <c r="AI22" s="45"/>
      <c r="AJ22" s="45"/>
      <c r="AK22" s="45"/>
      <c r="AL22" s="45"/>
      <c r="AM22" s="45">
        <f>Table2[[#This Row],[Asset growth B]]</f>
        <v>0</v>
      </c>
      <c r="AN22" s="45"/>
      <c r="AO22" s="45"/>
      <c r="AP22" s="45"/>
      <c r="AQ22" s="45"/>
      <c r="AR22" s="45"/>
      <c r="AS22" s="45"/>
      <c r="AT22" s="45"/>
      <c r="AU22" s="45"/>
      <c r="AV22" s="45"/>
      <c r="AW22" s="45"/>
      <c r="AX22" s="45"/>
      <c r="AY22" s="45"/>
      <c r="AZ22" s="45"/>
      <c r="BA22" s="45"/>
      <c r="BB22" s="45"/>
      <c r="BC22" s="45"/>
      <c r="BD22" s="45"/>
      <c r="BE22" s="45"/>
      <c r="BF22" s="45"/>
      <c r="BG22" s="45"/>
      <c r="BH22" s="45"/>
      <c r="BI22" s="45"/>
      <c r="BJ22" s="49"/>
      <c r="BK22" s="36"/>
      <c r="BL22" s="45"/>
      <c r="BM22" s="45"/>
      <c r="BN22" s="79"/>
      <c r="BO22" s="45"/>
      <c r="BP22" s="45"/>
      <c r="BQ22" s="45">
        <f t="shared" si="1"/>
        <v>112.5091731857294</v>
      </c>
      <c r="BR22" s="45"/>
      <c r="BS22" s="45"/>
      <c r="BT22" s="45"/>
      <c r="BU22" s="45"/>
      <c r="BV22" s="45"/>
      <c r="BW22" s="45"/>
      <c r="BX22" s="45"/>
      <c r="BY22" s="45"/>
      <c r="BZ22" s="45">
        <f t="shared" si="2"/>
        <v>93.512942296053311</v>
      </c>
      <c r="CA22" s="45"/>
      <c r="CB22" s="45"/>
      <c r="CC22" s="45">
        <f>Table2[[#This Row],[Asset growth, ongoing scheme, with November de-risking, net of contributions and payments]]/(1+Table2[Compounded CPI])</f>
        <v>0</v>
      </c>
      <c r="CD22" s="45"/>
      <c r="CE22" s="45">
        <f>Table2[[#This Row],[Asset growth, ongoing scheme, with September de-risking, net of contributions and payments]]/(1+Table2[Compounded discount rate A1])</f>
        <v>0</v>
      </c>
      <c r="CF22" s="45">
        <f>Table2[[#This Row],[Asset growth, ongoing scheme, with September de-risking, net of contributions and payments]]/(1+Table2[Compounded CPI])</f>
        <v>0</v>
      </c>
      <c r="CG22" s="45"/>
      <c r="CH22" s="45">
        <f>Table2[[#This Row],[Asset growth, ongoing scheme, no de-risking, net of contributions and payments]]/(1+Table2[Compounded discount rate B])</f>
        <v>0</v>
      </c>
      <c r="CI22" s="45">
        <f>Table2[[#This Row],[Asset growth, ongoing scheme, no de-risking, net of contributions and payments]]/(1+Table2[Compounded CPI])</f>
        <v>0</v>
      </c>
      <c r="CJ22" s="45"/>
      <c r="CK22" s="45">
        <f>Table2[[#This Row],[Asset growth, ongoing scheme, best-estimates, no de-risking, net of contributions and payments ]]/(1+Table2[Compounded discount rate E])</f>
        <v>0</v>
      </c>
      <c r="CL22" s="45">
        <f>Table2[[#This Row],[Asset growth, ongoing scheme, best-estimates, no de-risking, net of contributions and payments ]]/(1+Table2[Compounded CPI])</f>
        <v>0</v>
      </c>
      <c r="CM22" s="44"/>
      <c r="CN22" s="43"/>
      <c r="CO22" s="43"/>
      <c r="CP22" s="43"/>
      <c r="CQ22" s="46"/>
      <c r="CR22" s="47"/>
      <c r="CS22" s="36"/>
      <c r="CT22" s="36"/>
      <c r="CU22" s="48"/>
      <c r="CV22" s="65"/>
      <c r="CW22" s="36"/>
      <c r="CX22" s="36"/>
      <c r="CY22" s="36"/>
      <c r="CZ22" s="36"/>
      <c r="DA22" s="36"/>
      <c r="DB22" s="17"/>
      <c r="DC22" s="84"/>
      <c r="DD22" s="84"/>
      <c r="DE22" s="84"/>
      <c r="DF22" s="84"/>
      <c r="DG22" s="84"/>
      <c r="DH22" s="84"/>
      <c r="DI22" s="84"/>
      <c r="DJ22" s="84"/>
      <c r="DK22" s="84"/>
      <c r="DL22" s="84"/>
      <c r="DM22" s="84"/>
      <c r="DN22" s="84"/>
      <c r="DO22" s="84"/>
      <c r="DP22" s="84"/>
      <c r="DQ22" s="84"/>
      <c r="DR22" s="84"/>
      <c r="DS22" s="84"/>
      <c r="DT22" s="84"/>
      <c r="DU22" s="84"/>
      <c r="DV22" s="84"/>
      <c r="DW22" s="84"/>
      <c r="DX22" s="84"/>
    </row>
    <row r="23" spans="1:128" s="3" customFormat="1" ht="15" hidden="1" customHeight="1" thickTop="1" x14ac:dyDescent="0.2">
      <c r="A23" s="8">
        <v>2016</v>
      </c>
      <c r="B23" s="18">
        <v>1.6199999999999999E-2</v>
      </c>
      <c r="C23" s="18">
        <f t="shared" si="3"/>
        <v>1.0933629019638151</v>
      </c>
      <c r="D23" s="16">
        <f>D24/(1+B24)</f>
        <v>49.958368026644457</v>
      </c>
      <c r="E23" s="35">
        <v>6.0999999999999999E-2</v>
      </c>
      <c r="F23" s="16">
        <f>F22*(1+Table2[[#This Row],[2008 discount rate]])</f>
        <v>54.120859121186747</v>
      </c>
      <c r="G23" s="18">
        <v>6.0999999999999999E-2</v>
      </c>
      <c r="H23" s="16">
        <f>H22*(1+Table2[[#This Row],[2011 discount rate]])</f>
        <v>44.474426121490808</v>
      </c>
      <c r="I23" s="18">
        <v>5.1999999999999998E-2</v>
      </c>
      <c r="J23" s="16">
        <f>J22*(1+Table2[[#This Row],[2014 discount rate]])</f>
        <v>46.147345762481166</v>
      </c>
      <c r="K23" s="35"/>
      <c r="L23" s="18"/>
      <c r="M23" s="36">
        <f>Table2[[#This Row],[Annual benefit payments (closed scheme)]]/(1+Table2[[#This Row],[Compounded discount rate A1]])</f>
        <v>0</v>
      </c>
      <c r="N23" s="49"/>
      <c r="O23" s="36"/>
      <c r="P23" s="36"/>
      <c r="Q23" s="36"/>
      <c r="R23" s="36"/>
      <c r="S23" s="44"/>
      <c r="T23" s="43"/>
      <c r="U23" s="36">
        <f>Table2[[#This Row],[Annual benefit payments (closed scheme)]]/(1+Table2[[#This Row],[Compounded discount rate A1]])</f>
        <v>0</v>
      </c>
      <c r="V23" s="36"/>
      <c r="W23" s="36"/>
      <c r="X23" s="36"/>
      <c r="Y23" s="36"/>
      <c r="Z23" s="48"/>
      <c r="AA23" s="82"/>
      <c r="AB23" s="18">
        <f>Table2[[#This Row],[Discount rate B]]</f>
        <v>0</v>
      </c>
      <c r="AC23" s="36">
        <f>Table2[[#This Row],[Annual benefit payments (closed scheme)]]/(1+Table2[[#This Row],[Compounded discount rate A1]])</f>
        <v>0</v>
      </c>
      <c r="AD23" s="45"/>
      <c r="AE23" s="45"/>
      <c r="AF23" s="45"/>
      <c r="AG23" s="45"/>
      <c r="AH23" s="79"/>
      <c r="AI23" s="45"/>
      <c r="AJ23" s="45"/>
      <c r="AK23" s="45"/>
      <c r="AL23" s="45"/>
      <c r="AM23" s="45">
        <f>Table2[[#This Row],[Asset growth B]]</f>
        <v>0</v>
      </c>
      <c r="AN23" s="45"/>
      <c r="AO23" s="45"/>
      <c r="AP23" s="45"/>
      <c r="AQ23" s="45"/>
      <c r="AR23" s="45"/>
      <c r="AS23" s="45"/>
      <c r="AT23" s="45"/>
      <c r="AU23" s="45"/>
      <c r="AV23" s="45"/>
      <c r="AW23" s="45"/>
      <c r="AX23" s="45"/>
      <c r="AY23" s="45"/>
      <c r="AZ23" s="45"/>
      <c r="BA23" s="45"/>
      <c r="BB23" s="45"/>
      <c r="BC23" s="45"/>
      <c r="BD23" s="45"/>
      <c r="BE23" s="45"/>
      <c r="BF23" s="45"/>
      <c r="BG23" s="45"/>
      <c r="BH23" s="45"/>
      <c r="BI23" s="45"/>
      <c r="BJ23" s="49"/>
      <c r="BK23" s="36"/>
      <c r="BL23" s="45"/>
      <c r="BM23" s="45"/>
      <c r="BN23" s="79"/>
      <c r="BO23" s="45"/>
      <c r="BP23" s="45"/>
      <c r="BQ23" s="45">
        <f t="shared" si="1"/>
        <v>112.5091731857294</v>
      </c>
      <c r="BR23" s="45"/>
      <c r="BS23" s="45"/>
      <c r="BT23" s="45"/>
      <c r="BU23" s="45"/>
      <c r="BV23" s="45"/>
      <c r="BW23" s="45"/>
      <c r="BX23" s="45"/>
      <c r="BY23" s="45"/>
      <c r="BZ23" s="45">
        <f t="shared" si="2"/>
        <v>93.512942296053311</v>
      </c>
      <c r="CA23" s="45"/>
      <c r="CB23" s="45"/>
      <c r="CC23" s="45">
        <f>Table2[[#This Row],[Asset growth, ongoing scheme, with November de-risking, net of contributions and payments]]/(1+Table2[Compounded CPI])</f>
        <v>0</v>
      </c>
      <c r="CD23" s="45"/>
      <c r="CE23" s="45">
        <f>Table2[[#This Row],[Asset growth, ongoing scheme, with September de-risking, net of contributions and payments]]/(1+Table2[Compounded discount rate A1])</f>
        <v>0</v>
      </c>
      <c r="CF23" s="45">
        <f>Table2[[#This Row],[Asset growth, ongoing scheme, with September de-risking, net of contributions and payments]]/(1+Table2[Compounded CPI])</f>
        <v>0</v>
      </c>
      <c r="CG23" s="45"/>
      <c r="CH23" s="45">
        <f>Table2[[#This Row],[Asset growth, ongoing scheme, no de-risking, net of contributions and payments]]/(1+Table2[Compounded discount rate B])</f>
        <v>0</v>
      </c>
      <c r="CI23" s="45">
        <f>Table2[[#This Row],[Asset growth, ongoing scheme, no de-risking, net of contributions and payments]]/(1+Table2[Compounded CPI])</f>
        <v>0</v>
      </c>
      <c r="CJ23" s="45"/>
      <c r="CK23" s="45">
        <f>Table2[[#This Row],[Asset growth, ongoing scheme, best-estimates, no de-risking, net of contributions and payments ]]/(1+Table2[Compounded discount rate E])</f>
        <v>0</v>
      </c>
      <c r="CL23" s="45">
        <f>Table2[[#This Row],[Asset growth, ongoing scheme, best-estimates, no de-risking, net of contributions and payments ]]/(1+Table2[Compounded CPI])</f>
        <v>0</v>
      </c>
      <c r="CM23" s="44"/>
      <c r="CN23" s="43"/>
      <c r="CO23" s="43"/>
      <c r="CP23" s="43"/>
      <c r="CQ23" s="46"/>
      <c r="CR23" s="47"/>
      <c r="CS23" s="36"/>
      <c r="CT23" s="36"/>
      <c r="CU23" s="48"/>
      <c r="CV23" s="65"/>
      <c r="CW23" s="36"/>
      <c r="CX23" s="36"/>
      <c r="CY23" s="36"/>
      <c r="CZ23" s="36"/>
      <c r="DA23" s="36"/>
      <c r="DB23" s="17"/>
      <c r="DC23" s="84"/>
      <c r="DD23" s="84"/>
      <c r="DE23" s="84"/>
      <c r="DF23" s="84"/>
      <c r="DG23" s="84"/>
      <c r="DH23" s="84"/>
      <c r="DI23" s="84"/>
      <c r="DJ23" s="84"/>
      <c r="DK23" s="84"/>
      <c r="DL23" s="84"/>
      <c r="DM23" s="84"/>
      <c r="DN23" s="84"/>
      <c r="DO23" s="84"/>
      <c r="DP23" s="84"/>
      <c r="DQ23" s="84"/>
      <c r="DR23" s="84"/>
      <c r="DS23" s="84"/>
      <c r="DT23" s="84"/>
      <c r="DU23" s="84"/>
      <c r="DV23" s="84"/>
      <c r="DW23" s="84"/>
      <c r="DX23" s="84"/>
    </row>
    <row r="24" spans="1:128" s="2" customFormat="1" ht="16" thickTop="1" x14ac:dyDescent="0.2">
      <c r="A24" s="8">
        <v>2017</v>
      </c>
      <c r="B24" s="18">
        <v>0.20100000000000001</v>
      </c>
      <c r="C24" s="18">
        <f t="shared" si="3"/>
        <v>1.5141288452585422</v>
      </c>
      <c r="D24" s="16">
        <v>60</v>
      </c>
      <c r="E24" s="35">
        <v>6.0999999999999999E-2</v>
      </c>
      <c r="F24" s="16">
        <f>F23*(1+Table2[[#This Row],[2008 discount rate]])</f>
        <v>57.422231527579136</v>
      </c>
      <c r="G24" s="18">
        <v>6.0999999999999999E-2</v>
      </c>
      <c r="H24" s="16">
        <f>H23*(1+Table2[[#This Row],[2011 discount rate]])</f>
        <v>47.187366114901742</v>
      </c>
      <c r="I24" s="18">
        <v>5.1999999999999998E-2</v>
      </c>
      <c r="J24" s="16">
        <f>J23*(1+Table2[[#This Row],[2014 discount rate]])</f>
        <v>48.547007742130191</v>
      </c>
      <c r="K24" s="35">
        <v>0</v>
      </c>
      <c r="L24" s="18">
        <v>0</v>
      </c>
      <c r="M24" s="16">
        <v>0</v>
      </c>
      <c r="N24" s="16">
        <f>M144</f>
        <v>64.922568716167319</v>
      </c>
      <c r="O24" s="16">
        <f>Table2[[#This Row],[Asset growth A1, under the assumption of full-funding at Year 0]]</f>
        <v>64.922568716167319</v>
      </c>
      <c r="P24" s="16">
        <f>Table2[[#This Row],[Asset growth A1, under the assumption of full-funding at Year 0]]</f>
        <v>64.922568716167319</v>
      </c>
      <c r="Q24" s="16">
        <f>Table2[[#This Row],[Asset growth A1 with benefit payments deducted]]</f>
        <v>64.922568716167319</v>
      </c>
      <c r="R24" s="16">
        <f>Table2[[#This Row],[Asset growth A1 with benefit payments deducted]]</f>
        <v>64.922568716167319</v>
      </c>
      <c r="S24" s="35">
        <v>0</v>
      </c>
      <c r="T24" s="18">
        <f>S24</f>
        <v>0</v>
      </c>
      <c r="U24" s="16">
        <v>0</v>
      </c>
      <c r="V24" s="16">
        <f>U144</f>
        <v>67.511306032910724</v>
      </c>
      <c r="W24" s="16">
        <f>Table2[[#This Row],[Asset growth A2, under the assumption of full-funding at Year 0]]</f>
        <v>67.511306032910724</v>
      </c>
      <c r="X24" s="16">
        <f>Table2[[#This Row],[Asset growth A2 (real terms)]]</f>
        <v>67.511306032910724</v>
      </c>
      <c r="Y24" s="16">
        <f>Table2[[#This Row],[Asset growth A2 with benefit payments deducted]]</f>
        <v>67.511306032910724</v>
      </c>
      <c r="Z24" s="20">
        <f>Table2[[#This Row],[Asset growth A2 with benefit payments deducted]]</f>
        <v>67.511306032910724</v>
      </c>
      <c r="AA24" s="35">
        <v>0</v>
      </c>
      <c r="AB24" s="18">
        <f>Table2[[#This Row],[Discount rate B]]</f>
        <v>0</v>
      </c>
      <c r="AC24" s="16">
        <v>0</v>
      </c>
      <c r="AD24" s="16">
        <f>M3</f>
        <v>60</v>
      </c>
      <c r="AE24" s="16">
        <f>Table2[[#This Row],[Asset growth B]]</f>
        <v>60</v>
      </c>
      <c r="AF24" s="16">
        <f>Table2[[#This Row],[Asset growth B]]</f>
        <v>60</v>
      </c>
      <c r="AG24" s="16">
        <f>Table2[[#This Row],[Asset growth B with benefit payments deducted]]</f>
        <v>60</v>
      </c>
      <c r="AH24" s="20">
        <f>Table2[[#This Row],[Asset growth B with benefit payments deducted]]</f>
        <v>60</v>
      </c>
      <c r="AI24" s="11">
        <v>0</v>
      </c>
      <c r="AJ24" s="18">
        <f>Table2[[#This Row],[Discount rate C]]</f>
        <v>0</v>
      </c>
      <c r="AK24" s="16">
        <v>0</v>
      </c>
      <c r="AL24" s="16">
        <f>M3</f>
        <v>60</v>
      </c>
      <c r="AM24" s="16">
        <f>Table2[[#This Row],[Asset growth B]]</f>
        <v>60</v>
      </c>
      <c r="AN24" s="16">
        <f>Table2[[#This Row],[Asset growth C]]</f>
        <v>60</v>
      </c>
      <c r="AO24" s="16">
        <f>Table2[[#This Row],[Asset growth C with benefit payments deducted]]</f>
        <v>60</v>
      </c>
      <c r="AP24" s="20">
        <f>Table2[[#This Row],[Asset growth C with benefit payments deducted]]</f>
        <v>60</v>
      </c>
      <c r="AQ24" s="11">
        <v>0</v>
      </c>
      <c r="AR24" s="18">
        <f>Table2[[#This Row],[Discount rate D]]</f>
        <v>0</v>
      </c>
      <c r="AS24" s="16">
        <v>0</v>
      </c>
      <c r="AT24" s="16">
        <f>M3</f>
        <v>60</v>
      </c>
      <c r="AU24" s="16">
        <f>Table2[[#This Row],[Asset growth D]]</f>
        <v>60</v>
      </c>
      <c r="AV24" s="16">
        <f>Table2[[#This Row],[Asset growth D]]</f>
        <v>60</v>
      </c>
      <c r="AW24" s="16">
        <f>Table2[[#This Row],[Asset growth D with benefit payments deducted]]</f>
        <v>60</v>
      </c>
      <c r="AX24" s="20">
        <f>Table2[[#This Row],[Asset growth D with benefit payments deducted]]</f>
        <v>60</v>
      </c>
      <c r="AY24" s="11">
        <v>0</v>
      </c>
      <c r="AZ24" s="18">
        <f>Table2[[#This Row],[Discount rate E]]</f>
        <v>0</v>
      </c>
      <c r="BA24" s="16">
        <v>0</v>
      </c>
      <c r="BB24" s="16">
        <f>M3</f>
        <v>60</v>
      </c>
      <c r="BC24" s="16">
        <f>Table2[[#This Row],[Asset growth E]]</f>
        <v>60</v>
      </c>
      <c r="BD24" s="16">
        <f>Table2[[#This Row],[Asset growth E]]</f>
        <v>60</v>
      </c>
      <c r="BE24" s="16">
        <f>Table2[[#This Row],[Asset growth E with benefit payments deducted]]</f>
        <v>60</v>
      </c>
      <c r="BF24" s="20">
        <f>Table2[[#This Row],[Asset growth E with benefit payments deducted]]</f>
        <v>60</v>
      </c>
      <c r="BG24" s="11">
        <v>0</v>
      </c>
      <c r="BH24" s="18">
        <f>Table2[[#This Row],[Discount rate F]]</f>
        <v>0</v>
      </c>
      <c r="BI24" s="16">
        <v>0</v>
      </c>
      <c r="BJ24" s="16">
        <f>BI144</f>
        <v>82.34349485762877</v>
      </c>
      <c r="BK24" s="16">
        <f>Table2[[#This Row],[Asset growth F, under the assumption of full-funding at Year 0]]</f>
        <v>82.34349485762877</v>
      </c>
      <c r="BL24" s="16">
        <f>Table2[[#This Row],[Asset growth F, under the assumption of full-funding at Year 0]]</f>
        <v>82.34349485762877</v>
      </c>
      <c r="BM24" s="16">
        <f>Table2[[#This Row],[Asset growth F with benefit payments deducted]]</f>
        <v>82.34349485762877</v>
      </c>
      <c r="BN24" s="20">
        <f>Table2[[#This Row],[Asset growth F with benefit payments deducted]]</f>
        <v>82.34349485762877</v>
      </c>
      <c r="BO24" s="16"/>
      <c r="BP24" s="16"/>
      <c r="BQ24" s="16"/>
      <c r="BR24" s="16"/>
      <c r="BS24" s="16"/>
      <c r="BT24" s="16"/>
      <c r="BU24" s="16"/>
      <c r="BV24" s="16"/>
      <c r="BW24" s="16"/>
      <c r="BX24" s="16"/>
      <c r="BY24" s="16"/>
      <c r="BZ24" s="16"/>
      <c r="CA24" s="16">
        <f>M3</f>
        <v>60</v>
      </c>
      <c r="CB24" s="16">
        <f>Table2[[#This Row],[Asset growth, ongoing scheme, with November de-risking, net of contributions and payments]]/(1+Table2[Compounded discount rate A2])</f>
        <v>60</v>
      </c>
      <c r="CC24" s="17">
        <f>Table2[[#This Row],[Asset growth, ongoing scheme, with November de-risking, net of contributions and payments]]/(1+Table2[Compounded CPI])</f>
        <v>60</v>
      </c>
      <c r="CD24" s="16">
        <f>M3</f>
        <v>60</v>
      </c>
      <c r="CE24" s="16">
        <f>Table2[[#This Row],[Asset growth, ongoing scheme, with September de-risking, net of contributions and payments]]/(1+Table2[Compounded discount rate A1])</f>
        <v>60</v>
      </c>
      <c r="CF24" s="17">
        <f>Table2[[#This Row],[Asset growth, ongoing scheme, with September de-risking, net of contributions and payments]]/(1+Table2[Compounded CPI])</f>
        <v>60</v>
      </c>
      <c r="CG24" s="16">
        <f>M3</f>
        <v>60</v>
      </c>
      <c r="CH24" s="16">
        <f>Table2[[#This Row],[Asset growth, ongoing scheme, no de-risking, net of contributions and payments]]/(1+Table2[Compounded discount rate B])</f>
        <v>60</v>
      </c>
      <c r="CI24" s="16">
        <f>Table2[[#This Row],[Asset growth, ongoing scheme, no de-risking, net of contributions and payments]]/(1+Table2[Compounded CPI])</f>
        <v>60</v>
      </c>
      <c r="CJ24" s="16">
        <f>M3</f>
        <v>60</v>
      </c>
      <c r="CK24" s="16">
        <f>Table2[[#This Row],[Asset growth, ongoing scheme, best-estimates, no de-risking, net of contributions and payments ]]/(1+Table2[Compounded discount rate E])</f>
        <v>60</v>
      </c>
      <c r="CL24" s="16">
        <f>Table2[[#This Row],[Asset growth, ongoing scheme, best-estimates, no de-risking, net of contributions and payments ]]/(1+Table2[Compounded CPI])</f>
        <v>60</v>
      </c>
      <c r="CM24" s="83" t="s">
        <v>2</v>
      </c>
      <c r="CN24" s="11">
        <v>0</v>
      </c>
      <c r="CO24" s="10" t="s">
        <v>2</v>
      </c>
      <c r="CP24" s="16" t="s">
        <v>2</v>
      </c>
      <c r="CQ24" s="25" t="s">
        <v>2</v>
      </c>
      <c r="CR24" s="21">
        <v>10</v>
      </c>
      <c r="CS24" s="16">
        <v>13</v>
      </c>
      <c r="CT24" s="16">
        <f>Table2[[#This Row],[Target reliance inflated with CPI]]</f>
        <v>10</v>
      </c>
      <c r="CU24" s="20">
        <f>CS24</f>
        <v>13</v>
      </c>
      <c r="CV24" s="112" t="s">
        <v>2</v>
      </c>
      <c r="CW24" s="113" t="s">
        <v>2</v>
      </c>
      <c r="CX24" s="113" t="s">
        <v>2</v>
      </c>
      <c r="CY24" s="113" t="s">
        <v>2</v>
      </c>
      <c r="CZ24" s="113" t="s">
        <v>2</v>
      </c>
      <c r="DA24" s="113" t="s">
        <v>2</v>
      </c>
      <c r="DB24" s="17"/>
      <c r="DC24" s="84"/>
      <c r="DD24" s="84"/>
      <c r="DE24" s="84"/>
      <c r="DF24" s="84"/>
      <c r="DG24" s="84"/>
      <c r="DH24" s="84"/>
      <c r="DI24" s="84"/>
      <c r="DJ24" s="84"/>
      <c r="DK24" s="84"/>
      <c r="DL24" s="84"/>
      <c r="DM24" s="84"/>
      <c r="DN24" s="84"/>
      <c r="DO24" s="84"/>
      <c r="DP24" s="84"/>
      <c r="DQ24" s="84"/>
      <c r="DR24" s="84"/>
      <c r="DS24" s="84"/>
      <c r="DT24" s="84"/>
      <c r="DU24" s="84"/>
      <c r="DV24" s="84"/>
      <c r="DW24" s="84"/>
      <c r="DX24" s="84"/>
    </row>
    <row r="25" spans="1:128" x14ac:dyDescent="0.2">
      <c r="A25" s="8">
        <v>2018</v>
      </c>
      <c r="B25" s="50"/>
      <c r="C25" s="50"/>
      <c r="D25" s="50"/>
      <c r="E25" s="35">
        <v>6.0999999999999999E-2</v>
      </c>
      <c r="F25" s="16">
        <f>F24*(1+Table2[[#This Row],[2008 discount rate]])</f>
        <v>60.924987650761459</v>
      </c>
      <c r="G25" s="18">
        <v>6.0999999999999999E-2</v>
      </c>
      <c r="H25" s="16">
        <f>H24*(1+Table2[[#This Row],[2011 discount rate]])</f>
        <v>50.065795447910745</v>
      </c>
      <c r="I25" s="18">
        <v>5.1999999999999998E-2</v>
      </c>
      <c r="J25" s="16">
        <f>J24*(1+Table2[[#This Row],[2014 discount rate]])</f>
        <v>51.071452144720965</v>
      </c>
      <c r="K25" s="9">
        <v>0.02</v>
      </c>
      <c r="L25" s="18">
        <f>K25</f>
        <v>0.02</v>
      </c>
      <c r="M25" s="17">
        <f>Table2[[#This Row],[Annual benefit payments (closed scheme)]]/((1+L24)*(1+Table2[[#This Row],[Discount rate A1]])^0.5)</f>
        <v>1.9254467885981084</v>
      </c>
      <c r="N25" s="17">
        <f>N24*(1+Table2[Discount rate A1])</f>
        <v>66.221020090490669</v>
      </c>
      <c r="O25" s="17">
        <f>Table2[[#This Row],[Asset growth A1, under the assumption of full-funding at Year 0]]/(1+Table2[[#This Row],[Compounded CPI]])</f>
        <v>64.586969755672158</v>
      </c>
      <c r="P25" s="17">
        <f>(P24*((1+Table2[Discount rate A1])^0.5)-Table2[Annual benefit payments (closed scheme)])*(1+Table2[Discount rate A1])^0.5</f>
        <v>64.257064366120602</v>
      </c>
      <c r="Q25" s="17">
        <f>Table2[[#This Row],[Asset growth A1 with benefit payments deducted]]/(1+Table2[Compounded CPI])</f>
        <v>62.671476022745146</v>
      </c>
      <c r="R25" s="17">
        <f>Table2[[#This Row],[Asset growth A1 with benefit payments deducted]]/(1+Table2[Compounded discount rate A1])</f>
        <v>62.997121927569218</v>
      </c>
      <c r="S25" s="9">
        <v>0.02</v>
      </c>
      <c r="T25" s="18">
        <f>S25</f>
        <v>0.02</v>
      </c>
      <c r="U25" s="17">
        <f>Table2[[#This Row],[Annual benefit payments (closed scheme)]]/((1+T24)*(1+Table2[[#This Row],[Discount rate A2]])^0.5)</f>
        <v>1.9254467885981084</v>
      </c>
      <c r="V25" s="17">
        <f>V24*(1+Table2[Discount rate A2])</f>
        <v>68.861532153568945</v>
      </c>
      <c r="W25" s="17">
        <f>Table2[[#This Row],[Asset growth A2, under the assumption of full-funding at Year 0]]/(1+Table2[Compounded CPI])</f>
        <v>67.162325322899576</v>
      </c>
      <c r="X25" s="17">
        <f>(X24*((1+Table2[Discount rate A2])^0.5)-Table2[Annual benefit payments (closed scheme)])*(1+Table2[Discount rate A2])^0.5</f>
        <v>66.897576429198878</v>
      </c>
      <c r="Y25" s="17">
        <f>Table2[[#This Row],[Asset growth A2 with benefit payments deducted]]/(1+Table2[[#This Row],[Compounded CPI]])</f>
        <v>65.246831589972572</v>
      </c>
      <c r="Z25" s="19">
        <f>Table2[[#This Row],[Asset growth A2 with benefit payments deducted]]/(1+Table2[Compounded discount rate A2])</f>
        <v>65.58585924431263</v>
      </c>
      <c r="AA25" s="35">
        <f t="shared" ref="AA25:AA34" si="4">CM25-0.53%</f>
        <v>0.02</v>
      </c>
      <c r="AB25" s="18">
        <f>Table2[[#This Row],[Discount rate B]]</f>
        <v>0.02</v>
      </c>
      <c r="AC25" s="17">
        <f>Table2[[#This Row],[Annual benefit payments (closed scheme)]]/((1+AB24)*(1+Table2[[#This Row],[Discount rate B]])^0.5)</f>
        <v>1.9254467885981084</v>
      </c>
      <c r="AD25" s="17">
        <f>AD24*(1+Table2[Discount rate B])</f>
        <v>61.2</v>
      </c>
      <c r="AE25" s="16">
        <f>Table2[[#This Row],[Asset growth B]]/(1+Table2[Compounded CPI])</f>
        <v>59.689846874085632</v>
      </c>
      <c r="AF25" s="17">
        <f>(AF24*((1+Table2[Discount rate B])^0.5)-Table2[Annual benefit payments (closed scheme)])*(1+Table2[Discount rate B])^0.5</f>
        <v>59.236044275629936</v>
      </c>
      <c r="AG25" s="17">
        <f>Table2[[#This Row],[Asset growth B with benefit payments deducted]]/(1+Table2[Compounded CPI])</f>
        <v>57.77435314115862</v>
      </c>
      <c r="AH25" s="19">
        <f>Table2[[#This Row],[Asset growth B with benefit payments deducted]]/(1+Table2[Compounded discount rate B])</f>
        <v>58.074553211401899</v>
      </c>
      <c r="AI25" s="11">
        <f>Table2[CPI]+1%</f>
        <v>3.5299999999999998E-2</v>
      </c>
      <c r="AJ25" s="18">
        <f>Table2[[#This Row],[Discount rate C]]</f>
        <v>3.5299999999999998E-2</v>
      </c>
      <c r="AK25" s="17">
        <f>Table2[[#This Row],[Annual benefit payments (closed scheme)]]/((1+AJ24)*(1+Table2[[#This Row],[Discount rate C]])^0.5)</f>
        <v>1.9111663928103315</v>
      </c>
      <c r="AL25" s="17">
        <f>AL24*(1+Table2[Discount rate C])</f>
        <v>62.117999999999995</v>
      </c>
      <c r="AM25" s="16">
        <f>Table2[[#This Row],[Asset growth C]]/(1+Table2[Compounded CPI])</f>
        <v>60.585194577196908</v>
      </c>
      <c r="AN25" s="17">
        <f>(AN24*((1+Table2[Discount rate C])^0.5)-Table2[Annual benefit payments (closed scheme)])*(1+Table2[Discount rate C])^0.5</f>
        <v>60.139369433523456</v>
      </c>
      <c r="AO25" s="17">
        <f>Table2[[#This Row],[Asset growth C with benefit payments deducted]]/(1+Table2[Compounded CPI])</f>
        <v>58.655388114233347</v>
      </c>
      <c r="AP25" s="19">
        <f>Table2[[#This Row],[Asset growth C with benefit payments deducted]]/(1+Table2[Compounded discount rate C])</f>
        <v>58.08883360718967</v>
      </c>
      <c r="AQ25" s="11">
        <f>Table2[CPI]+1%</f>
        <v>3.5299999999999998E-2</v>
      </c>
      <c r="AR25" s="18">
        <f>Table2[[#This Row],[Discount rate D]]</f>
        <v>3.5299999999999998E-2</v>
      </c>
      <c r="AS25" s="17">
        <f>Table2[[#This Row],[Annual benefit payments (closed scheme)]]/((1+AR24)*(1+Table2[[#This Row],[Discount rate D]])^0.5)</f>
        <v>1.9111663928103315</v>
      </c>
      <c r="AT25" s="17">
        <f>AT24*(1+Table2[Discount rate D])</f>
        <v>62.117999999999995</v>
      </c>
      <c r="AU25" s="16">
        <f>Table2[[#This Row],[Asset growth D]]/(1+Table2[Compounded CPI])</f>
        <v>60.585194577196908</v>
      </c>
      <c r="AV25" s="17">
        <f>(AV24*((1+Table2[Discount rate D])^0.5)-Table2[Annual benefit payments (closed scheme)])*(1+Table2[Discount rate D])^0.5</f>
        <v>60.139369433523456</v>
      </c>
      <c r="AW25" s="17">
        <f>Table2[[#This Row],[Asset growth D with benefit payments deducted]]/(1+Table2[Compounded CPI])</f>
        <v>58.655388114233347</v>
      </c>
      <c r="AX25" s="19">
        <f>Table2[[#This Row],[Asset growth D with benefit payments deducted]]/(1+Table2[Compounded discount rate D])</f>
        <v>58.08883360718967</v>
      </c>
      <c r="AY25" s="11">
        <f>Table2[CPI]+1%</f>
        <v>3.5299999999999998E-2</v>
      </c>
      <c r="AZ25" s="18">
        <f>Table2[[#This Row],[Discount rate E]]</f>
        <v>3.5299999999999998E-2</v>
      </c>
      <c r="BA25" s="17">
        <f>Table2[[#This Row],[Annual benefit payments (closed scheme)]]/((1+AZ24)*(1+Table2[[#This Row],[Discount rate E]])^0.5)</f>
        <v>1.9111663928103315</v>
      </c>
      <c r="BB25" s="17">
        <f>BB24*(1+Table2[Discount rate E])</f>
        <v>62.117999999999995</v>
      </c>
      <c r="BC25" s="16">
        <f>Table2[[#This Row],[Asset growth E]]/(1+Table2[Compounded CPI])</f>
        <v>60.585194577196908</v>
      </c>
      <c r="BD25" s="17">
        <f>(BD24*((1+Table2[Discount rate E])^0.5)-Table2[Annual benefit payments (closed scheme)])*(1+Table2[Discount rate E])^0.5</f>
        <v>60.139369433523456</v>
      </c>
      <c r="BE25" s="17">
        <f>Table2[[#This Row],[Asset growth E with benefit payments deducted]]/(1+Table2[Compounded CPI])</f>
        <v>58.655388114233347</v>
      </c>
      <c r="BF25" s="19">
        <f>Table2[[#This Row],[Asset growth E with benefit payments deducted]]/(1+Table2[Compounded discount rate E])</f>
        <v>58.08883360718967</v>
      </c>
      <c r="BG25" s="11">
        <f>Table2[[#This Row],[Long-dated forward gilt yields]]+0.75%</f>
        <v>7.9699999999999997E-3</v>
      </c>
      <c r="BH25" s="18">
        <f>Table2[[#This Row],[Discount rate F]]</f>
        <v>7.9699999999999997E-3</v>
      </c>
      <c r="BI25" s="17">
        <f>Table2[[#This Row],[Annual benefit payments (closed scheme)]]/((1+BH24)*(1+Table2[[#This Row],[Discount rate F]])^0.5)</f>
        <v>1.9369026959991273</v>
      </c>
      <c r="BJ25" s="17">
        <f>BJ24*(1+Table2[Discount rate F])</f>
        <v>82.999772511644068</v>
      </c>
      <c r="BK25" s="17">
        <f>Table2[[#This Row],[Asset growth F, under the assumption of full-funding at Year 0]]/(1+Table2[[#This Row],[Compounded CPI]])</f>
        <v>80.951694637319861</v>
      </c>
      <c r="BL25" s="17">
        <f>(BL24*((1+Table2[Discount rate F])^0.5)-Table2[Annual benefit payments (closed scheme)]*1.005^(Table2[Year]-2018))*(1+Table2[Discount rate F])^0.5</f>
        <v>81.047432701157831</v>
      </c>
      <c r="BM25" s="17">
        <f>Table2[[#This Row],[Asset growth F with benefit payments deducted]]/(1+Table2[Compounded CPI])</f>
        <v>79.0475301874162</v>
      </c>
      <c r="BN25" s="19">
        <f>Table2[[#This Row],[Asset growth F with benefit payments deducted]]/(1+Table2[Compounded discount rate F])</f>
        <v>80.406592161629646</v>
      </c>
      <c r="BO25" s="17"/>
      <c r="BP25" s="17"/>
      <c r="BQ25" s="17"/>
      <c r="BR25" s="17"/>
      <c r="BS25" s="17"/>
      <c r="BT25" s="17"/>
      <c r="BU25" s="17"/>
      <c r="BV25" s="17"/>
      <c r="BW25" s="17"/>
      <c r="BX25" s="17"/>
      <c r="BY25" s="17"/>
      <c r="BZ25" s="17"/>
      <c r="CA25" s="17">
        <f>(CA24*((1+Table2[Discount rate A2])^0.5)+Table2[Net cashflow (ongoing scheme)])*(1+Table2[Discount rate A2])^0.5</f>
        <v>61.30099504938363</v>
      </c>
      <c r="CB25" s="17">
        <f>Table2[[#This Row],[Asset growth, ongoing scheme, with November de-risking, net of contributions and payments]]/(1+Table2[Compounded discount rate A2])</f>
        <v>60.099014754297677</v>
      </c>
      <c r="CC25" s="17">
        <f>Table2[[#This Row],[Asset growth, ongoing scheme, with November de-risking, net of contributions and payments]]/(1+Table2[Compounded CPI])</f>
        <v>59.78834979945735</v>
      </c>
      <c r="CD25" s="17">
        <f>(CD24*((1+Table2[Discount rate A1])^0.5)+Table2[Net cashflow (ongoing scheme)])*(1+Table2[Discount rate A1])^0.5</f>
        <v>61.30099504938363</v>
      </c>
      <c r="CE25" s="17">
        <f>Table2[[#This Row],[Asset growth, ongoing scheme, with September de-risking, net of contributions and payments]]/(1+Table2[Compounded discount rate A1])</f>
        <v>60.099014754297677</v>
      </c>
      <c r="CF25" s="17">
        <f>Table2[[#This Row],[Asset growth, ongoing scheme, with September de-risking, net of contributions and payments]]/(1+Table2[Compounded CPI])</f>
        <v>59.78834979945735</v>
      </c>
      <c r="CG25" s="17">
        <f>(CG24*((1+Table2[Discount rate B])^0.5)+Table2[Net cashflow (ongoing scheme)])*(1+Table2[Discount rate B])^0.5</f>
        <v>61.30099504938363</v>
      </c>
      <c r="CH25" s="17">
        <f>Table2[[#This Row],[Asset growth, ongoing scheme, no de-risking, net of contributions and payments]]/(1+Table2[Compounded discount rate B])</f>
        <v>60.099014754297677</v>
      </c>
      <c r="CI25" s="17">
        <f>Table2[[#This Row],[Asset growth, ongoing scheme, no de-risking, net of contributions and payments]]/(1+Table2[Compounded CPI])</f>
        <v>59.78834979945735</v>
      </c>
      <c r="CJ25" s="17">
        <f>(CJ24*((1+Table2[Discount rate E])^0.5)+Table2[Net cashflow (ongoing scheme)])*(1+Table2[Discount rate E])^0.5</f>
        <v>62.219749692874224</v>
      </c>
      <c r="CK25" s="17">
        <f>Table2[[#This Row],[Asset growth, ongoing scheme, best-estimates, no de-risking, net of contributions and payments ]]/(1+Table2[Compounded discount rate E])</f>
        <v>60.098280394933091</v>
      </c>
      <c r="CL25" s="17">
        <f>Table2[[#This Row],[Asset growth, ongoing scheme, best-estimates, no de-risking, net of contributions and payments ]]/(1+Table2[Compounded CPI])</f>
        <v>60.684433524699323</v>
      </c>
      <c r="CM25" s="9">
        <v>2.53E-2</v>
      </c>
      <c r="CN25" s="11">
        <f>Table2[[#This Row],[CPI]]</f>
        <v>2.53E-2</v>
      </c>
      <c r="CO25" s="11">
        <f>'Gilt yields'!B7</f>
        <v>4.6999999999999999E-4</v>
      </c>
      <c r="CP25" s="11">
        <f>CM25</f>
        <v>2.53E-2</v>
      </c>
      <c r="CQ25" s="26">
        <f>Table2[[#This Row],[Salary growth]]</f>
        <v>2.53E-2</v>
      </c>
      <c r="CR25" s="15">
        <f t="shared" ref="CR25:CR56" si="5">CR24*(1+CM25)</f>
        <v>10.253</v>
      </c>
      <c r="CS25" s="17">
        <f t="shared" ref="CS25:CS56" si="6">CS24*(1+CM25)</f>
        <v>13.328900000000001</v>
      </c>
      <c r="CT25" s="17">
        <f>CT24*(1+Table2[[#This Row],[Salary growth]])</f>
        <v>10.253</v>
      </c>
      <c r="CU25" s="19">
        <f t="shared" ref="CU25:CU56" si="7">CU24*(1+CP25)</f>
        <v>13.328900000000001</v>
      </c>
      <c r="CV25" s="112">
        <f>('Cash flows as at 31032017'!B10)/1000000000</f>
        <v>1.944605935</v>
      </c>
      <c r="CW25" s="113">
        <v>0</v>
      </c>
      <c r="CX25" s="113">
        <f>Table2[[#This Row],[Annual contributions (closed scheme)]]-Table2[[#This Row],[Annual benefit payments (closed scheme)]]</f>
        <v>-1.944605935</v>
      </c>
      <c r="CY25" s="113">
        <v>1.9</v>
      </c>
      <c r="CZ25" s="113">
        <v>2</v>
      </c>
      <c r="DA25" s="113">
        <v>0.1</v>
      </c>
      <c r="DB25" s="17"/>
      <c r="DC25" s="84"/>
      <c r="DD25" s="84"/>
      <c r="DE25" s="84"/>
      <c r="DF25" s="84"/>
      <c r="DG25" s="84"/>
      <c r="DH25" s="84"/>
      <c r="DI25" s="84"/>
      <c r="DJ25" s="84"/>
      <c r="DK25" s="84"/>
      <c r="DL25" s="84"/>
      <c r="DM25" s="84"/>
      <c r="DN25" s="84"/>
      <c r="DO25" s="84"/>
      <c r="DP25" s="84"/>
      <c r="DQ25" s="84"/>
      <c r="DR25" s="84"/>
      <c r="DS25" s="84"/>
      <c r="DT25" s="84"/>
      <c r="DU25" s="84"/>
      <c r="DV25" s="84"/>
      <c r="DW25" s="84"/>
      <c r="DX25" s="84"/>
    </row>
    <row r="26" spans="1:128" x14ac:dyDescent="0.2">
      <c r="A26" s="8">
        <v>2019</v>
      </c>
      <c r="B26" s="50"/>
      <c r="C26" s="50"/>
      <c r="D26" s="50"/>
      <c r="E26" s="35">
        <v>6.0999999999999999E-2</v>
      </c>
      <c r="F26" s="16">
        <f>F25*(1+Table2[[#This Row],[2008 discount rate]])</f>
        <v>64.6414118974579</v>
      </c>
      <c r="G26" s="18">
        <v>6.0999999999999999E-2</v>
      </c>
      <c r="H26" s="16">
        <f>H25*(1+Table2[[#This Row],[2011 discount rate]])</f>
        <v>53.119808970233294</v>
      </c>
      <c r="I26" s="18">
        <v>5.1999999999999998E-2</v>
      </c>
      <c r="J26" s="16">
        <f>J25*(1+Table2[[#This Row],[2014 discount rate]])</f>
        <v>53.727167656246458</v>
      </c>
      <c r="K26" s="9">
        <v>7.4000000000000003E-3</v>
      </c>
      <c r="L26" s="18">
        <f>(1+L25)*(1+K26)-1</f>
        <v>2.7548000000000128E-2</v>
      </c>
      <c r="M26" s="17">
        <f>Table2[[#This Row],[Annual benefit payments (closed scheme)]]/((1+L25)*(1+Table2[[#This Row],[Discount rate A1]])^0.5)+M25</f>
        <v>3.6676072437296856</v>
      </c>
      <c r="N26" s="17">
        <f>N25*(1+Table2[Discount rate A1])</f>
        <v>66.711055639160307</v>
      </c>
      <c r="O26" s="17">
        <f>Table2[[#This Row],[Asset growth A1, under the assumption of full-funding at Year 0]]/(1+Table2[[#This Row],[Compounded CPI]])</f>
        <v>64.248951645960446</v>
      </c>
      <c r="P26" s="17">
        <f>(P25*((1+Table2[Discount rate A1])^0.5)-Table2[Annual benefit payments (closed scheme)])*(1+Table2[Discount rate A1])^0.5</f>
        <v>62.942413151080366</v>
      </c>
      <c r="Q26" s="17">
        <f>Table2[[#This Row],[Asset growth A1 with benefit payments deducted]]/(1+Table2[Compounded CPI])</f>
        <v>60.619398393239535</v>
      </c>
      <c r="R26" s="17">
        <f>Table2[[#This Row],[Asset growth A1 with benefit payments deducted]]/(1+Table2[Compounded discount rate A1])</f>
        <v>61.254961472437643</v>
      </c>
      <c r="S26" s="9">
        <v>6.4999999999999997E-3</v>
      </c>
      <c r="T26" s="18">
        <f t="shared" ref="T26:T57" si="8">(1+T25)*(1+S26)-1</f>
        <v>2.6629999999999932E-2</v>
      </c>
      <c r="U26" s="17">
        <f>Table2[[#This Row],[Annual benefit payments (closed scheme)]]/((1+T25)*(1+Table2[[#This Row],[Discount rate A2]])^0.5)+U25</f>
        <v>3.668385978979094</v>
      </c>
      <c r="V26" s="17">
        <f>V25*(1+Table2[Discount rate A2])</f>
        <v>69.309132112567141</v>
      </c>
      <c r="W26" s="17">
        <f>Table2[[#This Row],[Asset growth A2, under the assumption of full-funding at Year 0]]/(1+Table2[Compounded CPI])</f>
        <v>66.751140947465615</v>
      </c>
      <c r="X26" s="17">
        <f>(X25*((1+Table2[Discount rate A2])^0.5)-Table2[Annual benefit payments (closed scheme)])*(1+Table2[Discount rate A2])^0.5</f>
        <v>65.543057014967843</v>
      </c>
      <c r="Y26" s="17">
        <f>Table2[[#This Row],[Asset growth A2 with benefit payments deducted]]/(1+Table2[[#This Row],[Compounded CPI]])</f>
        <v>63.124060330580953</v>
      </c>
      <c r="Z26" s="19">
        <f>Table2[[#This Row],[Asset growth A2 with benefit payments deducted]]/(1+Table2[Compounded discount rate A2])</f>
        <v>63.84292005393165</v>
      </c>
      <c r="AA26" s="35">
        <f t="shared" si="4"/>
        <v>7.3999999999999995E-3</v>
      </c>
      <c r="AB26" s="18">
        <f>(1+AB25)*(1+AA26)-1</f>
        <v>2.7548000000000128E-2</v>
      </c>
      <c r="AC26" s="17">
        <f>Table2[[#This Row],[Annual benefit payments (closed scheme)]]/((1+AB25)*(1+Table2[[#This Row],[Discount rate B]])^0.5)+AC25</f>
        <v>3.6676072437296856</v>
      </c>
      <c r="AD26" s="16">
        <f>AD25*(1+Table2[Discount rate B])</f>
        <v>61.65288000000001</v>
      </c>
      <c r="AE26" s="16">
        <f>Table2[[#This Row],[Asset growth B]]/(1+Table2[Compounded CPI])</f>
        <v>59.377458024048465</v>
      </c>
      <c r="AF26" s="17">
        <f>(AF25*((1+Table2[Discount rate B])^0.5)-Table2[Annual benefit payments (closed scheme)])*(1+Table2[Discount rate B])^0.5</f>
        <v>57.884237511920063</v>
      </c>
      <c r="AG26" s="17">
        <f>Table2[[#This Row],[Asset growth B with benefit payments deducted]]/(1+Table2[Compounded CPI])</f>
        <v>55.747904771327541</v>
      </c>
      <c r="AH26" s="19">
        <f>Table2[[#This Row],[Asset growth B with benefit payments deducted]]/(1+Table2[Compounded discount rate B])</f>
        <v>56.332392756270323</v>
      </c>
      <c r="AI26" s="11">
        <f>Table2[CPI]+1%</f>
        <v>2.2699999999999998E-2</v>
      </c>
      <c r="AJ26" s="18">
        <f>(1+AJ25)*(1+AI26)-1</f>
        <v>5.8801309999999773E-2</v>
      </c>
      <c r="AK26" s="17">
        <f>Table2[[#This Row],[Annual benefit payments (closed scheme)]]/((1+AJ25)*(1+Table2[[#This Row],[Discount rate C]])^0.5)+AK25</f>
        <v>3.6146931312332544</v>
      </c>
      <c r="AL26" s="17">
        <f>AL25*(1+Table2[Discount rate C])</f>
        <v>63.528078599999994</v>
      </c>
      <c r="AM26" s="17">
        <f>Table2[[#This Row],[Asset growth C]]/(1+Table2[Compounded CPI])</f>
        <v>61.183448695664346</v>
      </c>
      <c r="AN26" s="17">
        <f>(AN25*((1+Table2[Discount rate C])^0.5)-Table2[Annual benefit payments (closed scheme)])*(1+Table2[Discount rate C])^0.5</f>
        <v>59.700836777402223</v>
      </c>
      <c r="AO26" s="17">
        <f>Table2[[#This Row],[Asset growth C with benefit payments deducted]]/(1+Table2[Compounded CPI])</f>
        <v>57.497458833241346</v>
      </c>
      <c r="AP26" s="19">
        <f>Table2[[#This Row],[Asset growth C with benefit payments deducted]]/(1+Table2[Compounded discount rate C])</f>
        <v>56.385306868766754</v>
      </c>
      <c r="AQ26" s="11">
        <f>Table2[CPI]+0.9%</f>
        <v>2.1700000000000001E-2</v>
      </c>
      <c r="AR26" s="18">
        <f>(1+AR25)*(1+AQ26)-1</f>
        <v>5.7766009999999923E-2</v>
      </c>
      <c r="AS26" s="17">
        <f>Table2[[#This Row],[Annual benefit payments (closed scheme)]]/((1+AR25)*(1+Table2[[#This Row],[Discount rate D]])^0.5)+AS25</f>
        <v>3.6155266000136956</v>
      </c>
      <c r="AT26" s="16">
        <f>AT25*(1+Table2[Discount rate D])</f>
        <v>63.465960599999995</v>
      </c>
      <c r="AU26" s="17">
        <f>Table2[[#This Row],[Asset growth D]]/(1+Table2[Compounded CPI])</f>
        <v>61.123623283817608</v>
      </c>
      <c r="AV26" s="17">
        <f>(AV25*((1+Table2[Discount rate D])^0.5)-Table2[Annual benefit payments (closed scheme)])*(1+Table2[Discount rate D])^0.5</f>
        <v>59.641579454254639</v>
      </c>
      <c r="AW26" s="17">
        <f>Table2[[#This Row],[Asset growth D with benefit payments deducted]]/(1+Table2[Compounded CPI])</f>
        <v>57.440388519286621</v>
      </c>
      <c r="AX26" s="19">
        <f>Table2[[#This Row],[Asset growth D with benefit payments deducted]]/(1+Table2[Compounded discount rate D])</f>
        <v>56.384473399986298</v>
      </c>
      <c r="AY26" s="11">
        <f>Table2[CPI]+1%</f>
        <v>2.2699999999999998E-2</v>
      </c>
      <c r="AZ26" s="18">
        <f>(1+AZ25)*(1+AY26)-1</f>
        <v>5.8801309999999773E-2</v>
      </c>
      <c r="BA26" s="17">
        <f>Table2[[#This Row],[Annual benefit payments (closed scheme)]]/((1+AZ25)*(1+Table2[[#This Row],[Discount rate E]])^0.5)+BA25</f>
        <v>3.6146931312332544</v>
      </c>
      <c r="BB26" s="17">
        <f>BB25*(1+Table2[Discount rate E])</f>
        <v>63.528078599999994</v>
      </c>
      <c r="BC26" s="16">
        <f>Table2[[#This Row],[Asset growth E]]/(1+Table2[Compounded CPI])</f>
        <v>61.183448695664346</v>
      </c>
      <c r="BD26" s="17">
        <f>(BD25*((1+Table2[Discount rate E])^0.5)-Table2[Annual benefit payments (closed scheme)])*(1+Table2[Discount rate E])^0.5</f>
        <v>59.700836777402223</v>
      </c>
      <c r="BE26" s="17">
        <f>Table2[[#This Row],[Asset growth E with benefit payments deducted]]/(1+Table2[Compounded CPI])</f>
        <v>57.497458833241346</v>
      </c>
      <c r="BF26" s="19">
        <f>Table2[[#This Row],[Asset growth E with benefit payments deducted]]/(1+Table2[Compounded discount rate E])</f>
        <v>56.385306868766754</v>
      </c>
      <c r="BG26" s="11">
        <f>Table2[[#This Row],[Long-dated forward gilt yields]]+0.75%</f>
        <v>8.77E-3</v>
      </c>
      <c r="BH26" s="18">
        <f>(1+BH25)*(1+BG26)-1</f>
        <v>1.6809896899999899E-2</v>
      </c>
      <c r="BI26" s="17">
        <f>((Table2[[#This Row],[Annual benefit payments (closed scheme)]])*1.005^(Table2[[#This Row],[Year]]-2018))/((1+BH25)*(1+Table2[[#This Row],[Discount rate F]])^0.5)+BI25</f>
        <v>3.7074668716735704</v>
      </c>
      <c r="BJ26" s="17">
        <f>BJ25*(1+Table2[Discount rate F])</f>
        <v>83.727680516571183</v>
      </c>
      <c r="BK26" s="17">
        <f>Table2[[#This Row],[Asset growth F, under the assumption of full-funding at Year 0]]/(1+Table2[[#This Row],[Compounded CPI]])</f>
        <v>80.637544188100293</v>
      </c>
      <c r="BL26" s="17">
        <f>(BL25*((1+Table2[Discount rate F])^0.5)-Table2[Annual benefit payments (closed scheme)]*1.005^(Table2[Year]-2018))*(1+Table2[Discount rate F])^0.5</f>
        <v>79.957891509024606</v>
      </c>
      <c r="BM26" s="17">
        <f>Table2[[#This Row],[Asset growth F with benefit payments deducted]]/(1+Table2[Compounded CPI])</f>
        <v>77.006886730490592</v>
      </c>
      <c r="BN26" s="19">
        <f>Table2[[#This Row],[Asset growth F with benefit payments deducted]]/(1+Table2[Compounded discount rate F])</f>
        <v>78.636027985955195</v>
      </c>
      <c r="BO26" s="17"/>
      <c r="BP26" s="17"/>
      <c r="BQ26" s="17"/>
      <c r="BR26" s="17"/>
      <c r="BS26" s="17"/>
      <c r="BT26" s="17"/>
      <c r="BU26" s="17"/>
      <c r="BV26" s="17"/>
      <c r="BW26" s="17"/>
      <c r="BX26" s="17"/>
      <c r="BY26" s="17"/>
      <c r="BZ26" s="17"/>
      <c r="CA26" s="17">
        <f>(CA25*((1+Table2[Discount rate A2])^0.5)+Table2[Net cashflow (ongoing scheme)])*(1+Table2[Discount rate A2])^0.5</f>
        <v>61.799775990789094</v>
      </c>
      <c r="CB26" s="17">
        <f>Table2[[#This Row],[Asset growth, ongoing scheme, with November de-risking, net of contributions and payments]]/(1+Table2[Compounded discount rate A2])</f>
        <v>60.196736887475623</v>
      </c>
      <c r="CC26" s="17">
        <f>Table2[[#This Row],[Asset growth, ongoing scheme, with November de-risking, net of contributions and payments]]/(1+Table2[Compounded CPI])</f>
        <v>59.518932526569351</v>
      </c>
      <c r="CD26" s="17">
        <f>(CD25*((1+Table2[Discount rate A1])^0.5)+Table2[Net cashflow (ongoing scheme)])*(1+Table2[Discount rate A1])^0.5</f>
        <v>61.854991730770081</v>
      </c>
      <c r="CE26" s="17">
        <f>Table2[[#This Row],[Asset growth, ongoing scheme, with September de-risking, net of contributions and payments]]/(1+Table2[Compounded discount rate A1])</f>
        <v>60.19669322578612</v>
      </c>
      <c r="CF26" s="17">
        <f>Table2[[#This Row],[Asset growth, ongoing scheme, with September de-risking, net of contributions and payments]]/(1+Table2[Compounded CPI])</f>
        <v>59.572110420010624</v>
      </c>
      <c r="CG26" s="17">
        <f>(CG25*((1+Table2[Discount rate B])^0.5)+Table2[Net cashflow (ongoing scheme)])*(1+Table2[Discount rate B])^0.5</f>
        <v>61.854991730770081</v>
      </c>
      <c r="CH26" s="17">
        <f>Table2[[#This Row],[Asset growth, ongoing scheme, no de-risking, net of contributions and payments]]/(1+Table2[Compounded discount rate B])</f>
        <v>60.19669322578612</v>
      </c>
      <c r="CI26" s="17">
        <f>Table2[[#This Row],[Asset growth, ongoing scheme, no de-risking, net of contributions and payments]]/(1+Table2[Compounded CPI])</f>
        <v>59.572110420010624</v>
      </c>
      <c r="CJ26" s="17">
        <f>(CJ25*((1+Table2[Discount rate E])^0.5)+Table2[Net cashflow (ongoing scheme)])*(1+Table2[Discount rate E])^0.5</f>
        <v>63.733266641863246</v>
      </c>
      <c r="CK26" s="17">
        <f>Table2[[#This Row],[Asset growth, ongoing scheme, best-estimates, no de-risking, net of contributions and payments ]]/(1+Table2[Compounded discount rate E])</f>
        <v>60.193792772945528</v>
      </c>
      <c r="CL26" s="17">
        <f>Table2[[#This Row],[Asset growth, ongoing scheme, best-estimates, no de-risking, net of contributions and payments ]]/(1+Table2[Compounded CPI])</f>
        <v>61.381063865349397</v>
      </c>
      <c r="CM26" s="9">
        <v>1.2699999999999999E-2</v>
      </c>
      <c r="CN26" s="11">
        <f>(1+Table2[[#This Row],[CPI]])*(1+CN25)-1</f>
        <v>3.8321309999999942E-2</v>
      </c>
      <c r="CO26" s="11">
        <f>'Gilt yields'!B8</f>
        <v>1.2700000000000001E-3</v>
      </c>
      <c r="CP26" s="11">
        <f>CM26+1%</f>
        <v>2.2699999999999998E-2</v>
      </c>
      <c r="CQ26" s="26">
        <f>(1+Table2[[#This Row],[Salary growth]])*(1+CQ25)-1</f>
        <v>4.8574310000000009E-2</v>
      </c>
      <c r="CR26" s="15">
        <f t="shared" si="5"/>
        <v>10.383213099999999</v>
      </c>
      <c r="CS26" s="17">
        <f t="shared" si="6"/>
        <v>13.498177030000001</v>
      </c>
      <c r="CT26" s="17">
        <f>CT25*(1+Table2[[#This Row],[Salary growth]])</f>
        <v>10.485743099999999</v>
      </c>
      <c r="CU26" s="19">
        <f t="shared" si="7"/>
        <v>13.63146603</v>
      </c>
      <c r="CV26" s="112">
        <f>('Cash flows as at 31032017'!B11)/1000000000</f>
        <v>1.783566459</v>
      </c>
      <c r="CW26" s="113">
        <v>0</v>
      </c>
      <c r="CX26" s="113">
        <f>Table2[[#This Row],[Annual contributions (closed scheme)]]-Table2[[#This Row],[Annual benefit payments (closed scheme)]]</f>
        <v>-1.783566459</v>
      </c>
      <c r="CY26" s="113">
        <v>2</v>
      </c>
      <c r="CZ26" s="113">
        <v>2.1</v>
      </c>
      <c r="DA26" s="113">
        <v>0.1</v>
      </c>
      <c r="DB26" s="17"/>
      <c r="DC26" s="84"/>
      <c r="DD26" s="84"/>
      <c r="DE26" s="84"/>
      <c r="DF26" s="84"/>
      <c r="DG26" s="84"/>
      <c r="DH26" s="84"/>
      <c r="DI26" s="84"/>
      <c r="DJ26" s="84"/>
      <c r="DK26" s="84"/>
      <c r="DL26" s="84"/>
      <c r="DM26" s="84"/>
      <c r="DN26" s="84"/>
      <c r="DO26" s="84"/>
      <c r="DP26" s="84"/>
      <c r="DQ26" s="84"/>
      <c r="DR26" s="84"/>
      <c r="DS26" s="84"/>
      <c r="DT26" s="84"/>
      <c r="DU26" s="84"/>
      <c r="DV26" s="84"/>
      <c r="DW26" s="84"/>
      <c r="DX26" s="84"/>
    </row>
    <row r="27" spans="1:128" x14ac:dyDescent="0.2">
      <c r="A27" s="8">
        <v>2020</v>
      </c>
      <c r="B27" s="50"/>
      <c r="C27" s="50"/>
      <c r="D27" s="50"/>
      <c r="E27" s="35">
        <v>6.0999999999999999E-2</v>
      </c>
      <c r="F27" s="16">
        <f>F26*(1+Table2[[#This Row],[2008 discount rate]])</f>
        <v>68.584538023202825</v>
      </c>
      <c r="G27" s="18">
        <v>6.0999999999999999E-2</v>
      </c>
      <c r="H27" s="16">
        <f>H26*(1+Table2[[#This Row],[2011 discount rate]])</f>
        <v>56.360117317417519</v>
      </c>
      <c r="I27" s="18">
        <v>5.1999999999999998E-2</v>
      </c>
      <c r="J27" s="16">
        <f>J26*(1+Table2[[#This Row],[2014 discount rate]])</f>
        <v>56.520980374371277</v>
      </c>
      <c r="K27" s="9">
        <v>7.3000000000000001E-3</v>
      </c>
      <c r="L27" s="18">
        <f t="shared" ref="L27:L74" si="9">(1+L26)*(1+K27)-1</f>
        <v>3.5049100400000199E-2</v>
      </c>
      <c r="M27" s="17">
        <f>Table2[[#This Row],[Annual benefit payments (closed scheme)]]/((1+L26)*(1+Table2[[#This Row],[Discount rate A1]])^0.5)+M26</f>
        <v>5.4427971635008259</v>
      </c>
      <c r="N27" s="17">
        <f>N26*(1+Table2[Discount rate A1])</f>
        <v>67.198046345326176</v>
      </c>
      <c r="O27" s="17">
        <f>Table2[[#This Row],[Asset growth A1, under the assumption of full-funding at Year 0]]/(1+Table2[[#This Row],[Compounded CPI]])</f>
        <v>63.912669359051911</v>
      </c>
      <c r="P27" s="17">
        <f>(P26*((1+Table2[Discount rate A1])^0.5)-Table2[Annual benefit payments (closed scheme)])*(1+Table2[Discount rate A1])^0.5</f>
        <v>61.564484037585004</v>
      </c>
      <c r="Q27" s="17">
        <f>Table2[[#This Row],[Asset growth A1 with benefit payments deducted]]/(1+Table2[Compounded CPI])</f>
        <v>58.554537319945062</v>
      </c>
      <c r="R27" s="17">
        <f>Table2[[#This Row],[Asset growth A1 with benefit payments deducted]]/(1+Table2[Compounded discount rate A1])</f>
        <v>59.47977155266652</v>
      </c>
      <c r="S27" s="9">
        <v>5.5999999999999999E-3</v>
      </c>
      <c r="T27" s="18">
        <f t="shared" si="8"/>
        <v>3.237912800000009E-2</v>
      </c>
      <c r="U27" s="17">
        <f>Table2[[#This Row],[Annual benefit payments (closed scheme)]]/((1+T26)*(1+Table2[[#This Row],[Discount rate A2]])^0.5)+U26</f>
        <v>5.4466644680069072</v>
      </c>
      <c r="V27" s="17">
        <f>V26*(1+Table2[Discount rate A2])</f>
        <v>69.697263252397519</v>
      </c>
      <c r="W27" s="17">
        <f>Table2[[#This Row],[Asset growth A2, under the assumption of full-funding at Year 0]]/(1+Table2[Compounded CPI])</f>
        <v>66.289697152648074</v>
      </c>
      <c r="X27" s="17">
        <f>(X26*((1+Table2[Discount rate A2])^0.5)-Table2[Annual benefit payments (closed scheme)])*(1+Table2[Discount rate A2])^0.5</f>
        <v>64.074240538407977</v>
      </c>
      <c r="Y27" s="17">
        <f>Table2[[#This Row],[Asset growth A2 with benefit payments deducted]]/(1+Table2[[#This Row],[Compounded CPI]])</f>
        <v>60.941589416437843</v>
      </c>
      <c r="Z27" s="19">
        <f>Table2[[#This Row],[Asset growth A2 with benefit payments deducted]]/(1+Table2[Compounded discount rate A2])</f>
        <v>62.06464156490383</v>
      </c>
      <c r="AA27" s="35">
        <f t="shared" si="4"/>
        <v>7.3000000000000001E-3</v>
      </c>
      <c r="AB27" s="18">
        <f t="shared" ref="AB27:AB90" si="10">(1+AB26)*(1+AA27)-1</f>
        <v>3.5049100400000199E-2</v>
      </c>
      <c r="AC27" s="17">
        <f>Table2[[#This Row],[Annual benefit payments (closed scheme)]]/((1+AB26)*(1+Table2[[#This Row],[Discount rate B]])^0.5)+AC26</f>
        <v>5.4427971635008259</v>
      </c>
      <c r="AD27" s="16">
        <f>AD26*(1+Table2[Discount rate B])</f>
        <v>62.102946024000019</v>
      </c>
      <c r="AE27" s="16">
        <f>Table2[[#This Row],[Asset growth B]]/(1+Table2[Compounded CPI])</f>
        <v>59.066673382998253</v>
      </c>
      <c r="AF27" s="17">
        <f>(AF26*((1+Table2[Discount rate B])^0.5)-Table2[Annual benefit payments (closed scheme)])*(1+Table2[Discount rate B])^0.5</f>
        <v>56.469383716258825</v>
      </c>
      <c r="AG27" s="17">
        <f>Table2[[#This Row],[Asset growth B with benefit payments deducted]]/(1+Table2[Compounded CPI])</f>
        <v>53.708541343891383</v>
      </c>
      <c r="AH27" s="19">
        <f>Table2[[#This Row],[Asset growth B with benefit payments deducted]]/(1+Table2[Compounded discount rate B])</f>
        <v>54.557202836499187</v>
      </c>
      <c r="AI27" s="11">
        <f>Table2[CPI]+1%</f>
        <v>2.2600000000000002E-2</v>
      </c>
      <c r="AJ27" s="18">
        <f t="shared" ref="AJ27:AJ90" si="11">(1+AJ26)*(1+AI27)-1</f>
        <v>8.27302196059998E-2</v>
      </c>
      <c r="AK27" s="17">
        <f>Table2[[#This Row],[Annual benefit payments (closed scheme)]]/((1+AJ26)*(1+Table2[[#This Row],[Discount rate C]])^0.5)+AK26</f>
        <v>5.324546995577629</v>
      </c>
      <c r="AL27" s="17">
        <f>AL26*(1+Table2[Discount rate C])</f>
        <v>64.963813176359992</v>
      </c>
      <c r="AM27" s="17">
        <f>Table2[[#This Row],[Asset growth C]]/(1+Table2[Compounded CPI])</f>
        <v>61.787669994258707</v>
      </c>
      <c r="AN27" s="17">
        <f>(AN26*((1+Table2[Discount rate C])^0.5)-Table2[Annual benefit payments (closed scheme)])*(1+Table2[Discount rate C])^0.5</f>
        <v>59.198765238535756</v>
      </c>
      <c r="AO27" s="17">
        <f>Table2[[#This Row],[Asset growth C with benefit payments deducted]]/(1+Table2[Compounded CPI])</f>
        <v>56.304480783730831</v>
      </c>
      <c r="AP27" s="19">
        <f>Table2[[#This Row],[Asset growth C with benefit payments deducted]]/(1+Table2[Compounded discount rate C])</f>
        <v>54.675453004422373</v>
      </c>
      <c r="AQ27" s="11">
        <f>Table2[CPI]+0.8%</f>
        <v>2.06E-2</v>
      </c>
      <c r="AR27" s="18">
        <f t="shared" ref="AR27:AR90" si="12">(1+AR26)*(1+AQ27)-1</f>
        <v>7.9555989805999872E-2</v>
      </c>
      <c r="AS27" s="17">
        <f>Table2[[#This Row],[Annual benefit payments (closed scheme)]]/((1+AR26)*(1+Table2[[#This Row],[Discount rate D]])^0.5)+AS26</f>
        <v>5.3287301632652326</v>
      </c>
      <c r="AT27" s="16">
        <f>AT26*(1+Table2[Discount rate D])</f>
        <v>64.773359388359992</v>
      </c>
      <c r="AU27" s="17">
        <f>Table2[[#This Row],[Asset growth D]]/(1+Table2[Compounded CPI])</f>
        <v>61.606527674762248</v>
      </c>
      <c r="AV27" s="17">
        <f>(AV26*((1+Table2[Discount rate D])^0.5)-Table2[Annual benefit payments (closed scheme)])*(1+Table2[Discount rate D])^0.5</f>
        <v>59.020696822547102</v>
      </c>
      <c r="AW27" s="17">
        <f>Table2[[#This Row],[Asset growth D with benefit payments deducted]]/(1+Table2[Compounded CPI])</f>
        <v>56.13511830351991</v>
      </c>
      <c r="AX27" s="19">
        <f>Table2[[#This Row],[Asset growth D with benefit payments deducted]]/(1+Table2[Compounded discount rate D])</f>
        <v>54.671269836734766</v>
      </c>
      <c r="AY27" s="11">
        <f>Table2[CPI]+1%</f>
        <v>2.2600000000000002E-2</v>
      </c>
      <c r="AZ27" s="18">
        <f t="shared" ref="AZ27:AZ90" si="13">(1+AZ26)*(1+AY27)-1</f>
        <v>8.27302196059998E-2</v>
      </c>
      <c r="BA27" s="17">
        <f>Table2[[#This Row],[Annual benefit payments (closed scheme)]]/((1+AZ26)*(1+Table2[[#This Row],[Discount rate E]])^0.5)+BA26</f>
        <v>5.324546995577629</v>
      </c>
      <c r="BB27" s="17">
        <f>BB26*(1+Table2[Discount rate E])</f>
        <v>64.963813176359992</v>
      </c>
      <c r="BC27" s="16">
        <f>Table2[[#This Row],[Asset growth E]]/(1+Table2[Compounded CPI])</f>
        <v>61.787669994258707</v>
      </c>
      <c r="BD27" s="17">
        <f>(BD26*((1+Table2[Discount rate E])^0.5)-Table2[Annual benefit payments (closed scheme)])*(1+Table2[Discount rate E])^0.5</f>
        <v>59.198765238535756</v>
      </c>
      <c r="BE27" s="17">
        <f>Table2[[#This Row],[Asset growth E with benefit payments deducted]]/(1+Table2[Compounded CPI])</f>
        <v>56.304480783730831</v>
      </c>
      <c r="BF27" s="19">
        <f>Table2[[#This Row],[Asset growth E with benefit payments deducted]]/(1+Table2[Compounded discount rate E])</f>
        <v>54.675453004422373</v>
      </c>
      <c r="BG27" s="11">
        <f>Table2[[#This Row],[Long-dated forward gilt yields]]+0.75%</f>
        <v>1.099E-2</v>
      </c>
      <c r="BH27" s="11">
        <f t="shared" ref="BH27:BH90" si="14">(1+BH26)*(1+BG27)-1</f>
        <v>2.7984637666931045E-2</v>
      </c>
      <c r="BI27" s="17">
        <f>((Table2[[#This Row],[Annual benefit payments (closed scheme)]])*1.005^(Table2[[#This Row],[Year]]-2018))/((1+BH26)*(1+Table2[[#This Row],[Discount rate F]])^0.5)+BI26</f>
        <v>5.5160783688775599</v>
      </c>
      <c r="BJ27" s="17">
        <f>BJ26*(1+Table2[Discount rate F])</f>
        <v>84.647847725448301</v>
      </c>
      <c r="BK27" s="17">
        <f>Table2[[#This Row],[Asset growth F, under the assumption of full-funding at Year 0]]/(1+Table2[[#This Row],[Compounded CPI]])</f>
        <v>80.509333200402452</v>
      </c>
      <c r="BL27" s="17">
        <f>(BL26*((1+Table2[Discount rate F])^0.5)-Table2[Annual benefit payments (closed scheme)]*1.005^(Table2[Year]-2018))*(1+Table2[Discount rate F])^0.5</f>
        <v>78.977403902075309</v>
      </c>
      <c r="BM27" s="17">
        <f>Table2[[#This Row],[Asset growth F with benefit payments deducted]]/(1+Table2[Compounded CPI])</f>
        <v>75.116122818363976</v>
      </c>
      <c r="BN27" s="19">
        <f>Table2[[#This Row],[Asset growth F with benefit payments deducted]]/(1+Table2[Compounded discount rate F])</f>
        <v>76.827416488751197</v>
      </c>
      <c r="BO27" s="17"/>
      <c r="BP27" s="17"/>
      <c r="BQ27" s="17"/>
      <c r="BR27" s="17"/>
      <c r="BS27" s="17"/>
      <c r="BT27" s="17"/>
      <c r="BU27" s="17"/>
      <c r="BV27" s="17"/>
      <c r="BW27" s="17"/>
      <c r="BX27" s="17"/>
      <c r="BY27" s="17"/>
      <c r="BZ27" s="17"/>
      <c r="CA27" s="17">
        <f>(CA26*((1+Table2[Discount rate A2])^0.5)+Table2[Net cashflow (ongoing scheme)])*(1+Table2[Discount rate A2])^0.5</f>
        <v>62.195994540884406</v>
      </c>
      <c r="CB27" s="17">
        <f>Table2[[#This Row],[Asset growth, ongoing scheme, with November de-risking, net of contributions and payments]]/(1+Table2[Compounded discount rate A2])</f>
        <v>60.245304127152401</v>
      </c>
      <c r="CC27" s="17">
        <f>Table2[[#This Row],[Asset growth, ongoing scheme, with November de-risking, net of contributions and payments]]/(1+Table2[Compounded CPI])</f>
        <v>59.155172668578977</v>
      </c>
      <c r="CD27" s="17">
        <f>(CD26*((1+Table2[Discount rate A1])^0.5)+Table2[Net cashflow (ongoing scheme)])*(1+Table2[Discount rate A1])^0.5</f>
        <v>62.356715338552377</v>
      </c>
      <c r="CE27" s="17">
        <f>Table2[[#This Row],[Asset growth, ongoing scheme, with September de-risking, net of contributions and payments]]/(1+Table2[Compounded discount rate A1])</f>
        <v>60.245176112374082</v>
      </c>
      <c r="CF27" s="17">
        <f>Table2[[#This Row],[Asset growth, ongoing scheme, with September de-risking, net of contributions and payments]]/(1+Table2[Compounded CPI])</f>
        <v>59.308035672180132</v>
      </c>
      <c r="CG27" s="17">
        <f>(CG26*((1+Table2[Discount rate B])^0.5)+Table2[Net cashflow (ongoing scheme)])*(1+Table2[Discount rate B])^0.5</f>
        <v>62.356715338552377</v>
      </c>
      <c r="CH27" s="17">
        <f>Table2[[#This Row],[Asset growth, ongoing scheme, no de-risking, net of contributions and payments]]/(1+Table2[Compounded discount rate B])</f>
        <v>60.245176112374082</v>
      </c>
      <c r="CI27" s="17">
        <f>Table2[[#This Row],[Asset growth, ongoing scheme, no de-risking, net of contributions and payments]]/(1+Table2[Compounded CPI])</f>
        <v>59.308035672180132</v>
      </c>
      <c r="CJ27" s="17">
        <f>(CJ26*((1+Table2[Discount rate E])^0.5)+Table2[Net cashflow (ongoing scheme)])*(1+Table2[Discount rate E])^0.5</f>
        <v>65.224200311290176</v>
      </c>
      <c r="CK27" s="17">
        <f>Table2[[#This Row],[Asset growth, ongoing scheme, best-estimates, no de-risking, net of contributions and payments ]]/(1+Table2[Compounded discount rate E])</f>
        <v>60.240491241691714</v>
      </c>
      <c r="CL27" s="17">
        <f>Table2[[#This Row],[Asset growth, ongoing scheme, best-estimates, no de-risking, net of contributions and payments ]]/(1+Table2[Compounded CPI])</f>
        <v>62.035326552227986</v>
      </c>
      <c r="CM27" s="9">
        <v>1.26E-2</v>
      </c>
      <c r="CN27" s="11">
        <f>(1+Table2[[#This Row],[CPI]])*(1+CN26)-1</f>
        <v>5.1404158505999886E-2</v>
      </c>
      <c r="CO27" s="11">
        <f>'Gilt yields'!B9</f>
        <v>3.49E-3</v>
      </c>
      <c r="CP27" s="11">
        <f t="shared" ref="CP27:CP74" si="15">CM27+2%</f>
        <v>3.2600000000000004E-2</v>
      </c>
      <c r="CQ27" s="26">
        <f>(1+Table2[[#This Row],[Salary growth]])*(1+CQ26)-1</f>
        <v>8.2757832505999884E-2</v>
      </c>
      <c r="CR27" s="15">
        <f t="shared" si="5"/>
        <v>10.514041585059998</v>
      </c>
      <c r="CS27" s="17">
        <f t="shared" si="6"/>
        <v>13.668254060578001</v>
      </c>
      <c r="CT27" s="17">
        <f>CT26*(1+Table2[[#This Row],[Salary growth]])</f>
        <v>10.827578325059998</v>
      </c>
      <c r="CU27" s="19">
        <f t="shared" si="7"/>
        <v>14.075851822578</v>
      </c>
      <c r="CV27" s="112">
        <f>('Cash flows as at 31032017'!B12)/1000000000</f>
        <v>1.8307386839999999</v>
      </c>
      <c r="CW27" s="113">
        <v>0</v>
      </c>
      <c r="CX27" s="113">
        <f>Table2[[#This Row],[Annual contributions (closed scheme)]]-Table2[[#This Row],[Annual benefit payments (closed scheme)]]</f>
        <v>-1.8307386839999999</v>
      </c>
      <c r="CY27" s="113">
        <v>2.1500000000000004</v>
      </c>
      <c r="CZ27" s="113">
        <v>2.2000000000000002</v>
      </c>
      <c r="DA27" s="113">
        <v>0.05</v>
      </c>
      <c r="DB27" s="17"/>
      <c r="DC27" s="84"/>
      <c r="DD27" s="84"/>
      <c r="DE27" s="84"/>
      <c r="DF27" s="84"/>
      <c r="DG27" s="84"/>
      <c r="DH27" s="84"/>
      <c r="DI27" s="84"/>
      <c r="DJ27" s="84"/>
      <c r="DK27" s="84"/>
      <c r="DL27" s="84"/>
      <c r="DM27" s="84"/>
      <c r="DN27" s="84"/>
      <c r="DO27" s="84"/>
      <c r="DP27" s="84"/>
      <c r="DQ27" s="84"/>
      <c r="DR27" s="84"/>
      <c r="DS27" s="84"/>
      <c r="DT27" s="84"/>
      <c r="DU27" s="84"/>
      <c r="DV27" s="84"/>
      <c r="DW27" s="84"/>
      <c r="DX27" s="84"/>
    </row>
    <row r="28" spans="1:128" x14ac:dyDescent="0.2">
      <c r="A28" s="8">
        <v>2021</v>
      </c>
      <c r="B28" s="50"/>
      <c r="C28" s="50"/>
      <c r="D28" s="50"/>
      <c r="E28" s="35">
        <v>6.0999999999999999E-2</v>
      </c>
      <c r="F28" s="16">
        <f>F27*(1+Table2[[#This Row],[2008 discount rate]])</f>
        <v>72.768194842618186</v>
      </c>
      <c r="G28" s="18">
        <v>6.0999999999999999E-2</v>
      </c>
      <c r="H28" s="16">
        <f>H27*(1+Table2[[#This Row],[2011 discount rate]])</f>
        <v>59.798084473779987</v>
      </c>
      <c r="I28" s="18">
        <v>5.1999999999999998E-2</v>
      </c>
      <c r="J28" s="16">
        <f>J27*(1+Table2[[#This Row],[2014 discount rate]])</f>
        <v>59.460071353838586</v>
      </c>
      <c r="K28" s="9">
        <v>8.8000000000000005E-3</v>
      </c>
      <c r="L28" s="18">
        <f t="shared" si="9"/>
        <v>4.4157532483520168E-2</v>
      </c>
      <c r="M28" s="17">
        <f>Table2[[#This Row],[Annual benefit payments (closed scheme)]]/((1+L27)*(1+Table2[[#This Row],[Discount rate A1]])^0.5)+M27</f>
        <v>7.254161828620731</v>
      </c>
      <c r="N28" s="17">
        <f>N27*(1+Table2[Discount rate A1])</f>
        <v>67.789389153165047</v>
      </c>
      <c r="O28" s="17">
        <f>Table2[[#This Row],[Asset growth A1, under the assumption of full-funding at Year 0]]/(1+Table2[[#This Row],[Compounded CPI]])</f>
        <v>63.578641997250337</v>
      </c>
      <c r="P28" s="17">
        <f>(P27*((1+Table2[Discount rate A1])^0.5)-Table2[Annual benefit payments (closed scheme)])*(1+Table2[Discount rate A1])^0.5</f>
        <v>60.214901437956307</v>
      </c>
      <c r="Q28" s="17">
        <f>Table2[[#This Row],[Asset growth A1 with benefit payments deducted]]/(1+Table2[Compounded CPI])</f>
        <v>56.474644619876969</v>
      </c>
      <c r="R28" s="17">
        <f>Table2[[#This Row],[Asset growth A1 with benefit payments deducted]]/(1+Table2[Compounded discount rate A1])</f>
        <v>57.66840688754661</v>
      </c>
      <c r="S28" s="9">
        <v>6.1000000000000004E-3</v>
      </c>
      <c r="T28" s="18">
        <f t="shared" si="8"/>
        <v>3.8676640680800123E-2</v>
      </c>
      <c r="U28" s="17">
        <f>Table2[[#This Row],[Annual benefit payments (closed scheme)]]/((1+T27)*(1+Table2[[#This Row],[Discount rate A2]])^0.5)+U27</f>
        <v>7.2651489125503144</v>
      </c>
      <c r="V28" s="17">
        <f>V27*(1+Table2[Discount rate A2])</f>
        <v>70.122416558237148</v>
      </c>
      <c r="W28" s="17">
        <f>Table2[[#This Row],[Asset growth A2, under the assumption of full-funding at Year 0]]/(1+Table2[Compounded CPI])</f>
        <v>65.766753086755969</v>
      </c>
      <c r="X28" s="17">
        <f>(X27*((1+Table2[Discount rate A2])^0.5)-Table2[Annual benefit payments (closed scheme)])*(1+Table2[Discount rate A2])^0.5</f>
        <v>62.576276091703633</v>
      </c>
      <c r="Y28" s="17">
        <f>Table2[[#This Row],[Asset growth A2 with benefit payments deducted]]/(1+Table2[[#This Row],[Compounded CPI]])</f>
        <v>58.689342164838884</v>
      </c>
      <c r="Z28" s="19">
        <f>Table2[[#This Row],[Asset growth A2 with benefit payments deducted]]/(1+Table2[Compounded discount rate A2])</f>
        <v>60.246157120360422</v>
      </c>
      <c r="AA28" s="35">
        <f t="shared" si="4"/>
        <v>8.7999999999999988E-3</v>
      </c>
      <c r="AB28" s="18">
        <f t="shared" si="10"/>
        <v>4.4157532483520168E-2</v>
      </c>
      <c r="AC28" s="17">
        <f>Table2[[#This Row],[Annual benefit payments (closed scheme)]]/((1+AB27)*(1+Table2[[#This Row],[Discount rate B]])^0.5)+AC27</f>
        <v>7.254161828620731</v>
      </c>
      <c r="AD28" s="16">
        <f>AD27*(1+Table2[Discount rate B])</f>
        <v>62.649451949011215</v>
      </c>
      <c r="AE28" s="16">
        <f>Table2[[#This Row],[Asset growth B]]/(1+Table2[Compounded CPI])</f>
        <v>58.75797269378625</v>
      </c>
      <c r="AF28" s="17">
        <f>(AF27*((1+Table2[Discount rate B])^0.5)-Table2[Annual benefit payments (closed scheme)])*(1+Table2[Discount rate B])^0.5</f>
        <v>55.074964233802454</v>
      </c>
      <c r="AG28" s="17">
        <f>Table2[[#This Row],[Asset growth B with benefit payments deducted]]/(1+Table2[Compounded CPI])</f>
        <v>51.653975316412861</v>
      </c>
      <c r="AH28" s="19">
        <f>Table2[[#This Row],[Asset growth B with benefit payments deducted]]/(1+Table2[Compounded discount rate B])</f>
        <v>52.745838171379276</v>
      </c>
      <c r="AI28" s="11">
        <f>Table2[CPI]+1%</f>
        <v>2.41E-2</v>
      </c>
      <c r="AJ28" s="18">
        <f t="shared" si="11"/>
        <v>0.10882401789850449</v>
      </c>
      <c r="AK28" s="17">
        <f>Table2[[#This Row],[Annual benefit payments (closed scheme)]]/((1+AJ27)*(1+Table2[[#This Row],[Discount rate C]])^0.5)+AK27</f>
        <v>7.0431593884808263</v>
      </c>
      <c r="AL28" s="17">
        <f>AL27*(1+Table2[Discount rate C])</f>
        <v>66.529441073910263</v>
      </c>
      <c r="AM28" s="17">
        <f>Table2[[#This Row],[Asset growth C]]/(1+Table2[Compounded CPI])</f>
        <v>62.396955764836143</v>
      </c>
      <c r="AN28" s="17">
        <f>(AN27*((1+Table2[Discount rate C])^0.5)-Table2[Annual benefit payments (closed scheme)])*(1+Table2[Discount rate C])^0.5</f>
        <v>58.719816782075384</v>
      </c>
      <c r="AO28" s="17">
        <f>Table2[[#This Row],[Asset growth C with benefit payments deducted]]/(1+Table2[Compounded CPI])</f>
        <v>55.07242735137401</v>
      </c>
      <c r="AP28" s="19">
        <f>Table2[[#This Row],[Asset growth C with benefit payments deducted]]/(1+Table2[Compounded discount rate C])</f>
        <v>52.956840611519169</v>
      </c>
      <c r="AQ28" s="11">
        <f>Table2[CPI]+0.7%</f>
        <v>2.1100000000000001E-2</v>
      </c>
      <c r="AR28" s="18">
        <f t="shared" si="12"/>
        <v>0.10233462119090642</v>
      </c>
      <c r="AS28" s="17">
        <f>Table2[[#This Row],[Annual benefit payments (closed scheme)]]/((1+AR27)*(1+Table2[[#This Row],[Discount rate D]])^0.5)+AS27</f>
        <v>7.0549260248849874</v>
      </c>
      <c r="AT28" s="16">
        <f>AT27*(1+Table2[Discount rate D])</f>
        <v>66.140077271454388</v>
      </c>
      <c r="AU28" s="17">
        <f>Table2[[#This Row],[Asset growth D]]/(1+Table2[Compounded CPI])</f>
        <v>62.031777348091637</v>
      </c>
      <c r="AV28" s="17">
        <f>(AV27*((1+Table2[Discount rate D])^0.5)-Table2[Annual benefit payments (closed scheme)])*(1+Table2[Discount rate D])^0.5</f>
        <v>58.363188064282916</v>
      </c>
      <c r="AW28" s="17">
        <f>Table2[[#This Row],[Asset growth D with benefit payments deducted]]/(1+Table2[Compounded CPI])</f>
        <v>54.737950675042917</v>
      </c>
      <c r="AX28" s="19">
        <f>Table2[[#This Row],[Asset growth D with benefit payments deducted]]/(1+Table2[Compounded discount rate D])</f>
        <v>52.945073975115001</v>
      </c>
      <c r="AY28" s="11">
        <f>Table2[CPI]+1%</f>
        <v>2.41E-2</v>
      </c>
      <c r="AZ28" s="18">
        <f t="shared" si="13"/>
        <v>0.10882401789850449</v>
      </c>
      <c r="BA28" s="17">
        <f>Table2[[#This Row],[Annual benefit payments (closed scheme)]]/((1+AZ27)*(1+Table2[[#This Row],[Discount rate E]])^0.5)+BA27</f>
        <v>7.0431593884808263</v>
      </c>
      <c r="BB28" s="17">
        <f>BB27*(1+Table2[Discount rate E])</f>
        <v>66.529441073910263</v>
      </c>
      <c r="BC28" s="16">
        <f>Table2[[#This Row],[Asset growth E]]/(1+Table2[Compounded CPI])</f>
        <v>62.396955764836143</v>
      </c>
      <c r="BD28" s="17">
        <f>(BD27*((1+Table2[Discount rate E])^0.5)-Table2[Annual benefit payments (closed scheme)])*(1+Table2[Discount rate E])^0.5</f>
        <v>58.719816782075384</v>
      </c>
      <c r="BE28" s="17">
        <f>Table2[[#This Row],[Asset growth E with benefit payments deducted]]/(1+Table2[Compounded CPI])</f>
        <v>55.07242735137401</v>
      </c>
      <c r="BF28" s="19">
        <f>Table2[[#This Row],[Asset growth E with benefit payments deducted]]/(1+Table2[Compounded discount rate E])</f>
        <v>52.956840611519169</v>
      </c>
      <c r="BG28" s="11">
        <f>Table2[[#This Row],[Long-dated forward gilt yields]]+0.75%</f>
        <v>1.4200000000000001E-2</v>
      </c>
      <c r="BH28" s="11">
        <f t="shared" si="14"/>
        <v>4.2582019521801406E-2</v>
      </c>
      <c r="BI28" s="17">
        <f>((Table2[[#This Row],[Annual benefit payments (closed scheme)]])*1.005^(Table2[[#This Row],[Year]]-2018))/((1+BH27)*(1+Table2[[#This Row],[Discount rate F]])^0.5)+BI27</f>
        <v>7.362450082697495</v>
      </c>
      <c r="BJ28" s="17">
        <f>BJ27*(1+Table2[Discount rate F])</f>
        <v>85.849847163149661</v>
      </c>
      <c r="BK28" s="17">
        <f>Table2[[#This Row],[Asset growth F, under the assumption of full-funding at Year 0]]/(1+Table2[[#This Row],[Compounded CPI]])</f>
        <v>80.517272193913982</v>
      </c>
      <c r="BL28" s="17">
        <f>(BL27*((1+Table2[Discount rate F])^0.5)-Table2[Annual benefit payments (closed scheme)]*1.005^(Table2[Year]-2018))*(1+Table2[Discount rate F])^0.5</f>
        <v>78.173889087302456</v>
      </c>
      <c r="BM28" s="17">
        <f>Table2[[#This Row],[Asset growth F with benefit payments deducted]]/(1+Table2[Compounded CPI])</f>
        <v>73.318107301197045</v>
      </c>
      <c r="BN28" s="19">
        <f>Table2[[#This Row],[Asset growth F with benefit payments deducted]]/(1+Table2[Compounded discount rate F])</f>
        <v>74.981044774931263</v>
      </c>
      <c r="BO28" s="17"/>
      <c r="BP28" s="17"/>
      <c r="BQ28" s="17"/>
      <c r="BR28" s="17"/>
      <c r="BS28" s="17"/>
      <c r="BT28" s="17"/>
      <c r="BU28" s="17"/>
      <c r="BV28" s="17"/>
      <c r="BW28" s="17"/>
      <c r="BX28" s="17"/>
      <c r="BY28" s="17"/>
      <c r="BZ28" s="17"/>
      <c r="CA28" s="17">
        <f>(CA27*((1+Table2[Discount rate A2])^0.5)+Table2[Net cashflow (ongoing scheme)])*(1+Table2[Discount rate A2])^0.5</f>
        <v>62.695755551129707</v>
      </c>
      <c r="CB28" s="17">
        <f>Table2[[#This Row],[Asset growth, ongoing scheme, with November de-risking, net of contributions and payments]]/(1+Table2[Compounded discount rate A2])</f>
        <v>60.361187587732601</v>
      </c>
      <c r="CC28" s="17">
        <f>Table2[[#This Row],[Asset growth, ongoing scheme, with November de-risking, net of contributions and payments]]/(1+Table2[Compounded CPI])</f>
        <v>58.801400141341844</v>
      </c>
      <c r="CD28" s="17">
        <f>(CD27*((1+Table2[Discount rate A1])^0.5)+Table2[Net cashflow (ongoing scheme)])*(1+Table2[Discount rate A1])^0.5</f>
        <v>63.025981277014722</v>
      </c>
      <c r="CE28" s="17">
        <f>Table2[[#This Row],[Asset growth, ongoing scheme, with September de-risking, net of contributions and payments]]/(1+Table2[Compounded discount rate A1])</f>
        <v>60.360605862898808</v>
      </c>
      <c r="CF28" s="17">
        <f>Table2[[#This Row],[Asset growth, ongoing scheme, with September de-risking, net of contributions and payments]]/(1+Table2[Compounded CPI])</f>
        <v>59.111113851210035</v>
      </c>
      <c r="CG28" s="17">
        <f>(CG27*((1+Table2[Discount rate B])^0.5)+Table2[Net cashflow (ongoing scheme)])*(1+Table2[Discount rate B])^0.5</f>
        <v>63.025981277014722</v>
      </c>
      <c r="CH28" s="17">
        <f>Table2[[#This Row],[Asset growth, ongoing scheme, no de-risking, net of contributions and payments]]/(1+Table2[Compounded discount rate B])</f>
        <v>60.360605862898808</v>
      </c>
      <c r="CI28" s="17">
        <f>Table2[[#This Row],[Asset growth, ongoing scheme, no de-risking, net of contributions and payments]]/(1+Table2[Compounded CPI])</f>
        <v>59.111113851210035</v>
      </c>
      <c r="CJ28" s="17">
        <f>(CJ27*((1+Table2[Discount rate E])^0.5)+Table2[Net cashflow (ongoing scheme)])*(1+Table2[Discount rate E])^0.5</f>
        <v>66.917540930068597</v>
      </c>
      <c r="CK28" s="17">
        <f>Table2[[#This Row],[Asset growth, ongoing scheme, best-estimates, no de-risking, net of contributions and payments ]]/(1+Table2[Compounded discount rate E])</f>
        <v>60.350010326159669</v>
      </c>
      <c r="CL28" s="17">
        <f>Table2[[#This Row],[Asset growth, ongoing scheme, best-estimates, no de-risking, net of contributions and payments ]]/(1+Table2[Compounded CPI])</f>
        <v>62.76094874547983</v>
      </c>
      <c r="CM28" s="9">
        <v>1.41E-2</v>
      </c>
      <c r="CN28" s="11">
        <f>(1+Table2[[#This Row],[CPI]])*(1+CN27)-1</f>
        <v>6.6228957140934464E-2</v>
      </c>
      <c r="CO28" s="11">
        <f>'Gilt yields'!B10</f>
        <v>6.7000000000000002E-3</v>
      </c>
      <c r="CP28" s="11">
        <f t="shared" si="15"/>
        <v>3.4099999999999998E-2</v>
      </c>
      <c r="CQ28" s="26">
        <f>(1+Table2[[#This Row],[Salary growth]])*(1+CQ27)-1</f>
        <v>0.11967987459445451</v>
      </c>
      <c r="CR28" s="15">
        <f t="shared" si="5"/>
        <v>10.662289571409344</v>
      </c>
      <c r="CS28" s="17">
        <f t="shared" si="6"/>
        <v>13.86097644283215</v>
      </c>
      <c r="CT28" s="17">
        <f>CT27*(1+Table2[[#This Row],[Salary growth]])</f>
        <v>11.196798745944543</v>
      </c>
      <c r="CU28" s="19">
        <f t="shared" si="7"/>
        <v>14.55583836972791</v>
      </c>
      <c r="CV28" s="112">
        <f>('Cash flows as at 31032017'!B13)/1000000000</f>
        <v>1.8830826439999999</v>
      </c>
      <c r="CW28" s="113">
        <v>0</v>
      </c>
      <c r="CX28" s="113">
        <f>Table2[[#This Row],[Annual contributions (closed scheme)]]-Table2[[#This Row],[Annual benefit payments (closed scheme)]]</f>
        <v>-1.8830826439999999</v>
      </c>
      <c r="CY28" s="113">
        <v>2.1799999999999997</v>
      </c>
      <c r="CZ28" s="113">
        <v>2.2999999999999998</v>
      </c>
      <c r="DA28" s="113">
        <v>0.12</v>
      </c>
      <c r="DB28" s="17"/>
      <c r="DC28" s="84"/>
      <c r="DD28" s="84"/>
      <c r="DE28" s="84"/>
      <c r="DF28" s="84"/>
      <c r="DG28" s="84"/>
      <c r="DH28" s="84"/>
      <c r="DI28" s="84"/>
      <c r="DJ28" s="84"/>
      <c r="DK28" s="84"/>
      <c r="DL28" s="84"/>
      <c r="DM28" s="84"/>
      <c r="DN28" s="84"/>
      <c r="DO28" s="84"/>
      <c r="DP28" s="84"/>
      <c r="DQ28" s="84"/>
      <c r="DR28" s="84"/>
      <c r="DS28" s="84"/>
      <c r="DT28" s="84"/>
      <c r="DU28" s="84"/>
      <c r="DV28" s="84"/>
      <c r="DW28" s="84"/>
      <c r="DX28" s="84"/>
    </row>
    <row r="29" spans="1:128" x14ac:dyDescent="0.2">
      <c r="A29" s="8">
        <v>2022</v>
      </c>
      <c r="B29" s="50"/>
      <c r="C29" s="50"/>
      <c r="D29" s="50"/>
      <c r="E29" s="35">
        <v>6.0999999999999999E-2</v>
      </c>
      <c r="F29" s="16">
        <f>F28*(1+Table2[[#This Row],[2008 discount rate]])</f>
        <v>77.207054728017894</v>
      </c>
      <c r="G29" s="18">
        <v>6.0999999999999999E-2</v>
      </c>
      <c r="H29" s="16">
        <f>H28*(1+Table2[[#This Row],[2011 discount rate]])</f>
        <v>63.445767626680563</v>
      </c>
      <c r="I29" s="18">
        <v>5.1999999999999998E-2</v>
      </c>
      <c r="J29" s="16">
        <f>J28*(1+Table2[[#This Row],[2014 discount rate]])</f>
        <v>62.551995064238199</v>
      </c>
      <c r="K29" s="9">
        <v>1.04E-2</v>
      </c>
      <c r="L29" s="18">
        <f t="shared" si="9"/>
        <v>5.5016770821348704E-2</v>
      </c>
      <c r="M29" s="17">
        <f>Table2[[#This Row],[Annual benefit payments (closed scheme)]]/((1+L28)*(1+Table2[[#This Row],[Discount rate A1]])^0.5)+M28</f>
        <v>9.1080105009549985</v>
      </c>
      <c r="N29" s="17">
        <f>N28*(1+Table2[Discount rate A1])</f>
        <v>68.494398800357956</v>
      </c>
      <c r="O29" s="17">
        <f>Table2[[#This Row],[Asset growth A1, under the assumption of full-funding at Year 0]]/(1+Table2[[#This Row],[Compounded CPI]])</f>
        <v>63.24688379838706</v>
      </c>
      <c r="P29" s="17">
        <f>(P28*((1+Table2[Discount rate A1])^0.5)-Table2[Annual benefit payments (closed scheme)])*(1+Table2[Discount rate A1])^0.5</f>
        <v>58.885294973033496</v>
      </c>
      <c r="Q29" s="17">
        <f>Table2[[#This Row],[Asset growth A1 with benefit payments deducted]]/(1+Table2[Compounded CPI])</f>
        <v>54.37395573685555</v>
      </c>
      <c r="R29" s="17">
        <f>Table2[[#This Row],[Asset growth A1 with benefit payments deducted]]/(1+Table2[Compounded discount rate A1])</f>
        <v>55.81455821521233</v>
      </c>
      <c r="S29" s="9">
        <v>6.8999999999999999E-3</v>
      </c>
      <c r="T29" s="18">
        <f t="shared" si="8"/>
        <v>4.5843509501497515E-2</v>
      </c>
      <c r="U29" s="17">
        <f>Table2[[#This Row],[Annual benefit payments (closed scheme)]]/((1+T28)*(1+Table2[[#This Row],[Discount rate A2]])^0.5)+U28</f>
        <v>9.1320161741470116</v>
      </c>
      <c r="V29" s="17">
        <f>V28*(1+Table2[Discount rate A2])</f>
        <v>70.606261232488976</v>
      </c>
      <c r="W29" s="17">
        <f>Table2[[#This Row],[Asset growth A2, under the assumption of full-funding at Year 0]]/(1+Table2[Compounded CPI])</f>
        <v>65.196951543816652</v>
      </c>
      <c r="X29" s="17">
        <f>(X28*((1+Table2[Discount rate A2])^0.5)-Table2[Annual benefit payments (closed scheme)])*(1+Table2[Discount rate A2])^0.5</f>
        <v>61.055601388094651</v>
      </c>
      <c r="Y29" s="17">
        <f>Table2[[#This Row],[Asset growth A2 with benefit payments deducted]]/(1+Table2[[#This Row],[Compounded CPI]])</f>
        <v>56.377989935919857</v>
      </c>
      <c r="Z29" s="19">
        <f>Table2[[#This Row],[Asset growth A2 with benefit payments deducted]]/(1+Table2[Compounded discount rate A2])</f>
        <v>58.379289858763741</v>
      </c>
      <c r="AA29" s="35">
        <f t="shared" si="4"/>
        <v>1.04E-2</v>
      </c>
      <c r="AB29" s="18">
        <f t="shared" si="10"/>
        <v>5.5016770821348704E-2</v>
      </c>
      <c r="AC29" s="17">
        <f>Table2[[#This Row],[Annual benefit payments (closed scheme)]]/((1+AB28)*(1+Table2[[#This Row],[Discount rate B]])^0.5)+AC28</f>
        <v>9.1080105009549985</v>
      </c>
      <c r="AD29" s="16">
        <f>AD28*(1+Table2[Discount rate B])</f>
        <v>63.301006249280931</v>
      </c>
      <c r="AE29" s="16">
        <f>Table2[[#This Row],[Asset growth B]]/(1+Table2[Compounded CPI])</f>
        <v>58.451369114700825</v>
      </c>
      <c r="AF29" s="17">
        <f>(AF28*((1+Table2[Discount rate B])^0.5)-Table2[Annual benefit payments (closed scheme)])*(1+Table2[Discount rate B])^0.5</f>
        <v>53.691902421956449</v>
      </c>
      <c r="AG29" s="17">
        <f>Table2[[#This Row],[Asset growth B with benefit payments deducted]]/(1+Table2[Compounded CPI])</f>
        <v>49.578441053169293</v>
      </c>
      <c r="AH29" s="19">
        <f>Table2[[#This Row],[Asset growth B with benefit payments deducted]]/(1+Table2[Compounded discount rate B])</f>
        <v>50.891989499045003</v>
      </c>
      <c r="AI29" s="11">
        <f>Table2[CPI]+1%</f>
        <v>2.5700000000000001E-2</v>
      </c>
      <c r="AJ29" s="18">
        <f t="shared" si="11"/>
        <v>0.13732079515849605</v>
      </c>
      <c r="AK29" s="17">
        <f>Table2[[#This Row],[Annual benefit payments (closed scheme)]]/((1+AJ28)*(1+Table2[[#This Row],[Discount rate C]])^0.5)+AK28</f>
        <v>8.7758226725399329</v>
      </c>
      <c r="AL29" s="17">
        <f>AL28*(1+Table2[Discount rate C])</f>
        <v>68.239247709509755</v>
      </c>
      <c r="AM29" s="17">
        <f>Table2[[#This Row],[Asset growth C]]/(1+Table2[Compounded CPI])</f>
        <v>63.011280425314993</v>
      </c>
      <c r="AN29" s="17">
        <f>(AN28*((1+Table2[Discount rate C])^0.5)-Table2[Annual benefit payments (closed scheme)])*(1+Table2[Discount rate C])^0.5</f>
        <v>58.258322089406683</v>
      </c>
      <c r="AO29" s="17">
        <f>Table2[[#This Row],[Asset growth C with benefit payments deducted]]/(1+Table2[Compounded CPI])</f>
        <v>53.795016702277479</v>
      </c>
      <c r="AP29" s="19">
        <f>Table2[[#This Row],[Asset growth C with benefit payments deducted]]/(1+Table2[Compounded discount rate C])</f>
        <v>51.224177327460062</v>
      </c>
      <c r="AQ29" s="11">
        <f>Table2[CPI]+0.6%</f>
        <v>2.1699999999999997E-2</v>
      </c>
      <c r="AR29" s="18">
        <f t="shared" si="12"/>
        <v>0.12625528247074924</v>
      </c>
      <c r="AS29" s="17">
        <f>Table2[[#This Row],[Annual benefit payments (closed scheme)]]/((1+AR28)*(1+Table2[[#This Row],[Discount rate D]])^0.5)+AS28</f>
        <v>8.8011977838430511</v>
      </c>
      <c r="AT29" s="16">
        <f>AT28*(1+Table2[Discount rate D])</f>
        <v>67.575316948244947</v>
      </c>
      <c r="AU29" s="17">
        <f>Table2[[#This Row],[Asset growth D]]/(1+Table2[Compounded CPI])</f>
        <v>62.39821494195651</v>
      </c>
      <c r="AV29" s="17">
        <f>(AV28*((1+Table2[Discount rate D])^0.5)-Table2[Annual benefit payments (closed scheme)])*(1+Table2[Discount rate D])^0.5</f>
        <v>57.66292145212185</v>
      </c>
      <c r="AW29" s="17">
        <f>Table2[[#This Row],[Asset growth D with benefit payments deducted]]/(1+Table2[Compounded CPI])</f>
        <v>53.245231090908</v>
      </c>
      <c r="AX29" s="19">
        <f>Table2[[#This Row],[Asset growth D with benefit payments deducted]]/(1+Table2[Compounded discount rate D])</f>
        <v>51.198802216156935</v>
      </c>
      <c r="AY29" s="11">
        <f>Table2[CPI]+1%</f>
        <v>2.5700000000000001E-2</v>
      </c>
      <c r="AZ29" s="18">
        <f t="shared" si="13"/>
        <v>0.13732079515849605</v>
      </c>
      <c r="BA29" s="17">
        <f>Table2[[#This Row],[Annual benefit payments (closed scheme)]]/((1+AZ28)*(1+Table2[[#This Row],[Discount rate E]])^0.5)+BA28</f>
        <v>8.7758226725399329</v>
      </c>
      <c r="BB29" s="17">
        <f>BB28*(1+Table2[Discount rate E])</f>
        <v>68.239247709509755</v>
      </c>
      <c r="BC29" s="16">
        <f>Table2[[#This Row],[Asset growth E]]/(1+Table2[Compounded CPI])</f>
        <v>63.011280425314993</v>
      </c>
      <c r="BD29" s="17">
        <f>(BD28*((1+Table2[Discount rate E])^0.5)-Table2[Annual benefit payments (closed scheme)])*(1+Table2[Discount rate E])^0.5</f>
        <v>58.258322089406683</v>
      </c>
      <c r="BE29" s="17">
        <f>Table2[[#This Row],[Asset growth E with benefit payments deducted]]/(1+Table2[Compounded CPI])</f>
        <v>53.795016702277479</v>
      </c>
      <c r="BF29" s="19">
        <f>Table2[[#This Row],[Asset growth E with benefit payments deducted]]/(1+Table2[Compounded discount rate E])</f>
        <v>51.224177327460062</v>
      </c>
      <c r="BG29" s="11">
        <f>Table2[[#This Row],[Long-dated forward gilt yields]]+0.75%</f>
        <v>1.7669999999999998E-2</v>
      </c>
      <c r="BH29" s="11">
        <f t="shared" si="14"/>
        <v>6.1004443806751629E-2</v>
      </c>
      <c r="BI29" s="17">
        <f>((Table2[[#This Row],[Annual benefit payments (closed scheme)]])*1.005^(Table2[[#This Row],[Year]]-2018))/((1+BH28)*(1+Table2[[#This Row],[Discount rate F]])^0.5)+BI28</f>
        <v>9.2497351560164685</v>
      </c>
      <c r="BJ29" s="17">
        <f>BJ28*(1+Table2[Discount rate F])</f>
        <v>87.366813962522528</v>
      </c>
      <c r="BK29" s="17">
        <f>Table2[[#This Row],[Asset growth F, under the assumption of full-funding at Year 0]]/(1+Table2[[#This Row],[Compounded CPI]])</f>
        <v>80.673439395077736</v>
      </c>
      <c r="BL29" s="17">
        <f>(BL28*((1+Table2[Discount rate F])^0.5)-Table2[Annual benefit payments (closed scheme)]*1.005^(Table2[Year]-2018))*(1+Table2[Discount rate F])^0.5</f>
        <v>77.552803857953521</v>
      </c>
      <c r="BM29" s="17">
        <f>Table2[[#This Row],[Asset growth F with benefit payments deducted]]/(1+Table2[Compounded CPI])</f>
        <v>71.611303402190842</v>
      </c>
      <c r="BN29" s="19">
        <f>Table2[[#This Row],[Asset growth F with benefit payments deducted]]/(1+Table2[Compounded discount rate F])</f>
        <v>73.093759701612299</v>
      </c>
      <c r="BO29" s="17"/>
      <c r="BP29" s="17"/>
      <c r="BQ29" s="17"/>
      <c r="BR29" s="17"/>
      <c r="BS29" s="17"/>
      <c r="BT29" s="17"/>
      <c r="BU29" s="17"/>
      <c r="BV29" s="17"/>
      <c r="BW29" s="17"/>
      <c r="BX29" s="17"/>
      <c r="BY29" s="17"/>
      <c r="BZ29" s="17"/>
      <c r="CA29" s="17">
        <f>(CA28*((1+Table2[Discount rate A2])^0.5)+Table2[Net cashflow (ongoing scheme)])*(1+Table2[Discount rate A2])^0.5</f>
        <v>63.29894175619544</v>
      </c>
      <c r="CB29" s="17">
        <f>Table2[[#This Row],[Asset growth, ongoing scheme, with November de-risking, net of contributions and payments]]/(1+Table2[Compounded discount rate A2])</f>
        <v>60.524295634216777</v>
      </c>
      <c r="CC29" s="17">
        <f>Table2[[#This Row],[Asset growth, ongoing scheme, with November de-risking, net of contributions and payments]]/(1+Table2[Compounded CPI])</f>
        <v>58.449462787226352</v>
      </c>
      <c r="CD29" s="17">
        <f>(CD28*((1+Table2[Discount rate A1])^0.5)+Table2[Net cashflow (ongoing scheme)])*(1+Table2[Discount rate A1])^0.5</f>
        <v>63.852333195770228</v>
      </c>
      <c r="CE29" s="17">
        <f>Table2[[#This Row],[Asset growth, ongoing scheme, with September de-risking, net of contributions and payments]]/(1+Table2[Compounded discount rate A1])</f>
        <v>60.522576476258372</v>
      </c>
      <c r="CF29" s="17">
        <f>Table2[[#This Row],[Asset growth, ongoing scheme, with September de-risking, net of contributions and payments]]/(1+Table2[Compounded CPI])</f>
        <v>58.960457623108113</v>
      </c>
      <c r="CG29" s="17">
        <f>(CG28*((1+Table2[Discount rate B])^0.5)+Table2[Net cashflow (ongoing scheme)])*(1+Table2[Discount rate B])^0.5</f>
        <v>63.852333195770228</v>
      </c>
      <c r="CH29" s="17">
        <f>Table2[[#This Row],[Asset growth, ongoing scheme, no de-risking, net of contributions and payments]]/(1+Table2[Compounded discount rate B])</f>
        <v>60.522576476258372</v>
      </c>
      <c r="CI29" s="17">
        <f>Table2[[#This Row],[Asset growth, ongoing scheme, no de-risking, net of contributions and payments]]/(1+Table2[Compounded CPI])</f>
        <v>58.960457623108113</v>
      </c>
      <c r="CJ29" s="17">
        <f>(CJ28*((1+Table2[Discount rate E])^0.5)+Table2[Net cashflow (ongoing scheme)])*(1+Table2[Discount rate E])^0.5</f>
        <v>68.809492374068085</v>
      </c>
      <c r="CK29" s="17">
        <f>Table2[[#This Row],[Asset growth, ongoing scheme, best-estimates, no de-risking, net of contributions and payments ]]/(1+Table2[Compounded discount rate E])</f>
        <v>60.501392981633522</v>
      </c>
      <c r="CL29" s="17">
        <f>Table2[[#This Row],[Asset growth, ongoing scheme, best-estimates, no de-risking, net of contributions and payments ]]/(1+Table2[Compounded CPI])</f>
        <v>63.537837321464906</v>
      </c>
      <c r="CM29" s="9">
        <v>1.5699999999999999E-2</v>
      </c>
      <c r="CN29" s="11">
        <f>(1+Table2[[#This Row],[CPI]])*(1+CN28)-1</f>
        <v>8.2968751768047078E-2</v>
      </c>
      <c r="CO29" s="11">
        <f>'Gilt yields'!B11</f>
        <v>1.017E-2</v>
      </c>
      <c r="CP29" s="11">
        <f t="shared" si="15"/>
        <v>3.5699999999999996E-2</v>
      </c>
      <c r="CQ29" s="26">
        <f>(1+Table2[[#This Row],[Salary growth]])*(1+CQ28)-1</f>
        <v>0.15965244611747664</v>
      </c>
      <c r="CR29" s="15">
        <f t="shared" si="5"/>
        <v>10.829687517680471</v>
      </c>
      <c r="CS29" s="17">
        <f t="shared" si="6"/>
        <v>14.078593772984616</v>
      </c>
      <c r="CT29" s="17">
        <f>CT28*(1+Table2[[#This Row],[Salary growth]])</f>
        <v>11.596524461174763</v>
      </c>
      <c r="CU29" s="19">
        <f t="shared" si="7"/>
        <v>15.075481799527198</v>
      </c>
      <c r="CV29" s="112">
        <f>('Cash flows as at 31032017'!B14)/1000000000</f>
        <v>1.945749712</v>
      </c>
      <c r="CW29" s="113">
        <v>0</v>
      </c>
      <c r="CX29" s="113">
        <f>Table2[[#This Row],[Annual contributions (closed scheme)]]-Table2[[#This Row],[Annual benefit payments (closed scheme)]]</f>
        <v>-1.945749712</v>
      </c>
      <c r="CY29" s="113">
        <v>2.23</v>
      </c>
      <c r="CZ29" s="113">
        <v>2.4</v>
      </c>
      <c r="DA29" s="113">
        <v>0.17</v>
      </c>
      <c r="DB29" s="17"/>
      <c r="DC29" s="84"/>
      <c r="DD29" s="84"/>
      <c r="DE29" s="84"/>
      <c r="DF29" s="84"/>
      <c r="DG29" s="84"/>
      <c r="DH29" s="84"/>
      <c r="DI29" s="84"/>
      <c r="DJ29" s="84"/>
      <c r="DK29" s="84"/>
      <c r="DL29" s="84"/>
      <c r="DM29" s="84"/>
      <c r="DN29" s="84"/>
      <c r="DO29" s="84"/>
      <c r="DP29" s="84"/>
      <c r="DQ29" s="84"/>
      <c r="DR29" s="84"/>
      <c r="DS29" s="84"/>
      <c r="DT29" s="84"/>
      <c r="DU29" s="84"/>
      <c r="DV29" s="84"/>
      <c r="DW29" s="84"/>
      <c r="DX29" s="84"/>
    </row>
    <row r="30" spans="1:128" x14ac:dyDescent="0.2">
      <c r="A30" s="8">
        <v>2023</v>
      </c>
      <c r="B30" s="50"/>
      <c r="C30" s="50"/>
      <c r="D30" s="50"/>
      <c r="E30" s="35">
        <v>6.0999999999999999E-2</v>
      </c>
      <c r="F30" s="16">
        <f>F29*(1+Table2[[#This Row],[2008 discount rate]])</f>
        <v>81.916685066426979</v>
      </c>
      <c r="G30" s="18">
        <v>6.0999999999999999E-2</v>
      </c>
      <c r="H30" s="16">
        <f>H29*(1+Table2[[#This Row],[2011 discount rate]])</f>
        <v>67.315959451908071</v>
      </c>
      <c r="I30" s="18">
        <v>5.1999999999999998E-2</v>
      </c>
      <c r="J30" s="16">
        <f>J29*(1+Table2[[#This Row],[2014 discount rate]])</f>
        <v>65.804698807578589</v>
      </c>
      <c r="K30" s="9">
        <v>1.23E-2</v>
      </c>
      <c r="L30" s="18">
        <f t="shared" si="9"/>
        <v>6.7993477102451294E-2</v>
      </c>
      <c r="M30" s="17">
        <f>Table2[[#This Row],[Annual benefit payments (closed scheme)]]/((1+L29)*(1+Table2[[#This Row],[Discount rate A1]])^0.5)+M29</f>
        <v>10.995914651153832</v>
      </c>
      <c r="N30" s="17">
        <f>N29*(1+Table2[Discount rate A1])</f>
        <v>69.336879905602359</v>
      </c>
      <c r="O30" s="17">
        <f>Table2[[#This Row],[Asset growth A1, under the assumption of full-funding at Year 0]]/(1+Table2[[#This Row],[Compounded CPI]])</f>
        <v>62.917472945270461</v>
      </c>
      <c r="P30" s="17">
        <f>(P29*((1+Table2[Discount rate A1])^0.5)-Table2[Annual benefit payments (closed scheme)])*(1+Table2[Discount rate A1])^0.5</f>
        <v>57.59331478339481</v>
      </c>
      <c r="Q30" s="17">
        <f>Table2[[#This Row],[Asset growth A1 with benefit payments deducted]]/(1+Table2[Compounded CPI])</f>
        <v>52.261160722057561</v>
      </c>
      <c r="R30" s="17">
        <f>Table2[[#This Row],[Asset growth A1 with benefit payments deducted]]/(1+Table2[Compounded discount rate A1])</f>
        <v>53.926654065013501</v>
      </c>
      <c r="S30" s="9">
        <v>7.9000000000000008E-3</v>
      </c>
      <c r="T30" s="18">
        <f t="shared" si="8"/>
        <v>5.4105673226559459E-2</v>
      </c>
      <c r="U30" s="17">
        <f>Table2[[#This Row],[Annual benefit payments (closed scheme)]]/((1+T29)*(1+Table2[[#This Row],[Discount rate A2]])^0.5)+U29</f>
        <v>11.0406318868071</v>
      </c>
      <c r="V30" s="17">
        <f>V29*(1+Table2[Discount rate A2])</f>
        <v>71.164050696225644</v>
      </c>
      <c r="W30" s="17">
        <f>Table2[[#This Row],[Asset growth A2, under the assumption of full-funding at Year 0]]/(1+Table2[Compounded CPI])</f>
        <v>64.575479030083343</v>
      </c>
      <c r="X30" s="17">
        <f>(X29*((1+Table2[Discount rate A2])^0.5)-Table2[Annual benefit payments (closed scheme)])*(1+Table2[Discount rate A2])^0.5</f>
        <v>59.526057988336241</v>
      </c>
      <c r="Y30" s="17">
        <f>Table2[[#This Row],[Asset growth A2 with benefit payments deducted]]/(1+Table2[[#This Row],[Compounded CPI]])</f>
        <v>54.014965024653996</v>
      </c>
      <c r="Z30" s="19">
        <f>Table2[[#This Row],[Asset growth A2 with benefit payments deducted]]/(1+Table2[Compounded discount rate A2])</f>
        <v>56.47067414610364</v>
      </c>
      <c r="AA30" s="35">
        <f t="shared" si="4"/>
        <v>1.2300000000000002E-2</v>
      </c>
      <c r="AB30" s="18">
        <f t="shared" si="10"/>
        <v>6.7993477102451294E-2</v>
      </c>
      <c r="AC30" s="17">
        <f>Table2[[#This Row],[Annual benefit payments (closed scheme)]]/((1+AB29)*(1+Table2[[#This Row],[Discount rate B]])^0.5)+AC29</f>
        <v>10.995914651153832</v>
      </c>
      <c r="AD30" s="16">
        <f>AD29*(1+Table2[Discount rate B])</f>
        <v>64.079608626147092</v>
      </c>
      <c r="AE30" s="16">
        <f>Table2[[#This Row],[Asset growth B]]/(1+Table2[Compounded CPI])</f>
        <v>58.14693490056176</v>
      </c>
      <c r="AF30" s="17">
        <f>(AF29*((1+Table2[Discount rate B])^0.5)-Table2[Annual benefit payments (closed scheme)])*(1+Table2[Discount rate B])^0.5</f>
        <v>52.336043503939514</v>
      </c>
      <c r="AG30" s="17">
        <f>Table2[[#This Row],[Asset growth B with benefit payments deducted]]/(1+Table2[Compounded CPI])</f>
        <v>47.490622677348838</v>
      </c>
      <c r="AH30" s="19">
        <f>Table2[[#This Row],[Asset growth B with benefit payments deducted]]/(1+Table2[Compounded discount rate B])</f>
        <v>49.004085348846175</v>
      </c>
      <c r="AI30" s="11">
        <f>Table2[CPI]+1%</f>
        <v>2.76E-2</v>
      </c>
      <c r="AJ30" s="18">
        <f t="shared" si="11"/>
        <v>0.16871084910487055</v>
      </c>
      <c r="AK30" s="17">
        <f>Table2[[#This Row],[Annual benefit payments (closed scheme)]]/((1+AJ29)*(1+Table2[[#This Row],[Discount rate C]])^0.5)+AK29</f>
        <v>10.514019268792177</v>
      </c>
      <c r="AL30" s="17">
        <f>AL29*(1+Table2[Discount rate C])</f>
        <v>70.122650946292225</v>
      </c>
      <c r="AM30" s="17">
        <f>Table2[[#This Row],[Asset growth C]]/(1+Table2[Compounded CPI])</f>
        <v>63.630495052136091</v>
      </c>
      <c r="AN30" s="17">
        <f>(AN29*((1+Table2[Discount rate C])^0.5)-Table2[Annual benefit payments (closed scheme)])*(1+Table2[Discount rate C])^0.5</f>
        <v>57.834802559157154</v>
      </c>
      <c r="AO30" s="17">
        <f>Table2[[#This Row],[Asset growth C with benefit payments deducted]]/(1+Table2[Compounded CPI])</f>
        <v>52.480290867787026</v>
      </c>
      <c r="AP30" s="19">
        <f>Table2[[#This Row],[Asset growth C with benefit payments deducted]]/(1+Table2[Compounded discount rate C])</f>
        <v>49.485980731207817</v>
      </c>
      <c r="AQ30" s="11">
        <f>Table2[CPI]+0.5%</f>
        <v>2.2600000000000002E-2</v>
      </c>
      <c r="AR30" s="18">
        <f t="shared" si="12"/>
        <v>0.15170865185458804</v>
      </c>
      <c r="AS30" s="17">
        <f>Table2[[#This Row],[Annual benefit payments (closed scheme)]]/((1+AR29)*(1+Table2[[#This Row],[Discount rate D]])^0.5)+AS29</f>
        <v>10.560758218073085</v>
      </c>
      <c r="AT30" s="16">
        <f>AT29*(1+Table2[Discount rate D])</f>
        <v>69.102519111275285</v>
      </c>
      <c r="AU30" s="17">
        <f>Table2[[#This Row],[Asset growth D]]/(1+Table2[Compounded CPI])</f>
        <v>62.704809944619427</v>
      </c>
      <c r="AV30" s="17">
        <f>(AV29*((1+Table2[Discount rate D])^0.5)-Table2[Annual benefit payments (closed scheme)])*(1+Table2[Discount rate D])^0.5</f>
        <v>56.939602501376058</v>
      </c>
      <c r="AW30" s="17">
        <f>Table2[[#This Row],[Asset growth D with benefit payments deducted]]/(1+Table2[Compounded CPI])</f>
        <v>51.667970995696905</v>
      </c>
      <c r="AX30" s="19">
        <f>Table2[[#This Row],[Asset growth D with benefit payments deducted]]/(1+Table2[Compounded discount rate D])</f>
        <v>49.439241781926903</v>
      </c>
      <c r="AY30" s="11">
        <f>Table2[CPI]+1%</f>
        <v>2.76E-2</v>
      </c>
      <c r="AZ30" s="18">
        <f t="shared" si="13"/>
        <v>0.16871084910487055</v>
      </c>
      <c r="BA30" s="17">
        <f>Table2[[#This Row],[Annual benefit payments (closed scheme)]]/((1+AZ29)*(1+Table2[[#This Row],[Discount rate E]])^0.5)+BA29</f>
        <v>10.514019268792177</v>
      </c>
      <c r="BB30" s="17">
        <f>BB29*(1+Table2[Discount rate E])</f>
        <v>70.122650946292225</v>
      </c>
      <c r="BC30" s="16">
        <f>Table2[[#This Row],[Asset growth E]]/(1+Table2[Compounded CPI])</f>
        <v>63.630495052136091</v>
      </c>
      <c r="BD30" s="17">
        <f>(BD29*((1+Table2[Discount rate E])^0.5)-Table2[Annual benefit payments (closed scheme)])*(1+Table2[Discount rate E])^0.5</f>
        <v>57.834802559157154</v>
      </c>
      <c r="BE30" s="17">
        <f>Table2[[#This Row],[Asset growth E with benefit payments deducted]]/(1+Table2[Compounded CPI])</f>
        <v>52.480290867787026</v>
      </c>
      <c r="BF30" s="19">
        <f>Table2[[#This Row],[Asset growth E with benefit payments deducted]]/(1+Table2[Compounded discount rate E])</f>
        <v>49.485980731207817</v>
      </c>
      <c r="BG30" s="11">
        <f>Table2[[#This Row],[Long-dated forward gilt yields]]+0.75%</f>
        <v>2.102E-2</v>
      </c>
      <c r="BH30" s="11">
        <f t="shared" si="14"/>
        <v>8.3306757215569682E-2</v>
      </c>
      <c r="BI30" s="17">
        <f>((Table2[[#This Row],[Annual benefit payments (closed scheme)]])*1.005^(Table2[[#This Row],[Year]]-2018))/((1+BH29)*(1+Table2[[#This Row],[Discount rate F]])^0.5)+BI29</f>
        <v>11.166151668611935</v>
      </c>
      <c r="BJ30" s="17">
        <f>BJ29*(1+Table2[Discount rate F])</f>
        <v>89.203264392014759</v>
      </c>
      <c r="BK30" s="17">
        <f>Table2[[#This Row],[Asset growth F, under the assumption of full-funding at Year 0]]/(1+Table2[[#This Row],[Compounded CPI]])</f>
        <v>80.944570647761665</v>
      </c>
      <c r="BL30" s="17">
        <f>(BL29*((1+Table2[Discount rate F])^0.5)-Table2[Annual benefit payments (closed scheme)]*1.005^(Table2[Year]-2018))*(1+Table2[Discount rate F])^0.5</f>
        <v>77.106896837313542</v>
      </c>
      <c r="BM30" s="17">
        <f>Table2[[#This Row],[Asset growth F with benefit payments deducted]]/(1+Table2[Compounded CPI])</f>
        <v>69.968119451874102</v>
      </c>
      <c r="BN30" s="19">
        <f>Table2[[#This Row],[Asset growth F with benefit payments deducted]]/(1+Table2[Compounded discount rate F])</f>
        <v>71.177343189016838</v>
      </c>
      <c r="BO30" s="17"/>
      <c r="BP30" s="17"/>
      <c r="BQ30" s="17"/>
      <c r="BR30" s="17"/>
      <c r="BS30" s="17"/>
      <c r="BT30" s="17"/>
      <c r="BU30" s="17"/>
      <c r="BV30" s="17"/>
      <c r="BW30" s="17"/>
      <c r="BX30" s="17"/>
      <c r="BY30" s="17"/>
      <c r="BZ30" s="17"/>
      <c r="CA30" s="17">
        <f>(CA29*((1+Table2[Discount rate A2])^0.5)+Table2[Net cashflow (ongoing scheme)])*(1+Table2[Discount rate A2])^0.5</f>
        <v>63.999791841952096</v>
      </c>
      <c r="CB30" s="17">
        <f>Table2[[#This Row],[Asset growth, ongoing scheme, with November de-risking, net of contributions and payments]]/(1+Table2[Compounded discount rate A2])</f>
        <v>60.714777908416195</v>
      </c>
      <c r="CC30" s="17">
        <f>Table2[[#This Row],[Asset growth, ongoing scheme, with November de-risking, net of contributions and payments]]/(1+Table2[Compounded CPI])</f>
        <v>58.074507782886371</v>
      </c>
      <c r="CD30" s="17">
        <f>(CD29*((1+Table2[Discount rate A1])^0.5)+Table2[Net cashflow (ongoing scheme)])*(1+Table2[Discount rate A1])^0.5</f>
        <v>64.838943134911744</v>
      </c>
      <c r="CE30" s="17">
        <f>Table2[[#This Row],[Asset growth, ongoing scheme, with September de-risking, net of contributions and payments]]/(1+Table2[Compounded discount rate A1])</f>
        <v>60.710991710197334</v>
      </c>
      <c r="CF30" s="17">
        <f>Table2[[#This Row],[Asset growth, ongoing scheme, with September de-risking, net of contributions and payments]]/(1+Table2[Compounded CPI])</f>
        <v>58.835968045356466</v>
      </c>
      <c r="CG30" s="17">
        <f>(CG29*((1+Table2[Discount rate B])^0.5)+Table2[Net cashflow (ongoing scheme)])*(1+Table2[Discount rate B])^0.5</f>
        <v>64.838943134911744</v>
      </c>
      <c r="CH30" s="17">
        <f>Table2[[#This Row],[Asset growth, ongoing scheme, no de-risking, net of contributions and payments]]/(1+Table2[Compounded discount rate B])</f>
        <v>60.710991710197334</v>
      </c>
      <c r="CI30" s="17">
        <f>Table2[[#This Row],[Asset growth, ongoing scheme, no de-risking, net of contributions and payments]]/(1+Table2[Compounded CPI])</f>
        <v>58.835968045356466</v>
      </c>
      <c r="CJ30" s="17">
        <f>(CJ29*((1+Table2[Discount rate E])^0.5)+Table2[Net cashflow (ongoing scheme)])*(1+Table2[Discount rate E])^0.5</f>
        <v>70.911375577951958</v>
      </c>
      <c r="CK30" s="17">
        <f>Table2[[#This Row],[Asset growth, ongoing scheme, best-estimates, no de-risking, net of contributions and payments ]]/(1+Table2[Compounded discount rate E])</f>
        <v>60.674867211392638</v>
      </c>
      <c r="CL30" s="17">
        <f>Table2[[#This Row],[Asset growth, ongoing scheme, best-estimates, no de-risking, net of contributions and payments ]]/(1+Table2[Compounded CPI])</f>
        <v>64.346197298058897</v>
      </c>
      <c r="CM30" s="9">
        <v>1.7600000000000001E-2</v>
      </c>
      <c r="CN30" s="11">
        <f>(1+Table2[[#This Row],[CPI]])*(1+CN29)-1</f>
        <v>0.10202900179916474</v>
      </c>
      <c r="CO30" s="11">
        <f>'Gilt yields'!B12</f>
        <v>1.3520000000000001E-2</v>
      </c>
      <c r="CP30" s="11">
        <f t="shared" si="15"/>
        <v>3.7600000000000001E-2</v>
      </c>
      <c r="CQ30" s="26">
        <f>(1+Table2[[#This Row],[Salary growth]])*(1+CQ29)-1</f>
        <v>0.20325537809149385</v>
      </c>
      <c r="CR30" s="15">
        <f t="shared" si="5"/>
        <v>11.020290017991648</v>
      </c>
      <c r="CS30" s="17">
        <f t="shared" si="6"/>
        <v>14.326377023389147</v>
      </c>
      <c r="CT30" s="17">
        <f>CT29*(1+Table2[[#This Row],[Salary growth]])</f>
        <v>12.032553780914935</v>
      </c>
      <c r="CU30" s="19">
        <f t="shared" si="7"/>
        <v>15.642319915189422</v>
      </c>
      <c r="CV30" s="112">
        <f>('Cash flows as at 31032017'!B15)/1000000000</f>
        <v>2.003982492</v>
      </c>
      <c r="CW30" s="113">
        <v>0</v>
      </c>
      <c r="CX30" s="113">
        <f>Table2[[#This Row],[Annual contributions (closed scheme)]]-Table2[[#This Row],[Annual benefit payments (closed scheme)]]</f>
        <v>-2.003982492</v>
      </c>
      <c r="CY30" s="113">
        <v>2.2999999999999998</v>
      </c>
      <c r="CZ30" s="113">
        <v>2.5</v>
      </c>
      <c r="DA30" s="113">
        <v>0.2</v>
      </c>
      <c r="DB30" s="17"/>
      <c r="DC30" s="84"/>
      <c r="DD30" s="84"/>
      <c r="DE30" s="84"/>
      <c r="DF30" s="84"/>
      <c r="DG30" s="84"/>
      <c r="DH30" s="84"/>
      <c r="DI30" s="84"/>
      <c r="DJ30" s="84"/>
      <c r="DK30" s="84"/>
      <c r="DL30" s="84"/>
      <c r="DM30" s="84"/>
      <c r="DN30" s="84"/>
      <c r="DO30" s="84"/>
      <c r="DP30" s="84"/>
      <c r="DQ30" s="84"/>
      <c r="DR30" s="84"/>
      <c r="DS30" s="84"/>
      <c r="DT30" s="84"/>
      <c r="DU30" s="84"/>
      <c r="DV30" s="84"/>
      <c r="DW30" s="84"/>
      <c r="DX30" s="84"/>
    </row>
    <row r="31" spans="1:128" x14ac:dyDescent="0.2">
      <c r="A31" s="8">
        <v>2024</v>
      </c>
      <c r="B31" s="50"/>
      <c r="C31" s="50"/>
      <c r="D31" s="50"/>
      <c r="E31" s="35">
        <v>6.0999999999999999E-2</v>
      </c>
      <c r="F31" s="16">
        <f>F30*(1+Table2[[#This Row],[2008 discount rate]])</f>
        <v>86.913602855479013</v>
      </c>
      <c r="G31" s="18">
        <v>6.0999999999999999E-2</v>
      </c>
      <c r="H31" s="16">
        <f>H30*(1+Table2[[#This Row],[2011 discount rate]])</f>
        <v>71.422232978474455</v>
      </c>
      <c r="I31" s="18">
        <v>5.1999999999999998E-2</v>
      </c>
      <c r="J31" s="16">
        <f>J30*(1+Table2[[#This Row],[2014 discount rate]])</f>
        <v>69.226543145572677</v>
      </c>
      <c r="K31" s="9">
        <v>1.41E-2</v>
      </c>
      <c r="L31" s="18">
        <f t="shared" si="9"/>
        <v>8.3052185129595779E-2</v>
      </c>
      <c r="M31" s="17">
        <f>Table2[[#This Row],[Annual benefit payments (closed scheme)]]/((1+L30)*(1+Table2[[#This Row],[Discount rate A1]])^0.5)+M30</f>
        <v>12.922219193247008</v>
      </c>
      <c r="N31" s="17">
        <f>N30*(1+Table2[Discount rate A1])</f>
        <v>70.314529912271354</v>
      </c>
      <c r="O31" s="17">
        <f>Table2[[#This Row],[Asset growth A1, under the assumption of full-funding at Year 0]]/(1+Table2[[#This Row],[Compounded CPI]])</f>
        <v>62.590356399645643</v>
      </c>
      <c r="P31" s="17">
        <f>(P30*((1+Table2[Discount rate A1])^0.5)-Table2[Annual benefit payments (closed scheme)])*(1+Table2[Discount rate A1])^0.5</f>
        <v>56.319092178301588</v>
      </c>
      <c r="Q31" s="17">
        <f>Table2[[#This Row],[Asset growth A1 with benefit payments deducted]]/(1+Table2[Compounded CPI])</f>
        <v>50.13234186365797</v>
      </c>
      <c r="R31" s="17">
        <f>Table2[[#This Row],[Asset growth A1 with benefit payments deducted]]/(1+Table2[Compounded discount rate A1])</f>
        <v>52.000349522920324</v>
      </c>
      <c r="S31" s="9">
        <v>8.8999999999999999E-3</v>
      </c>
      <c r="T31" s="18">
        <f t="shared" si="8"/>
        <v>6.3487213718275815E-2</v>
      </c>
      <c r="U31" s="17">
        <f>Table2[[#This Row],[Annual benefit payments (closed scheme)]]/((1+T30)*(1+Table2[[#This Row],[Discount rate A2]])^0.5)+U30</f>
        <v>12.99733857058331</v>
      </c>
      <c r="V31" s="17">
        <f>V30*(1+Table2[Discount rate A2])</f>
        <v>71.797410747422049</v>
      </c>
      <c r="W31" s="17">
        <f>Table2[[#This Row],[Asset growth A2, under the assumption of full-funding at Year 0]]/(1+Table2[Compounded CPI])</f>
        <v>63.910340193693422</v>
      </c>
      <c r="X31" s="17">
        <f>(X30*((1+Table2[Discount rate A2])^0.5)-Table2[Annual benefit payments (closed scheme)])*(1+Table2[Discount rate A2])^0.5</f>
        <v>57.974907365239353</v>
      </c>
      <c r="Y31" s="17">
        <f>Table2[[#This Row],[Asset growth A2 with benefit payments deducted]]/(1+Table2[[#This Row],[Compounded CPI]])</f>
        <v>51.606262869909244</v>
      </c>
      <c r="Z31" s="19">
        <f>Table2[[#This Row],[Asset growth A2 with benefit payments deducted]]/(1+Table2[Compounded discount rate A2])</f>
        <v>54.513967462327436</v>
      </c>
      <c r="AA31" s="35">
        <f t="shared" si="4"/>
        <v>1.4100000000000001E-2</v>
      </c>
      <c r="AB31" s="18">
        <f t="shared" si="10"/>
        <v>8.3052185129595779E-2</v>
      </c>
      <c r="AC31" s="17">
        <f>Table2[[#This Row],[Annual benefit payments (closed scheme)]]/((1+AB30)*(1+Table2[[#This Row],[Discount rate B]])^0.5)+AC30</f>
        <v>12.922219193247008</v>
      </c>
      <c r="AD31" s="16">
        <f>AD30*(1+Table2[Discount rate B])</f>
        <v>64.983131107775762</v>
      </c>
      <c r="AE31" s="16">
        <f>Table2[[#This Row],[Asset growth B]]/(1+Table2[Compounded CPI])</f>
        <v>57.844621034588648</v>
      </c>
      <c r="AF31" s="17">
        <f>(AF30*((1+Table2[Discount rate B])^0.5)-Table2[Annual benefit payments (closed scheme)])*(1+Table2[Discount rate B])^0.5</f>
        <v>50.987693373805975</v>
      </c>
      <c r="AG31" s="17">
        <f>Table2[[#This Row],[Asset growth B with benefit payments deducted]]/(1+Table2[Compounded CPI])</f>
        <v>45.386606498600962</v>
      </c>
      <c r="AH31" s="19">
        <f>Table2[[#This Row],[Asset growth B with benefit payments deducted]]/(1+Table2[Compounded discount rate B])</f>
        <v>47.077780806752997</v>
      </c>
      <c r="AI31" s="11">
        <f>Table2[CPI]+1%</f>
        <v>2.9400000000000003E-2</v>
      </c>
      <c r="AJ31" s="18">
        <f t="shared" si="11"/>
        <v>0.20307094806855375</v>
      </c>
      <c r="AK31" s="17">
        <f>Table2[[#This Row],[Annual benefit payments (closed scheme)]]/((1+AJ30)*(1+Table2[[#This Row],[Discount rate C]])^0.5)+AK30</f>
        <v>12.26118773477376</v>
      </c>
      <c r="AL31" s="17">
        <f>AL30*(1+Table2[Discount rate C])</f>
        <v>72.184256884113225</v>
      </c>
      <c r="AM31" s="17">
        <f>Table2[[#This Row],[Asset growth C]]/(1+Table2[Compounded CPI])</f>
        <v>64.254690608857061</v>
      </c>
      <c r="AN31" s="17">
        <f>(AN30*((1+Table2[Discount rate C])^0.5)-Table2[Annual benefit payments (closed scheme)])*(1+Table2[Discount rate C])^0.5</f>
        <v>57.433178131592435</v>
      </c>
      <c r="AO31" s="17">
        <f>Table2[[#This Row],[Asset growth C with benefit payments deducted]]/(1+Table2[Compounded CPI])</f>
        <v>51.124043535607051</v>
      </c>
      <c r="AP31" s="19">
        <f>Table2[[#This Row],[Asset growth C with benefit payments deducted]]/(1+Table2[Compounded discount rate C])</f>
        <v>47.738812265226237</v>
      </c>
      <c r="AQ31" s="11">
        <f>Table2[CPI]+0.4%</f>
        <v>2.3400000000000001E-2</v>
      </c>
      <c r="AR31" s="18">
        <f t="shared" si="12"/>
        <v>0.17865863430798545</v>
      </c>
      <c r="AS31" s="17">
        <f>Table2[[#This Row],[Annual benefit payments (closed scheme)]]/((1+AR30)*(1+Table2[[#This Row],[Discount rate D]])^0.5)+AS30</f>
        <v>12.338909079732177</v>
      </c>
      <c r="AT31" s="16">
        <f>AT30*(1+Table2[Discount rate D])</f>
        <v>70.719518058479139</v>
      </c>
      <c r="AU31" s="17">
        <f>Table2[[#This Row],[Asset growth D]]/(1+Table2[Compounded CPI])</f>
        <v>62.950855892999336</v>
      </c>
      <c r="AV31" s="17">
        <f>(AV30*((1+Table2[Discount rate D])^0.5)-Table2[Annual benefit payments (closed scheme)])*(1+Table2[Discount rate D])^0.5</f>
        <v>56.176156333711603</v>
      </c>
      <c r="AW31" s="17">
        <f>Table2[[#This Row],[Asset growth D with benefit payments deducted]]/(1+Table2[Compounded CPI])</f>
        <v>50.005107770415314</v>
      </c>
      <c r="AX31" s="19">
        <f>Table2[[#This Row],[Asset growth D with benefit payments deducted]]/(1+Table2[Compounded discount rate D])</f>
        <v>47.661090920267824</v>
      </c>
      <c r="AY31" s="11">
        <f>Table2[CPI]+1%</f>
        <v>2.9400000000000003E-2</v>
      </c>
      <c r="AZ31" s="18">
        <f t="shared" si="13"/>
        <v>0.20307094806855375</v>
      </c>
      <c r="BA31" s="17">
        <f>Table2[[#This Row],[Annual benefit payments (closed scheme)]]/((1+AZ30)*(1+Table2[[#This Row],[Discount rate E]])^0.5)+BA30</f>
        <v>12.26118773477376</v>
      </c>
      <c r="BB31" s="17">
        <f>BB30*(1+Table2[Discount rate E])</f>
        <v>72.184256884113225</v>
      </c>
      <c r="BC31" s="16">
        <f>Table2[[#This Row],[Asset growth E]]/(1+Table2[Compounded CPI])</f>
        <v>64.254690608857061</v>
      </c>
      <c r="BD31" s="17">
        <f>(BD30*((1+Table2[Discount rate E])^0.5)-Table2[Annual benefit payments (closed scheme)])*(1+Table2[Discount rate E])^0.5</f>
        <v>57.433178131592435</v>
      </c>
      <c r="BE31" s="17">
        <f>Table2[[#This Row],[Asset growth E with benefit payments deducted]]/(1+Table2[Compounded CPI])</f>
        <v>51.124043535607051</v>
      </c>
      <c r="BF31" s="19">
        <f>Table2[[#This Row],[Asset growth E with benefit payments deducted]]/(1+Table2[Compounded discount rate E])</f>
        <v>47.738812265226237</v>
      </c>
      <c r="BG31" s="11">
        <f>Table2[[#This Row],[Long-dated forward gilt yields]]+0.75%</f>
        <v>2.401E-2</v>
      </c>
      <c r="BH31" s="11">
        <f t="shared" si="14"/>
        <v>0.10931695245631556</v>
      </c>
      <c r="BI31" s="17">
        <f>((Table2[[#This Row],[Annual benefit payments (closed scheme)]])*1.005^(Table2[[#This Row],[Year]]-2018))/((1+BH30)*(1+Table2[[#This Row],[Discount rate F]])^0.5)+BI30</f>
        <v>13.113424299204716</v>
      </c>
      <c r="BJ31" s="17">
        <f>BJ30*(1+Table2[Discount rate F])</f>
        <v>91.345034770067045</v>
      </c>
      <c r="BK31" s="17">
        <f>Table2[[#This Row],[Asset growth F, under the assumption of full-funding at Year 0]]/(1+Table2[[#This Row],[Compounded CPI]])</f>
        <v>81.310623689439296</v>
      </c>
      <c r="BL31" s="17">
        <f>(BL30*((1+Table2[Discount rate F])^0.5)-Table2[Annual benefit payments (closed scheme)]*1.005^(Table2[Year]-2018))*(1+Table2[Discount rate F])^0.5</f>
        <v>76.798090890206666</v>
      </c>
      <c r="BM31" s="17">
        <f>Table2[[#This Row],[Asset growth F with benefit payments deducted]]/(1+Table2[Compounded CPI])</f>
        <v>68.361686917735113</v>
      </c>
      <c r="BN31" s="19">
        <f>Table2[[#This Row],[Asset growth F with benefit payments deducted]]/(1+Table2[Compounded discount rate F])</f>
        <v>69.230070558424046</v>
      </c>
      <c r="BO31" s="17"/>
      <c r="BP31" s="17"/>
      <c r="BQ31" s="17"/>
      <c r="BR31" s="17"/>
      <c r="BS31" s="17"/>
      <c r="BT31" s="17"/>
      <c r="BU31" s="17"/>
      <c r="BV31" s="17"/>
      <c r="BW31" s="17"/>
      <c r="BX31" s="17"/>
      <c r="BY31" s="17"/>
      <c r="BZ31" s="17"/>
      <c r="CA31" s="17">
        <f>(CA30*((1+Table2[Discount rate A2])^0.5)+Table2[Net cashflow (ongoing scheme)])*(1+Table2[Discount rate A2])^0.5</f>
        <v>64.699967207879183</v>
      </c>
      <c r="CB31" s="17">
        <f>Table2[[#This Row],[Asset growth, ongoing scheme, with November de-risking, net of contributions and payments]]/(1+Table2[Compounded discount rate A2])</f>
        <v>60.837560032027426</v>
      </c>
      <c r="CC31" s="17">
        <f>Table2[[#This Row],[Asset growth, ongoing scheme, with November de-risking, net of contributions and payments]]/(1+Table2[Compounded CPI])</f>
        <v>57.592563182020299</v>
      </c>
      <c r="CD31" s="17">
        <f>(CD30*((1+Table2[Discount rate A1])^0.5)+Table2[Net cashflow (ongoing scheme)])*(1+Table2[Discount rate A1])^0.5</f>
        <v>65.884085525028908</v>
      </c>
      <c r="CE31" s="17">
        <f>Table2[[#This Row],[Asset growth, ongoing scheme, with September de-risking, net of contributions and payments]]/(1+Table2[Compounded discount rate A1])</f>
        <v>60.831866118385932</v>
      </c>
      <c r="CF31" s="17">
        <f>Table2[[#This Row],[Asset growth, ongoing scheme, with September de-risking, net of contributions and payments]]/(1+Table2[Compounded CPI])</f>
        <v>58.646604040747782</v>
      </c>
      <c r="CG31" s="17">
        <f>(CG30*((1+Table2[Discount rate B])^0.5)+Table2[Net cashflow (ongoing scheme)])*(1+Table2[Discount rate B])^0.5</f>
        <v>65.884085525028908</v>
      </c>
      <c r="CH31" s="17">
        <f>Table2[[#This Row],[Asset growth, ongoing scheme, no de-risking, net of contributions and payments]]/(1+Table2[Compounded discount rate B])</f>
        <v>60.831866118385932</v>
      </c>
      <c r="CI31" s="17">
        <f>Table2[[#This Row],[Asset growth, ongoing scheme, no de-risking, net of contributions and payments]]/(1+Table2[Compounded CPI])</f>
        <v>58.646604040747782</v>
      </c>
      <c r="CJ31" s="17">
        <f>(CJ30*((1+Table2[Discount rate E])^0.5)+Table2[Net cashflow (ongoing scheme)])*(1+Table2[Discount rate E])^0.5</f>
        <v>73.12806717685018</v>
      </c>
      <c r="CK31" s="17">
        <f>Table2[[#This Row],[Asset growth, ongoing scheme, best-estimates, no de-risking, net of contributions and payments ]]/(1+Table2[Compounded discount rate E])</f>
        <v>60.784500942568826</v>
      </c>
      <c r="CL31" s="17">
        <f>Table2[[#This Row],[Asset growth, ongoing scheme, best-estimates, no de-risking, net of contributions and payments ]]/(1+Table2[Compounded CPI])</f>
        <v>65.094821697975675</v>
      </c>
      <c r="CM31" s="9">
        <v>1.9400000000000001E-2</v>
      </c>
      <c r="CN31" s="11">
        <f>(1+Table2[[#This Row],[CPI]])*(1+CN30)-1</f>
        <v>0.12340836443406866</v>
      </c>
      <c r="CO31" s="11">
        <f>'Gilt yields'!B13</f>
        <v>1.651E-2</v>
      </c>
      <c r="CP31" s="11">
        <f t="shared" si="15"/>
        <v>3.9400000000000004E-2</v>
      </c>
      <c r="CQ31" s="26">
        <f>(1+Table2[[#This Row],[Salary growth]])*(1+CQ30)-1</f>
        <v>0.25066363998829888</v>
      </c>
      <c r="CR31" s="15">
        <f t="shared" si="5"/>
        <v>11.234083644340688</v>
      </c>
      <c r="CS31" s="17">
        <f t="shared" si="6"/>
        <v>14.604308737642897</v>
      </c>
      <c r="CT31" s="17">
        <f>CT30*(1+Table2[[#This Row],[Salary growth]])</f>
        <v>12.506636399882984</v>
      </c>
      <c r="CU31" s="19">
        <f t="shared" si="7"/>
        <v>16.258627319847886</v>
      </c>
      <c r="CV31" s="112">
        <f>('Cash flows as at 31032017'!B16)/1000000000</f>
        <v>2.071733746</v>
      </c>
      <c r="CW31" s="113">
        <v>0</v>
      </c>
      <c r="CX31" s="113">
        <f>Table2[[#This Row],[Annual contributions (closed scheme)]]-Table2[[#This Row],[Annual benefit payments (closed scheme)]]</f>
        <v>-2.071733746</v>
      </c>
      <c r="CY31" s="113">
        <v>2.4700000000000002</v>
      </c>
      <c r="CZ31" s="113">
        <v>2.6</v>
      </c>
      <c r="DA31" s="113">
        <v>0.13</v>
      </c>
      <c r="DB31" s="17"/>
      <c r="DC31" s="84"/>
      <c r="DD31" s="84"/>
      <c r="DE31" s="84"/>
      <c r="DF31" s="84"/>
      <c r="DG31" s="84"/>
      <c r="DH31" s="84"/>
      <c r="DI31" s="84"/>
      <c r="DJ31" s="84"/>
      <c r="DK31" s="84"/>
      <c r="DL31" s="84"/>
      <c r="DM31" s="84"/>
      <c r="DN31" s="84"/>
      <c r="DO31" s="84"/>
      <c r="DP31" s="84"/>
      <c r="DQ31" s="84"/>
      <c r="DR31" s="84"/>
      <c r="DS31" s="84"/>
      <c r="DT31" s="84"/>
      <c r="DU31" s="84"/>
      <c r="DV31" s="84"/>
      <c r="DW31" s="84"/>
      <c r="DX31" s="84"/>
    </row>
    <row r="32" spans="1:128" x14ac:dyDescent="0.2">
      <c r="A32" s="8">
        <v>2025</v>
      </c>
      <c r="B32" s="50"/>
      <c r="C32" s="50"/>
      <c r="D32" s="50"/>
      <c r="E32" s="35">
        <v>6.0999999999999999E-2</v>
      </c>
      <c r="F32" s="16">
        <f>F31*(1+Table2[[#This Row],[2008 discount rate]])</f>
        <v>92.215332629663223</v>
      </c>
      <c r="G32" s="18">
        <v>6.0999999999999999E-2</v>
      </c>
      <c r="H32" s="16">
        <f>H31*(1+Table2[[#This Row],[2011 discount rate]])</f>
        <v>75.778989190161397</v>
      </c>
      <c r="I32" s="18">
        <v>5.1999999999999998E-2</v>
      </c>
      <c r="J32" s="16">
        <f>J31*(1+Table2[[#This Row],[2014 discount rate]])</f>
        <v>72.826323389142459</v>
      </c>
      <c r="K32" s="9">
        <v>1.6E-2</v>
      </c>
      <c r="L32" s="18">
        <f t="shared" si="9"/>
        <v>0.10038102009166927</v>
      </c>
      <c r="M32" s="17">
        <f>Table2[[#This Row],[Annual benefit payments (closed scheme)]]/((1+L31)*(1+Table2[[#This Row],[Discount rate A1]])^0.5)+M31</f>
        <v>14.888009428487123</v>
      </c>
      <c r="N32" s="17">
        <f>N31*(1+Table2[Discount rate A1])</f>
        <v>71.439562390867692</v>
      </c>
      <c r="O32" s="17">
        <f>Table2[[#This Row],[Asset growth A1, under the assumption of full-funding at Year 0]]/(1+Table2[[#This Row],[Compounded CPI]])</f>
        <v>62.26554597281892</v>
      </c>
      <c r="P32" s="17">
        <f>(P31*((1+Table2[Discount rate A1])^0.5)-Table2[Annual benefit payments (closed scheme)])*(1+Table2[Discount rate A1])^0.5</f>
        <v>55.057079388814664</v>
      </c>
      <c r="Q32" s="17">
        <f>Table2[[#This Row],[Asset growth A1 with benefit payments deducted]]/(1+Table2[Compounded CPI])</f>
        <v>47.986843607144088</v>
      </c>
      <c r="R32" s="17">
        <f>Table2[[#This Row],[Asset growth A1 with benefit payments deducted]]/(1+Table2[Compounded discount rate A1])</f>
        <v>50.034559287680217</v>
      </c>
      <c r="S32" s="9">
        <v>9.7999999999999997E-3</v>
      </c>
      <c r="T32" s="18">
        <f t="shared" si="8"/>
        <v>7.3909388412714883E-2</v>
      </c>
      <c r="U32" s="17">
        <f>Table2[[#This Row],[Annual benefit payments (closed scheme)]]/((1+T31)*(1+Table2[[#This Row],[Discount rate A2]])^0.5)+U31</f>
        <v>15.005429869719043</v>
      </c>
      <c r="V32" s="17">
        <f>V31*(1+Table2[Discount rate A2])</f>
        <v>72.501025372746781</v>
      </c>
      <c r="W32" s="17">
        <f>Table2[[#This Row],[Asset growth A2, under the assumption of full-funding at Year 0]]/(1+Table2[Compounded CPI])</f>
        <v>63.190699625567035</v>
      </c>
      <c r="X32" s="17">
        <f>(X31*((1+Table2[Discount rate A2])^0.5)-Table2[Annual benefit payments (closed scheme)])*(1+Table2[Discount rate A2])^0.5</f>
        <v>56.386553358486942</v>
      </c>
      <c r="Y32" s="17">
        <f>Table2[[#This Row],[Asset growth A2 with benefit payments deducted]]/(1+Table2[[#This Row],[Compounded CPI]])</f>
        <v>49.145591222721272</v>
      </c>
      <c r="Z32" s="19">
        <f>Table2[[#This Row],[Asset growth A2 with benefit payments deducted]]/(1+Table2[Compounded discount rate A2])</f>
        <v>52.505876163191701</v>
      </c>
      <c r="AA32" s="35">
        <f t="shared" si="4"/>
        <v>1.6E-2</v>
      </c>
      <c r="AB32" s="18">
        <f t="shared" si="10"/>
        <v>0.10038102009166927</v>
      </c>
      <c r="AC32" s="17">
        <f>Table2[[#This Row],[Annual benefit payments (closed scheme)]]/((1+AB31)*(1+Table2[[#This Row],[Discount rate B]])^0.5)+AC31</f>
        <v>14.888009428487123</v>
      </c>
      <c r="AD32" s="16">
        <f>AD31*(1+Table2[Discount rate B])</f>
        <v>66.022861205500178</v>
      </c>
      <c r="AE32" s="16">
        <f>Table2[[#This Row],[Asset growth B]]/(1+Table2[Compounded CPI])</f>
        <v>57.544438432529198</v>
      </c>
      <c r="AF32" s="17">
        <f>(AF31*((1+Table2[Discount rate B])^0.5)-Table2[Annual benefit payments (closed scheme)])*(1+Table2[Discount rate B])^0.5</f>
        <v>49.640378203447113</v>
      </c>
      <c r="AG32" s="17">
        <f>Table2[[#This Row],[Asset growth B with benefit payments deducted]]/(1+Table2[Compounded CPI])</f>
        <v>43.26573606685433</v>
      </c>
      <c r="AH32" s="19">
        <f>Table2[[#This Row],[Asset growth B with benefit payments deducted]]/(1+Table2[Compounded discount rate B])</f>
        <v>45.111990571512884</v>
      </c>
      <c r="AI32" s="11">
        <f>Table2[CPI]+1%</f>
        <v>3.1300000000000001E-2</v>
      </c>
      <c r="AJ32" s="18">
        <f t="shared" si="11"/>
        <v>0.24072706874309957</v>
      </c>
      <c r="AK32" s="17">
        <f>Table2[[#This Row],[Annual benefit payments (closed scheme)]]/((1+AJ31)*(1+Table2[[#This Row],[Discount rate C]])^0.5)+AK31</f>
        <v>14.017693833124802</v>
      </c>
      <c r="AL32" s="17">
        <f>AL31*(1+Table2[Discount rate C])</f>
        <v>74.44362412458598</v>
      </c>
      <c r="AM32" s="17">
        <f>Table2[[#This Row],[Asset growth C]]/(1+Table2[Compounded CPI])</f>
        <v>64.883836703137462</v>
      </c>
      <c r="AN32" s="17">
        <f>(AN31*((1+Table2[Discount rate C])^0.5)-Table2[Annual benefit payments (closed scheme)])*(1+Table2[Discount rate C])^0.5</f>
        <v>57.051491944474826</v>
      </c>
      <c r="AO32" s="17">
        <f>Table2[[#This Row],[Asset growth C with benefit payments deducted]]/(1+Table2[Compounded CPI])</f>
        <v>49.725140742753361</v>
      </c>
      <c r="AP32" s="19">
        <f>Table2[[#This Row],[Asset growth C with benefit payments deducted]]/(1+Table2[Compounded discount rate C])</f>
        <v>45.982306166875205</v>
      </c>
      <c r="AQ32" s="11">
        <f>Table2[CPI]+0.3%</f>
        <v>2.4299999999999999E-2</v>
      </c>
      <c r="AR32" s="18">
        <f t="shared" si="12"/>
        <v>0.2073000391216695</v>
      </c>
      <c r="AS32" s="17">
        <f>Table2[[#This Row],[Annual benefit payments (closed scheme)]]/((1+AR31)*(1+Table2[[#This Row],[Discount rate D]])^0.5)+AS31</f>
        <v>14.137911642354755</v>
      </c>
      <c r="AT32" s="16">
        <f>AT31*(1+Table2[Discount rate D])</f>
        <v>72.438002347300184</v>
      </c>
      <c r="AU32" s="17">
        <f>Table2[[#This Row],[Asset growth D]]/(1+Table2[Compounded CPI])</f>
        <v>63.135769794574777</v>
      </c>
      <c r="AV32" s="17">
        <f>(AV31*((1+Table2[Discount rate D])^0.5)-Table2[Annual benefit payments (closed scheme)])*(1+Table2[Discount rate D])^0.5</f>
        <v>55.369301068386577</v>
      </c>
      <c r="AW32" s="17">
        <f>Table2[[#This Row],[Asset growth D with benefit payments deducted]]/(1+Table2[Compounded CPI])</f>
        <v>48.258970880778968</v>
      </c>
      <c r="AX32" s="19">
        <f>Table2[[#This Row],[Asset growth D with benefit payments deducted]]/(1+Table2[Compounded discount rate D])</f>
        <v>45.862088357645256</v>
      </c>
      <c r="AY32" s="11">
        <f>Table2[CPI]+1%</f>
        <v>3.1300000000000001E-2</v>
      </c>
      <c r="AZ32" s="18">
        <f t="shared" si="13"/>
        <v>0.24072706874309957</v>
      </c>
      <c r="BA32" s="17">
        <f>Table2[[#This Row],[Annual benefit payments (closed scheme)]]/((1+AZ31)*(1+Table2[[#This Row],[Discount rate E]])^0.5)+BA31</f>
        <v>14.017693833124802</v>
      </c>
      <c r="BB32" s="17">
        <f>BB31*(1+Table2[Discount rate E])</f>
        <v>74.44362412458598</v>
      </c>
      <c r="BC32" s="16">
        <f>Table2[[#This Row],[Asset growth E]]/(1+Table2[Compounded CPI])</f>
        <v>64.883836703137462</v>
      </c>
      <c r="BD32" s="17">
        <f>(BD31*((1+Table2[Discount rate E])^0.5)-Table2[Annual benefit payments (closed scheme)])*(1+Table2[Discount rate E])^0.5</f>
        <v>57.051491944474826</v>
      </c>
      <c r="BE32" s="17">
        <f>Table2[[#This Row],[Asset growth E with benefit payments deducted]]/(1+Table2[Compounded CPI])</f>
        <v>49.725140742753361</v>
      </c>
      <c r="BF32" s="19">
        <f>Table2[[#This Row],[Asset growth E with benefit payments deducted]]/(1+Table2[Compounded discount rate E])</f>
        <v>45.982306166875205</v>
      </c>
      <c r="BG32" s="11">
        <f>Table2[[#This Row],[Long-dated forward gilt yields]]+0.75%</f>
        <v>2.656E-2</v>
      </c>
      <c r="BH32" s="11">
        <f t="shared" si="14"/>
        <v>0.13878041071355529</v>
      </c>
      <c r="BI32" s="17">
        <f>((Table2[[#This Row],[Annual benefit payments (closed scheme)]])*1.005^(Table2[[#This Row],[Year]]-2018))/((1+BH31)*(1+Table2[[#This Row],[Discount rate F]])^0.5)+BI31</f>
        <v>15.090612562423489</v>
      </c>
      <c r="BJ32" s="17">
        <f>BJ31*(1+Table2[Discount rate F])</f>
        <v>93.771158893560013</v>
      </c>
      <c r="BK32" s="17">
        <f>Table2[[#This Row],[Asset growth F, under the assumption of full-funding at Year 0]]/(1+Table2[[#This Row],[Compounded CPI]])</f>
        <v>81.729397683962389</v>
      </c>
      <c r="BL32" s="17">
        <f>(BL31*((1+Table2[Discount rate F])^0.5)-Table2[Annual benefit payments (closed scheme)]*1.005^(Table2[Year]-2018))*(1+Table2[Discount rate F])^0.5</f>
        <v>76.586264921804258</v>
      </c>
      <c r="BM32" s="17">
        <f>Table2[[#This Row],[Asset growth F with benefit payments deducted]]/(1+Table2[Compounded CPI])</f>
        <v>66.751327132774904</v>
      </c>
      <c r="BN32" s="19">
        <f>Table2[[#This Row],[Asset growth F with benefit payments deducted]]/(1+Table2[Compounded discount rate F])</f>
        <v>67.252882295205282</v>
      </c>
      <c r="BO32" s="17"/>
      <c r="BP32" s="17"/>
      <c r="BQ32" s="17"/>
      <c r="BR32" s="17"/>
      <c r="BS32" s="17"/>
      <c r="BT32" s="17"/>
      <c r="BU32" s="17"/>
      <c r="BV32" s="17"/>
      <c r="BW32" s="17"/>
      <c r="BX32" s="17"/>
      <c r="BY32" s="17"/>
      <c r="BZ32" s="17"/>
      <c r="CA32" s="17">
        <f>(CA31*((1+Table2[Discount rate A2])^0.5)+Table2[Net cashflow (ongoing scheme)])*(1+Table2[Discount rate A2])^0.5</f>
        <v>65.595297780417738</v>
      </c>
      <c r="CB32" s="17">
        <f>Table2[[#This Row],[Asset growth, ongoing scheme, with November de-risking, net of contributions and payments]]/(1+Table2[Compounded discount rate A2])</f>
        <v>61.080849546692633</v>
      </c>
      <c r="CC32" s="17">
        <f>Table2[[#This Row],[Asset growth, ongoing scheme, with November de-risking, net of contributions and payments]]/(1+Table2[Compounded CPI])</f>
        <v>57.171781193181808</v>
      </c>
      <c r="CD32" s="17">
        <f>(CD31*((1+Table2[Discount rate A1])^0.5)+Table2[Net cashflow (ongoing scheme)])*(1+Table2[Discount rate A1])^0.5</f>
        <v>67.200302639331156</v>
      </c>
      <c r="CE32" s="17">
        <f>Table2[[#This Row],[Asset growth, ongoing scheme, with September de-risking, net of contributions and payments]]/(1+Table2[Compounded discount rate A1])</f>
        <v>61.070030664226572</v>
      </c>
      <c r="CF32" s="17">
        <f>Table2[[#This Row],[Asset growth, ongoing scheme, with September de-risking, net of contributions and payments]]/(1+Table2[Compounded CPI])</f>
        <v>58.57067699383758</v>
      </c>
      <c r="CG32" s="17">
        <f>(CG31*((1+Table2[Discount rate B])^0.5)+Table2[Net cashflow (ongoing scheme)])*(1+Table2[Discount rate B])^0.5</f>
        <v>67.200302639331156</v>
      </c>
      <c r="CH32" s="17">
        <f>Table2[[#This Row],[Asset growth, ongoing scheme, no de-risking, net of contributions and payments]]/(1+Table2[Compounded discount rate B])</f>
        <v>61.070030664226572</v>
      </c>
      <c r="CI32" s="17">
        <f>Table2[[#This Row],[Asset growth, ongoing scheme, no de-risking, net of contributions and payments]]/(1+Table2[Compounded CPI])</f>
        <v>58.57067699383758</v>
      </c>
      <c r="CJ32" s="17">
        <f>(CJ31*((1+Table2[Discount rate E])^0.5)+Table2[Net cashflow (ongoing scheme)])*(1+Table2[Discount rate E])^0.5</f>
        <v>75.681013328316226</v>
      </c>
      <c r="CK32" s="17">
        <f>Table2[[#This Row],[Asset growth, ongoing scheme, best-estimates, no de-risking, net of contributions and payments ]]/(1+Table2[Compounded discount rate E])</f>
        <v>60.997309750792951</v>
      </c>
      <c r="CL32" s="17">
        <f>Table2[[#This Row],[Asset growth, ongoing scheme, best-estimates, no de-risking, net of contributions and payments ]]/(1+Table2[Compounded CPI])</f>
        <v>65.962324753352405</v>
      </c>
      <c r="CM32" s="9">
        <v>2.1299999999999999E-2</v>
      </c>
      <c r="CN32" s="11">
        <f>(1+Table2[[#This Row],[CPI]])*(1+CN31)-1</f>
        <v>0.14733696259651441</v>
      </c>
      <c r="CO32" s="11">
        <f>'Gilt yields'!B14</f>
        <v>1.9060000000000001E-2</v>
      </c>
      <c r="CP32" s="11">
        <f t="shared" si="15"/>
        <v>4.1300000000000003E-2</v>
      </c>
      <c r="CQ32" s="26">
        <f>(1+Table2[[#This Row],[Salary growth]])*(1+CQ31)-1</f>
        <v>0.30231604831981573</v>
      </c>
      <c r="CR32" s="15">
        <f t="shared" si="5"/>
        <v>11.473369625965145</v>
      </c>
      <c r="CS32" s="17">
        <f t="shared" si="6"/>
        <v>14.915380513754693</v>
      </c>
      <c r="CT32" s="17">
        <f>CT31*(1+Table2[[#This Row],[Salary growth]])</f>
        <v>13.023160483198152</v>
      </c>
      <c r="CU32" s="19">
        <f t="shared" si="7"/>
        <v>16.930108628157605</v>
      </c>
      <c r="CV32" s="112">
        <f>('Cash flows as at 31032017'!B17)/1000000000</f>
        <v>2.1460182470000002</v>
      </c>
      <c r="CW32" s="113">
        <v>0</v>
      </c>
      <c r="CX32" s="113">
        <f>Table2[[#This Row],[Annual contributions (closed scheme)]]-Table2[[#This Row],[Annual benefit payments (closed scheme)]]</f>
        <v>-2.1460182470000002</v>
      </c>
      <c r="CY32" s="113">
        <v>2.4400000000000004</v>
      </c>
      <c r="CZ32" s="113">
        <v>2.7</v>
      </c>
      <c r="DA32" s="113">
        <v>0.26</v>
      </c>
      <c r="DB32" s="17"/>
      <c r="DC32" s="84"/>
      <c r="DD32" s="84"/>
      <c r="DE32" s="84"/>
      <c r="DF32" s="84"/>
      <c r="DG32" s="84"/>
      <c r="DH32" s="84"/>
      <c r="DI32" s="84"/>
      <c r="DJ32" s="84"/>
      <c r="DK32" s="84"/>
      <c r="DL32" s="84"/>
      <c r="DM32" s="84"/>
      <c r="DN32" s="84"/>
      <c r="DO32" s="84"/>
      <c r="DP32" s="84"/>
      <c r="DQ32" s="84"/>
      <c r="DR32" s="84"/>
      <c r="DS32" s="84"/>
      <c r="DT32" s="84"/>
      <c r="DU32" s="84"/>
      <c r="DV32" s="84"/>
      <c r="DW32" s="84"/>
      <c r="DX32" s="84"/>
    </row>
    <row r="33" spans="1:131" x14ac:dyDescent="0.2">
      <c r="A33" s="8">
        <v>2026</v>
      </c>
      <c r="B33" s="50"/>
      <c r="C33" s="50"/>
      <c r="D33" s="50"/>
      <c r="E33" s="35">
        <v>6.0999999999999999E-2</v>
      </c>
      <c r="F33" s="16">
        <f>F32*(1+Table2[[#This Row],[2008 discount rate]])</f>
        <v>97.840467920072669</v>
      </c>
      <c r="G33" s="18">
        <v>6.0999999999999999E-2</v>
      </c>
      <c r="H33" s="16">
        <f>H32*(1+Table2[[#This Row],[2011 discount rate]])</f>
        <v>80.401507530761236</v>
      </c>
      <c r="I33" s="18">
        <v>5.1999999999999998E-2</v>
      </c>
      <c r="J33" s="16">
        <f>J32*(1+Table2[[#This Row],[2014 discount rate]])</f>
        <v>76.613292205377874</v>
      </c>
      <c r="K33" s="9">
        <v>1.7600000000000001E-2</v>
      </c>
      <c r="L33" s="18">
        <f t="shared" si="9"/>
        <v>0.11974772604528261</v>
      </c>
      <c r="M33" s="17">
        <f>Table2[[#This Row],[Annual benefit payments (closed scheme)]]/((1+L32)*(1+Table2[[#This Row],[Discount rate A1]])^0.5)+M32</f>
        <v>16.896674448144466</v>
      </c>
      <c r="N33" s="17">
        <f>N32*(1+Table2[Discount rate A1])</f>
        <v>72.696898688946973</v>
      </c>
      <c r="O33" s="17">
        <f>Table2[[#This Row],[Asset growth A1, under the assumption of full-funding at Year 0]]/(1+Table2[[#This Row],[Compounded CPI]])</f>
        <v>61.94292656363335</v>
      </c>
      <c r="P33" s="17">
        <f>(P32*((1+Table2[Discount rate A1])^0.5)-Table2[Annual benefit payments (closed scheme)])*(1+Table2[Discount rate A1])^0.5</f>
        <v>53.7768858979098</v>
      </c>
      <c r="Q33" s="17">
        <f>Table2[[#This Row],[Asset growth A1 with benefit payments deducted]]/(1+Table2[Compounded CPI])</f>
        <v>45.821730418626309</v>
      </c>
      <c r="R33" s="17">
        <f>Table2[[#This Row],[Asset growth A1 with benefit payments deducted]]/(1+Table2[Compounded discount rate A1])</f>
        <v>48.025894268022888</v>
      </c>
      <c r="S33" s="9">
        <v>1.06E-2</v>
      </c>
      <c r="T33" s="18">
        <f t="shared" si="8"/>
        <v>8.5292827929889681E-2</v>
      </c>
      <c r="U33" s="17">
        <f>Table2[[#This Row],[Annual benefit payments (closed scheme)]]/((1+T32)*(1+Table2[[#This Row],[Discount rate A2]])^0.5)+U32</f>
        <v>17.070723808430778</v>
      </c>
      <c r="V33" s="17">
        <f>V32*(1+Table2[Discount rate A2])</f>
        <v>73.269536241697892</v>
      </c>
      <c r="W33" s="17">
        <f>Table2[[#This Row],[Asset growth A2, under the assumption of full-funding at Year 0]]/(1+Table2[Compounded CPI])</f>
        <v>62.430854474140233</v>
      </c>
      <c r="X33" s="17">
        <f>(X32*((1+Table2[Discount rate A2])^0.5)-Table2[Annual benefit payments (closed scheme)])*(1+Table2[Discount rate A2])^0.5</f>
        <v>54.742802124835997</v>
      </c>
      <c r="Y33" s="17">
        <f>Table2[[#This Row],[Asset growth A2 with benefit payments deducted]]/(1+Table2[[#This Row],[Compounded CPI]])</f>
        <v>46.64475972235379</v>
      </c>
      <c r="Z33" s="19">
        <f>Table2[[#This Row],[Asset growth A2 with benefit payments deducted]]/(1+Table2[Compounded discount rate A2])</f>
        <v>50.440582224479975</v>
      </c>
      <c r="AA33" s="35">
        <f t="shared" si="4"/>
        <v>1.7600000000000001E-2</v>
      </c>
      <c r="AB33" s="18">
        <f t="shared" si="10"/>
        <v>0.11974772604528261</v>
      </c>
      <c r="AC33" s="17">
        <f>Table2[[#This Row],[Annual benefit payments (closed scheme)]]/((1+AB32)*(1+Table2[[#This Row],[Discount rate B]])^0.5)+AC32</f>
        <v>16.896674448144466</v>
      </c>
      <c r="AD33" s="16">
        <f>AD32*(1+Table2[Discount rate B])</f>
        <v>67.184863562716984</v>
      </c>
      <c r="AE33" s="16">
        <f>Table2[[#This Row],[Asset growth B]]/(1+Table2[Compounded CPI])</f>
        <v>57.246280720443565</v>
      </c>
      <c r="AF33" s="17">
        <f>(AF32*((1+Table2[Discount rate B])^0.5)-Table2[Annual benefit payments (closed scheme)])*(1+Table2[Discount rate B])^0.5</f>
        <v>48.264850771679775</v>
      </c>
      <c r="AG33" s="17">
        <f>Table2[[#This Row],[Asset growth B with benefit payments deducted]]/(1+Table2[Compounded CPI])</f>
        <v>41.125084575436496</v>
      </c>
      <c r="AH33" s="19">
        <f>Table2[[#This Row],[Asset growth B with benefit payments deducted]]/(1+Table2[Compounded discount rate B])</f>
        <v>43.103325551855548</v>
      </c>
      <c r="AI33" s="11">
        <f>Table2[CPI]+1%</f>
        <v>3.2899999999999999E-2</v>
      </c>
      <c r="AJ33" s="18">
        <f t="shared" si="11"/>
        <v>0.28154698930474753</v>
      </c>
      <c r="AK33" s="17">
        <f>Table2[[#This Row],[Annual benefit payments (closed scheme)]]/((1+AJ32)*(1+Table2[[#This Row],[Discount rate C]])^0.5)+AK32</f>
        <v>15.785903500025594</v>
      </c>
      <c r="AL33" s="17">
        <f>AL32*(1+Table2[Discount rate C])</f>
        <v>76.892819358284854</v>
      </c>
      <c r="AM33" s="17">
        <f>Table2[[#This Row],[Asset growth C]]/(1+Table2[Compounded CPI])</f>
        <v>65.518149311438748</v>
      </c>
      <c r="AN33" s="17">
        <f>(AN32*((1+Table2[Discount rate C])^0.5)-Table2[Annual benefit payments (closed scheme)])*(1+Table2[Discount rate C])^0.5</f>
        <v>56.662442254371776</v>
      </c>
      <c r="AO33" s="17">
        <f>Table2[[#This Row],[Asset growth C with benefit payments deducted]]/(1+Table2[Compounded CPI])</f>
        <v>48.280429602594737</v>
      </c>
      <c r="AP33" s="19">
        <f>Table2[[#This Row],[Asset growth C with benefit payments deducted]]/(1+Table2[Compounded discount rate C])</f>
        <v>44.214096499974403</v>
      </c>
      <c r="AQ33" s="11">
        <f>Table2[CPI]+0.2%</f>
        <v>2.4899999999999999E-2</v>
      </c>
      <c r="AR33" s="18">
        <f t="shared" si="12"/>
        <v>0.23736181009579904</v>
      </c>
      <c r="AS33" s="17">
        <f>Table2[[#This Row],[Annual benefit payments (closed scheme)]]/((1+AR32)*(1+Table2[[#This Row],[Discount rate D]])^0.5)+AS32</f>
        <v>15.962156771190012</v>
      </c>
      <c r="AT33" s="16">
        <f>AT32*(1+Table2[Discount rate D])</f>
        <v>74.241708605747959</v>
      </c>
      <c r="AU33" s="17">
        <f>Table2[[#This Row],[Asset growth D]]/(1+Table2[Compounded CPI])</f>
        <v>63.259214451519888</v>
      </c>
      <c r="AV33" s="17">
        <f>(AV32*((1+Table2[Discount rate D])^0.5)-Table2[Annual benefit payments (closed scheme)])*(1+Table2[Discount rate D])^0.5</f>
        <v>54.490745410315363</v>
      </c>
      <c r="AW33" s="17">
        <f>Table2[[#This Row],[Asset growth D with benefit payments deducted]]/(1+Table2[Compounded CPI])</f>
        <v>46.429989479895063</v>
      </c>
      <c r="AX33" s="19">
        <f>Table2[[#This Row],[Asset growth D with benefit payments deducted]]/(1+Table2[Compounded discount rate D])</f>
        <v>44.037843228809997</v>
      </c>
      <c r="AY33" s="11">
        <f>Table2[CPI]+1%</f>
        <v>3.2899999999999999E-2</v>
      </c>
      <c r="AZ33" s="18">
        <f t="shared" si="13"/>
        <v>0.28154698930474753</v>
      </c>
      <c r="BA33" s="17">
        <f>Table2[[#This Row],[Annual benefit payments (closed scheme)]]/((1+AZ32)*(1+Table2[[#This Row],[Discount rate E]])^0.5)+BA32</f>
        <v>15.785903500025594</v>
      </c>
      <c r="BB33" s="17">
        <f>BB32*(1+Table2[Discount rate E])</f>
        <v>76.892819358284854</v>
      </c>
      <c r="BC33" s="16">
        <f>Table2[[#This Row],[Asset growth E]]/(1+Table2[Compounded CPI])</f>
        <v>65.518149311438748</v>
      </c>
      <c r="BD33" s="17">
        <f>(BD32*((1+Table2[Discount rate E])^0.5)-Table2[Annual benefit payments (closed scheme)])*(1+Table2[Discount rate E])^0.5</f>
        <v>56.662442254371776</v>
      </c>
      <c r="BE33" s="17">
        <f>Table2[[#This Row],[Asset growth E with benefit payments deducted]]/(1+Table2[Compounded CPI])</f>
        <v>48.280429602594737</v>
      </c>
      <c r="BF33" s="19">
        <f>Table2[[#This Row],[Asset growth E with benefit payments deducted]]/(1+Table2[Compounded discount rate E])</f>
        <v>44.214096499974403</v>
      </c>
      <c r="BG33" s="11">
        <f>Table2[[#This Row],[Long-dated forward gilt yields]]+0.75%</f>
        <v>2.8629999999999999E-2</v>
      </c>
      <c r="BH33" s="11">
        <f t="shared" si="14"/>
        <v>0.17138369387228436</v>
      </c>
      <c r="BI33" s="17">
        <f>((Table2[[#This Row],[Annual benefit payments (closed scheme)]])*1.005^(Table2[[#This Row],[Year]]-2018))/((1+BH32)*(1+Table2[[#This Row],[Discount rate F]])^0.5)+BI32</f>
        <v>17.099696444741994</v>
      </c>
      <c r="BJ33" s="17">
        <f>BJ32*(1+Table2[Discount rate F])</f>
        <v>96.455827172682632</v>
      </c>
      <c r="BK33" s="17">
        <f>Table2[[#This Row],[Asset growth F, under the assumption of full-funding at Year 0]]/(1+Table2[[#This Row],[Compounded CPI]])</f>
        <v>82.187222934455221</v>
      </c>
      <c r="BL33" s="17">
        <f>(BL32*((1+Table2[Discount rate F])^0.5)-Table2[Annual benefit payments (closed scheme)]*1.005^(Table2[Year]-2018))*(1+Table2[Discount rate F])^0.5</f>
        <v>76.42552158714598</v>
      </c>
      <c r="BM33" s="17">
        <f>Table2[[#This Row],[Asset growth F with benefit payments deducted]]/(1+Table2[Compounded CPI])</f>
        <v>65.119978384713832</v>
      </c>
      <c r="BN33" s="19">
        <f>Table2[[#This Row],[Asset growth F with benefit payments deducted]]/(1+Table2[Compounded discount rate F])</f>
        <v>65.243798412886761</v>
      </c>
      <c r="BO33" s="17"/>
      <c r="BP33" s="17"/>
      <c r="BQ33" s="17"/>
      <c r="BR33" s="17"/>
      <c r="BS33" s="17"/>
      <c r="BT33" s="17"/>
      <c r="BU33" s="17"/>
      <c r="BV33" s="17"/>
      <c r="BW33" s="17"/>
      <c r="BX33" s="17"/>
      <c r="BY33" s="17"/>
      <c r="BZ33" s="17"/>
      <c r="CA33" s="17">
        <f>(CA32*((1+Table2[Discount rate A2])^0.5)+Table2[Net cashflow (ongoing scheme)])*(1+Table2[Discount rate A2])^0.5</f>
        <v>66.491665142679977</v>
      </c>
      <c r="CB33" s="17">
        <f>Table2[[#This Row],[Asset growth, ongoing scheme, with November de-risking, net of contributions and payments]]/(1+Table2[Compounded discount rate A2])</f>
        <v>61.266105728817514</v>
      </c>
      <c r="CC33" s="17">
        <f>Table2[[#This Row],[Asset growth, ongoing scheme, with November de-risking, net of contributions and payments]]/(1+Table2[Compounded CPI])</f>
        <v>56.655626378913759</v>
      </c>
      <c r="CD33" s="17">
        <f>(CD32*((1+Table2[Discount rate A1])^0.5)+Table2[Net cashflow (ongoing scheme)])*(1+Table2[Discount rate A1])^0.5</f>
        <v>68.584780289190093</v>
      </c>
      <c r="CE33" s="17">
        <f>Table2[[#This Row],[Asset growth, ongoing scheme, with September de-risking, net of contributions and payments]]/(1+Table2[Compounded discount rate A1])</f>
        <v>61.250207251071949</v>
      </c>
      <c r="CF33" s="17">
        <f>Table2[[#This Row],[Asset growth, ongoing scheme, with September de-risking, net of contributions and payments]]/(1+Table2[Compounded CPI])</f>
        <v>58.439109308003516</v>
      </c>
      <c r="CG33" s="17">
        <f>(CG32*((1+Table2[Discount rate B])^0.5)+Table2[Net cashflow (ongoing scheme)])*(1+Table2[Discount rate B])^0.5</f>
        <v>68.584780289190093</v>
      </c>
      <c r="CH33" s="17">
        <f>Table2[[#This Row],[Asset growth, ongoing scheme, no de-risking, net of contributions and payments]]/(1+Table2[Compounded discount rate B])</f>
        <v>61.250207251071949</v>
      </c>
      <c r="CI33" s="17">
        <f>Table2[[#This Row],[Asset growth, ongoing scheme, no de-risking, net of contributions and payments]]/(1+Table2[Compounded CPI])</f>
        <v>58.439109308003516</v>
      </c>
      <c r="CJ33" s="17">
        <f>(CJ32*((1+Table2[Discount rate E])^0.5)+Table2[Net cashflow (ongoing scheme)])*(1+Table2[Discount rate E])^0.5</f>
        <v>78.374182042761433</v>
      </c>
      <c r="CK33" s="17">
        <f>Table2[[#This Row],[Asset growth, ongoing scheme, best-estimates, no de-risking, net of contributions and payments ]]/(1+Table2[Compounded discount rate E])</f>
        <v>61.155917572152575</v>
      </c>
      <c r="CL33" s="17">
        <f>Table2[[#This Row],[Asset growth, ongoing scheme, best-estimates, no de-risking, net of contributions and payments ]]/(1+Table2[Compounded CPI])</f>
        <v>66.780375646172203</v>
      </c>
      <c r="CM33" s="9">
        <v>2.29E-2</v>
      </c>
      <c r="CN33" s="11">
        <f>(1+Table2[[#This Row],[CPI]])*(1+CN32)-1</f>
        <v>0.17361097903997447</v>
      </c>
      <c r="CO33" s="11">
        <f>'Gilt yields'!B15</f>
        <v>2.1129999999999999E-2</v>
      </c>
      <c r="CP33" s="11">
        <f t="shared" si="15"/>
        <v>4.2900000000000001E-2</v>
      </c>
      <c r="CQ33" s="26">
        <f>(1+Table2[[#This Row],[Salary growth]])*(1+CQ32)-1</f>
        <v>0.35818540679273569</v>
      </c>
      <c r="CR33" s="15">
        <f t="shared" si="5"/>
        <v>11.736109790399745</v>
      </c>
      <c r="CS33" s="17">
        <f t="shared" si="6"/>
        <v>15.256942727519673</v>
      </c>
      <c r="CT33" s="17">
        <f>CT32*(1+Table2[[#This Row],[Salary growth]])</f>
        <v>13.581854067927353</v>
      </c>
      <c r="CU33" s="19">
        <f t="shared" si="7"/>
        <v>17.656410288305565</v>
      </c>
      <c r="CV33" s="112">
        <f>('Cash flows as at 31032017'!B18)/1000000000</f>
        <v>2.2296626380000002</v>
      </c>
      <c r="CW33" s="113">
        <v>0</v>
      </c>
      <c r="CX33" s="113">
        <f>Table2[[#This Row],[Annual contributions (closed scheme)]]-Table2[[#This Row],[Annual benefit payments (closed scheme)]]</f>
        <v>-2.2296626380000002</v>
      </c>
      <c r="CY33" s="113">
        <v>2.5999999999999996</v>
      </c>
      <c r="CZ33" s="113">
        <v>2.8</v>
      </c>
      <c r="DA33" s="113">
        <v>0.2</v>
      </c>
      <c r="DB33" s="17"/>
      <c r="DC33" s="84"/>
      <c r="DD33" s="84"/>
      <c r="DE33" s="84"/>
      <c r="DF33" s="84"/>
      <c r="DG33" s="84"/>
      <c r="DH33" s="84"/>
      <c r="DI33" s="84"/>
      <c r="DJ33" s="84"/>
      <c r="DK33" s="84"/>
      <c r="DL33" s="84"/>
      <c r="DM33" s="84"/>
      <c r="DN33" s="84"/>
      <c r="DO33" s="84"/>
      <c r="DP33" s="84"/>
      <c r="DQ33" s="84"/>
      <c r="DR33" s="84"/>
      <c r="DS33" s="84"/>
      <c r="DT33" s="84"/>
      <c r="DU33" s="84"/>
      <c r="DV33" s="84"/>
      <c r="DW33" s="84"/>
      <c r="DX33" s="84"/>
    </row>
    <row r="34" spans="1:131" x14ac:dyDescent="0.2">
      <c r="A34" s="68">
        <v>2027</v>
      </c>
      <c r="B34" s="69"/>
      <c r="C34" s="69"/>
      <c r="D34" s="69"/>
      <c r="E34" s="70">
        <v>6.0999999999999999E-2</v>
      </c>
      <c r="F34" s="71">
        <f>F33*(1+Table2[[#This Row],[2008 discount rate]])</f>
        <v>103.80873646319709</v>
      </c>
      <c r="G34" s="72">
        <v>6.0999999999999999E-2</v>
      </c>
      <c r="H34" s="71">
        <f>H33*(1+Table2[[#This Row],[2011 discount rate]])</f>
        <v>85.305999490137665</v>
      </c>
      <c r="I34" s="72">
        <v>5.1999999999999998E-2</v>
      </c>
      <c r="J34" s="71">
        <f>J33*(1+Table2[[#This Row],[2014 discount rate]])</f>
        <v>80.597183400057531</v>
      </c>
      <c r="K34" s="73">
        <v>1.9E-2</v>
      </c>
      <c r="L34" s="72">
        <f t="shared" si="9"/>
        <v>0.14102293284014289</v>
      </c>
      <c r="M34" s="17">
        <f>Table2[[#This Row],[Annual benefit payments (closed scheme)]]/((1+L33)*(1+Table2[[#This Row],[Discount rate A1]])^0.5)+M33</f>
        <v>18.934214296262358</v>
      </c>
      <c r="N34" s="74">
        <f>N33*(1+Table2[Discount rate A1])</f>
        <v>74.078139764036962</v>
      </c>
      <c r="O34" s="74">
        <f>Table2[[#This Row],[Asset growth A1, under the assumption of full-funding at Year 0]]/(1+Table2[[#This Row],[Compounded CPI]])</f>
        <v>61.622417424916897</v>
      </c>
      <c r="P34" s="17">
        <f>(P33*((1+Table2[Discount rate A1])^0.5)-Table2[Annual benefit payments (closed scheme)])*(1+Table2[Discount rate A1])^0.5</f>
        <v>52.473767036691953</v>
      </c>
      <c r="Q34" s="74">
        <f>Table2[[#This Row],[Asset growth A1 with benefit payments deducted]]/(1+Table2[Compounded CPI])</f>
        <v>43.650669232418913</v>
      </c>
      <c r="R34" s="74">
        <f>Table2[[#This Row],[Asset growth A1 with benefit payments deducted]]/(1+Table2[Compounded discount rate A1])</f>
        <v>45.988354419905001</v>
      </c>
      <c r="S34" s="73">
        <v>1.11E-2</v>
      </c>
      <c r="T34" s="72">
        <f t="shared" si="8"/>
        <v>9.7339578319911579E-2</v>
      </c>
      <c r="U34" s="17">
        <f>Table2[[#This Row],[Annual benefit payments (closed scheme)]]/((1+T33)*(1+Table2[[#This Row],[Discount rate A2]])^0.5)+U33</f>
        <v>19.181146286722161</v>
      </c>
      <c r="V34" s="74">
        <f>V33*(1+Table2[Discount rate A2])</f>
        <v>74.082828093980751</v>
      </c>
      <c r="W34" s="74">
        <f>Table2[[#This Row],[Asset growth A2, under the assumption of full-funding at Year 0]]/(1+Table2[Compounded CPI])</f>
        <v>61.626317444892322</v>
      </c>
      <c r="X34" s="74">
        <f>(X33*((1+Table2[Discount rate A2])^0.5)-Table2[Annual benefit payments (closed scheme)])*(1+Table2[Discount rate A2])^0.5</f>
        <v>53.034597116016549</v>
      </c>
      <c r="Y34" s="74">
        <f>Table2[[#This Row],[Asset growth A2 with benefit payments deducted]]/(1+Table2[[#This Row],[Compounded CPI]])</f>
        <v>44.11719964696055</v>
      </c>
      <c r="Z34" s="78">
        <f>Table2[[#This Row],[Asset growth A2 with benefit payments deducted]]/(1+Table2[Compounded discount rate A2])</f>
        <v>48.330159746188585</v>
      </c>
      <c r="AA34" s="70">
        <f t="shared" si="4"/>
        <v>1.9E-2</v>
      </c>
      <c r="AB34" s="72">
        <f t="shared" si="10"/>
        <v>0.14102293284014289</v>
      </c>
      <c r="AC34" s="17">
        <f>Table2[[#This Row],[Annual benefit payments (closed scheme)]]/((1+AB33)*(1+Table2[[#This Row],[Discount rate B]])^0.5)+AC33</f>
        <v>18.934214296262358</v>
      </c>
      <c r="AD34" s="71">
        <f>AD33*(1+Table2[Discount rate B])</f>
        <v>68.461375970408596</v>
      </c>
      <c r="AE34" s="71">
        <f>Table2[[#This Row],[Asset growth B]]/(1+Table2[Compounded CPI])</f>
        <v>56.950073273583897</v>
      </c>
      <c r="AF34" s="74">
        <f>(AF33*((1+Table2[Discount rate B])^0.5)-Table2[Annual benefit payments (closed scheme)])*(1+Table2[Discount rate B])^0.5</f>
        <v>46.857003243063552</v>
      </c>
      <c r="AG34" s="74">
        <f>Table2[[#This Row],[Asset growth B with benefit payments deducted]]/(1+Table2[Compounded CPI])</f>
        <v>38.978325081085877</v>
      </c>
      <c r="AH34" s="78">
        <f>Table2[[#This Row],[Asset growth B with benefit payments deducted]]/(1+Table2[Compounded discount rate B])</f>
        <v>41.06578570373766</v>
      </c>
      <c r="AI34" s="75">
        <f>Table2[CPI]+1%</f>
        <v>3.4299999999999997E-2</v>
      </c>
      <c r="AJ34" s="18">
        <f t="shared" si="11"/>
        <v>0.32550405103790037</v>
      </c>
      <c r="AK34" s="74">
        <f>Table2[[#This Row],[Annual benefit payments (closed scheme)]]/((1+AJ33)*(1+Table2[[#This Row],[Discount rate C]])^0.5)+AK33</f>
        <v>17.552980991991525</v>
      </c>
      <c r="AL34" s="74">
        <f>AL33*(1+Table2[Discount rate C])</f>
        <v>79.530243062274025</v>
      </c>
      <c r="AM34" s="74">
        <f>Table2[[#This Row],[Asset growth C]]/(1+Table2[Compounded CPI])</f>
        <v>66.157787594280094</v>
      </c>
      <c r="AN34" s="74">
        <f>(AN33*((1+Table2[Discount rate C])^0.5)-Table2[Annual benefit payments (closed scheme)])*(1+Table2[Discount rate C])^0.5</f>
        <v>56.263695649597985</v>
      </c>
      <c r="AO34" s="74">
        <f>Table2[[#This Row],[Asset growth C with benefit payments deducted]]/(1+Table2[Compounded CPI])</f>
        <v>46.803347792369898</v>
      </c>
      <c r="AP34" s="19">
        <f>Table2[[#This Row],[Asset growth C with benefit payments deducted]]/(1+Table2[Compounded discount rate C])</f>
        <v>42.447019008008468</v>
      </c>
      <c r="AQ34" s="11">
        <f>Table2[CPI]+0.08%</f>
        <v>2.5099999999999997E-2</v>
      </c>
      <c r="AR34" s="18">
        <f t="shared" si="12"/>
        <v>0.26841959152920358</v>
      </c>
      <c r="AS34" s="17">
        <f>Table2[[#This Row],[Annual benefit payments (closed scheme)]]/((1+AR33)*(1+Table2[[#This Row],[Discount rate D]])^0.5)+AS33</f>
        <v>17.80052949435628</v>
      </c>
      <c r="AT34" s="16">
        <f>AT33*(1+Table2[Discount rate D])</f>
        <v>76.10517549175222</v>
      </c>
      <c r="AU34" s="17">
        <f>Table2[[#This Row],[Asset growth D]]/(1+Table2[Compounded CPI])</f>
        <v>63.308621238165607</v>
      </c>
      <c r="AV34" s="17">
        <f>(AV33*((1+Table2[Discount rate D])^0.5)-Table2[Annual benefit payments (closed scheme)])*(1+Table2[Discount rate D])^0.5</f>
        <v>53.526635141517268</v>
      </c>
      <c r="AW34" s="17">
        <f>Table2[[#This Row],[Asset growth D with benefit payments deducted]]/(1+Table2[Compounded CPI])</f>
        <v>44.526504911548969</v>
      </c>
      <c r="AX34" s="19">
        <f>Table2[[#This Row],[Asset growth D with benefit payments deducted]]/(1+Table2[Compounded discount rate D])</f>
        <v>42.19947050564371</v>
      </c>
      <c r="AY34" s="11">
        <f>Table2[CPI]+1%</f>
        <v>3.4299999999999997E-2</v>
      </c>
      <c r="AZ34" s="18">
        <f t="shared" si="13"/>
        <v>0.32550405103790037</v>
      </c>
      <c r="BA34" s="17">
        <f>Table2[[#This Row],[Annual benefit payments (closed scheme)]]/((1+AZ33)*(1+Table2[[#This Row],[Discount rate E]])^0.5)+BA33</f>
        <v>17.552980991991525</v>
      </c>
      <c r="BB34" s="17">
        <f>BB33*(1+Table2[Discount rate E])</f>
        <v>79.530243062274025</v>
      </c>
      <c r="BC34" s="16">
        <f>Table2[[#This Row],[Asset growth E]]/(1+Table2[Compounded CPI])</f>
        <v>66.157787594280094</v>
      </c>
      <c r="BD34" s="17">
        <f>(BD33*((1+Table2[Discount rate E])^0.5)-Table2[Annual benefit payments (closed scheme)])*(1+Table2[Discount rate E])^0.5</f>
        <v>56.263695649597985</v>
      </c>
      <c r="BE34" s="17">
        <f>Table2[[#This Row],[Asset growth E with benefit payments deducted]]/(1+Table2[Compounded CPI])</f>
        <v>46.803347792369898</v>
      </c>
      <c r="BF34" s="19">
        <f>Table2[[#This Row],[Asset growth E with benefit payments deducted]]/(1+Table2[Compounded discount rate E])</f>
        <v>42.447019008008468</v>
      </c>
      <c r="BG34" s="11">
        <f>Table2[[#This Row],[Long-dated forward gilt yields]]+0.75%</f>
        <v>3.024E-2</v>
      </c>
      <c r="BH34" s="75">
        <f t="shared" si="14"/>
        <v>0.20680633677498239</v>
      </c>
      <c r="BI34" s="17">
        <f>((Table2[[#This Row],[Annual benefit payments (closed scheme)]])*1.005^(Table2[[#This Row],[Year]]-2018))/((1+BH33)*(1+Table2[[#This Row],[Discount rate F]])^0.5)+BI33</f>
        <v>19.125697045958759</v>
      </c>
      <c r="BJ34" s="17">
        <f>BJ33*(1+Table2[Discount rate F])</f>
        <v>99.372651386384561</v>
      </c>
      <c r="BK34" s="17">
        <f>Table2[[#This Row],[Asset growth F, under the assumption of full-funding at Year 0]]/(1+Table2[[#This Row],[Compounded CPI]])</f>
        <v>82.663833404269411</v>
      </c>
      <c r="BL34" s="74">
        <f>(BL33*((1+Table2[Discount rate F])^0.5)-Table2[Annual benefit payments (closed scheme)]*1.005^(Table2[Year]-2018))*(1+Table2[Discount rate F])^0.5</f>
        <v>76.291638996082966</v>
      </c>
      <c r="BM34" s="74">
        <f>Table2[[#This Row],[Asset growth F with benefit payments deducted]]/(1+Table2[Compounded CPI])</f>
        <v>63.463732205246885</v>
      </c>
      <c r="BN34" s="78">
        <f>Table2[[#This Row],[Asset growth F with benefit payments deducted]]/(1+Table2[Compounded discount rate F])</f>
        <v>63.217797811669996</v>
      </c>
      <c r="BO34" s="74"/>
      <c r="BP34" s="74"/>
      <c r="BQ34" s="74"/>
      <c r="BR34" s="74"/>
      <c r="BS34" s="74"/>
      <c r="BT34" s="74"/>
      <c r="BU34" s="74"/>
      <c r="BV34" s="74"/>
      <c r="BW34" s="74"/>
      <c r="BX34" s="74"/>
      <c r="BY34" s="74"/>
      <c r="BZ34" s="74"/>
      <c r="CA34" s="74">
        <f>(CA33*((1+Table2[Discount rate A2])^0.5)+Table2[Net cashflow (ongoing scheme)])*(1+Table2[Discount rate A2])^0.5</f>
        <v>67.3906081751459</v>
      </c>
      <c r="CB34" s="74">
        <f>Table2[[#This Row],[Asset growth, ongoing scheme, with November de-risking, net of contributions and payments]]/(1+Table2[Compounded discount rate A2])</f>
        <v>61.412719915128463</v>
      </c>
      <c r="CC34" s="74">
        <f>Table2[[#This Row],[Asset growth, ongoing scheme, with November de-risking, net of contributions and payments]]/(1+Table2[Compounded CPI])</f>
        <v>56.059347612072763</v>
      </c>
      <c r="CD34" s="74">
        <f>(CD33*((1+Table2[Discount rate A1])^0.5)+Table2[Net cashflow (ongoing scheme)])*(1+Table2[Discount rate A1])^0.5</f>
        <v>70.049403962470876</v>
      </c>
      <c r="CE34" s="74">
        <f>Table2[[#This Row],[Asset growth, ongoing scheme, with September de-risking, net of contributions and payments]]/(1+Table2[Compounded discount rate A1])</f>
        <v>61.391758172738484</v>
      </c>
      <c r="CF34" s="74">
        <f>Table2[[#This Row],[Asset growth, ongoing scheme, with September de-risking, net of contributions and payments]]/(1+Table2[Compounded CPI])</f>
        <v>58.27108543885997</v>
      </c>
      <c r="CG34" s="74">
        <f>(CG33*((1+Table2[Discount rate B])^0.5)+Table2[Net cashflow (ongoing scheme)])*(1+Table2[Discount rate B])^0.5</f>
        <v>70.049403962470876</v>
      </c>
      <c r="CH34" s="74">
        <f>Table2[[#This Row],[Asset growth, ongoing scheme, no de-risking, net of contributions and payments]]/(1+Table2[Compounded discount rate B])</f>
        <v>61.391758172738484</v>
      </c>
      <c r="CI34" s="74">
        <f>Table2[[#This Row],[Asset growth, ongoing scheme, no de-risking, net of contributions and payments]]/(1+Table2[Compounded CPI])</f>
        <v>58.27108543885997</v>
      </c>
      <c r="CJ34" s="74">
        <f>(CJ33*((1+Table2[Discount rate E])^0.5)+Table2[Net cashflow (ongoing scheme)])*(1+Table2[Discount rate E])^0.5</f>
        <v>81.225137352115908</v>
      </c>
      <c r="CK34" s="74">
        <f>Table2[[#This Row],[Asset growth, ongoing scheme, best-estimates, no de-risking, net of contributions and payments ]]/(1+Table2[Compounded discount rate E])</f>
        <v>61.278679071946058</v>
      </c>
      <c r="CL34" s="74">
        <f>Table2[[#This Row],[Asset growth, ongoing scheme, best-estimates, no de-risking, net of contributions and payments ]]/(1+Table2[Compounded CPI])</f>
        <v>67.567697234997738</v>
      </c>
      <c r="CM34" s="73">
        <v>2.4299999999999999E-2</v>
      </c>
      <c r="CN34" s="75">
        <f>(1+Table2[[#This Row],[CPI]])*(1+CN33)-1</f>
        <v>0.20212972583064581</v>
      </c>
      <c r="CO34" s="75">
        <f>'Gilt yields'!B16</f>
        <v>2.274E-2</v>
      </c>
      <c r="CP34" s="75">
        <f t="shared" si="15"/>
        <v>4.4299999999999999E-2</v>
      </c>
      <c r="CQ34" s="76">
        <f>(1+Table2[[#This Row],[Salary growth]])*(1+CQ33)-1</f>
        <v>0.41835302031365385</v>
      </c>
      <c r="CR34" s="77">
        <f t="shared" si="5"/>
        <v>12.021297258306458</v>
      </c>
      <c r="CS34" s="74">
        <f t="shared" si="6"/>
        <v>15.627686435798401</v>
      </c>
      <c r="CT34" s="74">
        <f>CT33*(1+Table2[[#This Row],[Salary growth]])</f>
        <v>14.183530203136534</v>
      </c>
      <c r="CU34" s="78">
        <f t="shared" si="7"/>
        <v>18.438589264077503</v>
      </c>
      <c r="CV34" s="112">
        <f>('Cash flows as at 31032017'!B19)/1000000000</f>
        <v>2.303103165</v>
      </c>
      <c r="CW34" s="113">
        <v>0</v>
      </c>
      <c r="CX34" s="113">
        <f>Table2[[#This Row],[Annual contributions (closed scheme)]]-Table2[[#This Row],[Annual benefit payments (closed scheme)]]</f>
        <v>-2.303103165</v>
      </c>
      <c r="CY34" s="113">
        <v>2.7399999999999998</v>
      </c>
      <c r="CZ34" s="113">
        <v>2.9</v>
      </c>
      <c r="DA34" s="113">
        <v>0.16</v>
      </c>
      <c r="DB34" s="17"/>
      <c r="DC34" s="84"/>
      <c r="DD34" s="84"/>
      <c r="DE34" s="84"/>
      <c r="DF34" s="84"/>
      <c r="DG34" s="84"/>
      <c r="DH34" s="84"/>
      <c r="DI34" s="84"/>
      <c r="DJ34" s="84"/>
      <c r="DK34" s="84"/>
      <c r="DL34" s="84"/>
      <c r="DM34" s="84"/>
      <c r="DN34" s="84"/>
      <c r="DO34" s="84"/>
      <c r="DP34" s="84"/>
      <c r="DQ34" s="84"/>
      <c r="DR34" s="84"/>
      <c r="DS34" s="84"/>
      <c r="DT34" s="84"/>
      <c r="DU34" s="84"/>
      <c r="DV34" s="84"/>
      <c r="DW34" s="84"/>
      <c r="DX34" s="84"/>
    </row>
    <row r="35" spans="1:131" x14ac:dyDescent="0.2">
      <c r="A35" s="8">
        <v>2028</v>
      </c>
      <c r="B35" s="50"/>
      <c r="C35" s="50"/>
      <c r="D35" s="50"/>
      <c r="E35" s="35">
        <v>6.0999999999999999E-2</v>
      </c>
      <c r="F35" s="16">
        <f>F34*(1+Table2[[#This Row],[2008 discount rate]])</f>
        <v>110.14106938745211</v>
      </c>
      <c r="G35" s="18">
        <v>6.0999999999999999E-2</v>
      </c>
      <c r="H35" s="16">
        <f>H34*(1+Table2[[#This Row],[2011 discount rate]])</f>
        <v>90.509665459036057</v>
      </c>
      <c r="I35" s="18">
        <v>5.1999999999999998E-2</v>
      </c>
      <c r="J35" s="16">
        <f>J34*(1+Table2[[#This Row],[2014 discount rate]])</f>
        <v>84.788236936860528</v>
      </c>
      <c r="K35" s="9">
        <v>5.3499999999999999E-2</v>
      </c>
      <c r="L35" s="18">
        <f t="shared" si="9"/>
        <v>0.20206765974709073</v>
      </c>
      <c r="M35" s="17">
        <f>Table2[[#This Row],[Annual benefit payments (closed scheme)]]/((1+L34)*(1+Table2[[#This Row],[Discount rate A1]])^0.5)+M34</f>
        <v>20.977503257247683</v>
      </c>
      <c r="N35" s="17">
        <f>N34*(1+Table2[Discount rate A1])</f>
        <v>78.041320241412947</v>
      </c>
      <c r="O35" s="17">
        <f>Table2[[#This Row],[Asset growth A1, under the assumption of full-funding at Year 0]]/(1+Table2[[#This Row],[Compounded CPI]])</f>
        <v>63.304940767576745</v>
      </c>
      <c r="P35" s="17">
        <f>(P34*((1+Table2[Discount rate A1])^0.5)-Table2[Annual benefit payments (closed scheme)])*(1+Table2[Discount rate A1])^0.5</f>
        <v>52.82494199363628</v>
      </c>
      <c r="Q35" s="17">
        <f>Table2[[#This Row],[Asset growth A1 with benefit payments deducted]]/(1+Table2[Compounded CPI])</f>
        <v>42.850118547626423</v>
      </c>
      <c r="R35" s="17">
        <f>Table2[[#This Row],[Asset growth A1 with benefit payments deducted]]/(1+Table2[Compounded discount rate A1])</f>
        <v>43.945065458919672</v>
      </c>
      <c r="S35" s="9">
        <v>5.11E-2</v>
      </c>
      <c r="T35" s="18">
        <f t="shared" si="8"/>
        <v>0.15341363077205905</v>
      </c>
      <c r="U35" s="17">
        <f>Table2[[#This Row],[Annual benefit payments (closed scheme)]]/((1+T34)*(1+Table2[[#This Row],[Discount rate A2]])^0.5)+U34</f>
        <v>21.308199575656616</v>
      </c>
      <c r="V35" s="17">
        <f>V34*(1+Table2[Discount rate A2])</f>
        <v>77.868460609583167</v>
      </c>
      <c r="W35" s="17">
        <f>Table2[[#This Row],[Asset growth A2, under the assumption of full-funding at Year 0]]/(1+Table2[Compounded CPI])</f>
        <v>63.164721858923755</v>
      </c>
      <c r="X35" s="17">
        <f>(X34*((1+Table2[Discount rate A2])^0.5)-Table2[Annual benefit payments (closed scheme)])*(1+Table2[Discount rate A2])^0.5</f>
        <v>53.291292771809452</v>
      </c>
      <c r="Y35" s="17">
        <f>Table2[[#This Row],[Asset growth A2 with benefit payments deducted]]/(1+Table2[[#This Row],[Compounded CPI]])</f>
        <v>43.22840928255814</v>
      </c>
      <c r="Z35" s="19">
        <f>Table2[[#This Row],[Asset growth A2 with benefit payments deducted]]/(1+Table2[Compounded discount rate A2])</f>
        <v>46.20310645725413</v>
      </c>
      <c r="AA35" s="35">
        <f t="shared" ref="AA35:AA74" si="16">CM35+2.8%</f>
        <v>5.3499999999999992E-2</v>
      </c>
      <c r="AB35" s="18">
        <f t="shared" si="10"/>
        <v>0.20206765974709073</v>
      </c>
      <c r="AC35" s="17">
        <f>Table2[[#This Row],[Annual benefit payments (closed scheme)]]/((1+AB34)*(1+Table2[[#This Row],[Discount rate B]])^0.5)+AC34</f>
        <v>20.977503257247683</v>
      </c>
      <c r="AD35" s="16">
        <f>AD34*(1+Table2[Discount rate B])</f>
        <v>72.12405958482546</v>
      </c>
      <c r="AE35" s="16">
        <f>Table2[[#This Row],[Asset growth B]]/(1+Table2[Compounded CPI])</f>
        <v>58.505024079688567</v>
      </c>
      <c r="AF35" s="17">
        <f>(AF34*((1+Table2[Discount rate B])^0.5)-Table2[Annual benefit payments (closed scheme)])*(1+Table2[Discount rate B])^0.5</f>
        <v>46.907681337048757</v>
      </c>
      <c r="AG35" s="17">
        <f>Table2[[#This Row],[Asset growth B with benefit payments deducted]]/(1+Table2[Compounded CPI])</f>
        <v>38.050201859738216</v>
      </c>
      <c r="AH35" s="19">
        <f>Table2[[#This Row],[Asset growth B with benefit payments deducted]]/(1+Table2[Compounded discount rate B])</f>
        <v>39.022496742752324</v>
      </c>
      <c r="AI35" s="11">
        <f>Table2[CPI]+4%</f>
        <v>6.5500000000000003E-2</v>
      </c>
      <c r="AJ35" s="18">
        <f t="shared" si="11"/>
        <v>0.412324566380883</v>
      </c>
      <c r="AK35" s="17">
        <f>Table2[[#This Row],[Annual benefit payments (closed scheme)]]/((1+AJ34)*(1+Table2[[#This Row],[Discount rate C]])^0.5)+AK34</f>
        <v>19.301956168244086</v>
      </c>
      <c r="AL35" s="17">
        <f>AL34*(1+Table2[Discount rate C])</f>
        <v>84.739473982852985</v>
      </c>
      <c r="AM35" s="17">
        <f>Table2[[#This Row],[Asset growth C]]/(1+Table2[Compounded CPI])</f>
        <v>68.738296130380732</v>
      </c>
      <c r="AN35" s="17">
        <f>(AN34*((1+Table2[Discount rate C])^0.5)-Table2[Annual benefit payments (closed scheme)])*(1+Table2[Discount rate C])^0.5</f>
        <v>57.47884710723482</v>
      </c>
      <c r="AO35" s="17">
        <f>Table2[[#This Row],[Asset growth C with benefit payments deducted]]/(1+Table2[Compounded CPI])</f>
        <v>46.625236480574195</v>
      </c>
      <c r="AP35" s="19">
        <f>Table2[[#This Row],[Asset growth C with benefit payments deducted]]/(1+Table2[Compounded discount rate C])</f>
        <v>40.698043831755896</v>
      </c>
      <c r="AQ35" s="11">
        <f>Table2[CPI]+3.54%</f>
        <v>6.0899999999999996E-2</v>
      </c>
      <c r="AR35" s="18">
        <f t="shared" si="12"/>
        <v>0.34566634465333212</v>
      </c>
      <c r="AS35" s="17">
        <f>Table2[[#This Row],[Annual benefit payments (closed scheme)]]/((1+AR34)*(1+Table2[[#This Row],[Discount rate D]])^0.5)+AS34</f>
        <v>19.632174329937698</v>
      </c>
      <c r="AT35" s="16">
        <f>AT34*(1+Table2[Discount rate D])</f>
        <v>80.739980679199931</v>
      </c>
      <c r="AU35" s="17">
        <f>Table2[[#This Row],[Asset growth D]]/(1+Table2[Compounded CPI])</f>
        <v>65.494018792364585</v>
      </c>
      <c r="AV35" s="17">
        <f>(AV34*((1+Table2[Discount rate D])^0.5)-Table2[Annual benefit payments (closed scheme)])*(1+Table2[Discount rate D])^0.5</f>
        <v>54.321624411035678</v>
      </c>
      <c r="AW35" s="17">
        <f>Table2[[#This Row],[Asset growth D with benefit payments deducted]]/(1+Table2[Compounded CPI])</f>
        <v>44.064185550699293</v>
      </c>
      <c r="AX35" s="19">
        <f>Table2[[#This Row],[Asset growth D with benefit payments deducted]]/(1+Table2[Compounded discount rate D])</f>
        <v>40.367825670062295</v>
      </c>
      <c r="AY35" s="11">
        <f>Table2[CPI]+4%</f>
        <v>6.5500000000000003E-2</v>
      </c>
      <c r="AZ35" s="18">
        <f t="shared" si="13"/>
        <v>0.412324566380883</v>
      </c>
      <c r="BA35" s="17">
        <f>Table2[[#This Row],[Annual benefit payments (closed scheme)]]/((1+AZ34)*(1+Table2[[#This Row],[Discount rate E]])^0.5)+BA34</f>
        <v>19.301956168244086</v>
      </c>
      <c r="BB35" s="17">
        <f>BB34*(1+Table2[Discount rate E])</f>
        <v>84.739473982852985</v>
      </c>
      <c r="BC35" s="16">
        <f>Table2[[#This Row],[Asset growth E]]/(1+Table2[Compounded CPI])</f>
        <v>68.738296130380732</v>
      </c>
      <c r="BD35" s="17">
        <f>(BD34*((1+Table2[Discount rate E])^0.5)-Table2[Annual benefit payments (closed scheme)])*(1+Table2[Discount rate E])^0.5</f>
        <v>57.47884710723482</v>
      </c>
      <c r="BE35" s="17">
        <f>Table2[[#This Row],[Asset growth E with benefit payments deducted]]/(1+Table2[Compounded CPI])</f>
        <v>46.625236480574195</v>
      </c>
      <c r="BF35" s="19">
        <f>Table2[[#This Row],[Asset growth E with benefit payments deducted]]/(1+Table2[Compounded discount rate E])</f>
        <v>40.698043831755896</v>
      </c>
      <c r="BG35" s="11">
        <f>Table2[[#This Row],[Long-dated forward gilt yields]]+0.75%</f>
        <v>3.1469999999999998E-2</v>
      </c>
      <c r="BH35" s="11">
        <f t="shared" si="14"/>
        <v>0.24478453219329133</v>
      </c>
      <c r="BI35" s="17">
        <f>((Table2[[#This Row],[Annual benefit payments (closed scheme)]])*1.005^(Table2[[#This Row],[Year]]-2018))/((1+BH34)*(1+Table2[[#This Row],[Discount rate F]])^0.5)+BI34</f>
        <v>21.17797493856888</v>
      </c>
      <c r="BJ35" s="17">
        <f>BJ34*(1+Table2[Discount rate F])</f>
        <v>102.49990872551409</v>
      </c>
      <c r="BK35" s="17">
        <f>Table2[[#This Row],[Asset growth F, under the assumption of full-funding at Year 0]]/(1+Table2[[#This Row],[Compounded CPI]])</f>
        <v>83.145065081912975</v>
      </c>
      <c r="BL35" s="17">
        <f>(BL34*((1+Table2[Discount rate F])^0.5)-Table2[Annual benefit payments (closed scheme)]*1.005^(Table2[Year]-2018))*(1+Table2[Discount rate F])^0.5</f>
        <v>76.137893098806387</v>
      </c>
      <c r="BM35" s="17">
        <f>Table2[[#This Row],[Asset growth F with benefit payments deducted]]/(1+Table2[Compounded CPI])</f>
        <v>61.760933796072891</v>
      </c>
      <c r="BN35" s="19">
        <f>Table2[[#This Row],[Asset growth F with benefit payments deducted]]/(1+Table2[Compounded discount rate F])</f>
        <v>61.165519919059875</v>
      </c>
      <c r="BO35" s="17"/>
      <c r="BP35" s="17"/>
      <c r="BQ35" s="17"/>
      <c r="BR35" s="17"/>
      <c r="BS35" s="17"/>
      <c r="BT35" s="17"/>
      <c r="BU35" s="17"/>
      <c r="BV35" s="17"/>
      <c r="BW35" s="17"/>
      <c r="BX35" s="17"/>
      <c r="BY35" s="17"/>
      <c r="BZ35" s="17"/>
      <c r="CA35" s="17">
        <f>(CA34*((1+Table2[Discount rate A2])^0.5)+Table2[Net cashflow (ongoing scheme)])*(1+Table2[Discount rate A2])^0.5</f>
        <v>70.988053005065879</v>
      </c>
      <c r="CB35" s="17">
        <f>Table2[[#This Row],[Asset growth, ongoing scheme, with November de-risking, net of contributions and payments]]/(1+Table2[Compounded discount rate A2])</f>
        <v>61.546050012907074</v>
      </c>
      <c r="CC35" s="17">
        <f>Table2[[#This Row],[Asset growth, ongoing scheme, with November de-risking, net of contributions and payments]]/(1+Table2[Compounded CPI])</f>
        <v>57.583527249281339</v>
      </c>
      <c r="CD35" s="17">
        <f>(CD34*((1+Table2[Discount rate A1])^0.5)+Table2[Net cashflow (ongoing scheme)])*(1+Table2[Discount rate A1])^0.5</f>
        <v>73.951007296598533</v>
      </c>
      <c r="CE35" s="17">
        <f>Table2[[#This Row],[Asset growth, ongoing scheme, with September de-risking, net of contributions and payments]]/(1+Table2[Compounded discount rate A1])</f>
        <v>61.51983767049974</v>
      </c>
      <c r="CF35" s="17">
        <f>Table2[[#This Row],[Asset growth, ongoing scheme, with September de-risking, net of contributions and payments]]/(1+Table2[Compounded CPI])</f>
        <v>59.98699307151864</v>
      </c>
      <c r="CG35" s="17">
        <f>(CG34*((1+Table2[Discount rate B])^0.5)+Table2[Net cashflow (ongoing scheme)])*(1+Table2[Discount rate B])^0.5</f>
        <v>73.951007296598533</v>
      </c>
      <c r="CH35" s="17">
        <f>Table2[[#This Row],[Asset growth, ongoing scheme, no de-risking, net of contributions and payments]]/(1+Table2[Compounded discount rate B])</f>
        <v>61.51983767049974</v>
      </c>
      <c r="CI35" s="17">
        <f>Table2[[#This Row],[Asset growth, ongoing scheme, no de-risking, net of contributions and payments]]/(1+Table2[Compounded CPI])</f>
        <v>59.98699307151864</v>
      </c>
      <c r="CJ35" s="17">
        <f>(CJ34*((1+Table2[Discount rate E])^0.5)+Table2[Net cashflow (ongoing scheme)])*(1+Table2[Discount rate E])^0.5</f>
        <v>86.700218437838387</v>
      </c>
      <c r="CK35" s="17">
        <f>Table2[[#This Row],[Asset growth, ongoing scheme, best-estimates, no de-risking, net of contributions and payments ]]/(1+Table2[Compounded discount rate E])</f>
        <v>61.388310096460238</v>
      </c>
      <c r="CL35" s="17">
        <f>Table2[[#This Row],[Asset growth, ongoing scheme, best-estimates, no de-risking, net of contributions and payments ]]/(1+Table2[Compounded CPI])</f>
        <v>70.328797305902071</v>
      </c>
      <c r="CM35" s="9">
        <v>2.5499999999999998E-2</v>
      </c>
      <c r="CN35" s="11">
        <f>(1+Table2[[#This Row],[CPI]])*(1+CN34)-1</f>
        <v>0.23278403383932744</v>
      </c>
      <c r="CO35" s="11">
        <f>'Gilt yields'!B17</f>
        <v>2.3970000000000002E-2</v>
      </c>
      <c r="CP35" s="11">
        <f t="shared" si="15"/>
        <v>4.5499999999999999E-2</v>
      </c>
      <c r="CQ35" s="26">
        <f>(1+Table2[[#This Row],[Salary growth]])*(1+CQ34)-1</f>
        <v>0.48288808273792516</v>
      </c>
      <c r="CR35" s="15">
        <f t="shared" si="5"/>
        <v>12.327840338393273</v>
      </c>
      <c r="CS35" s="17">
        <f t="shared" si="6"/>
        <v>16.026192439911259</v>
      </c>
      <c r="CT35" s="17">
        <f>CT34*(1+Table2[[#This Row],[Salary growth]])</f>
        <v>14.828880827379248</v>
      </c>
      <c r="CU35" s="19">
        <f t="shared" si="7"/>
        <v>19.277545075593032</v>
      </c>
      <c r="CV35" s="112">
        <f>('Cash flows as at 31032017'!B20)/1000000000</f>
        <v>2.39299302</v>
      </c>
      <c r="CW35" s="113">
        <v>0</v>
      </c>
      <c r="CX35" s="113">
        <f>Table2[[#This Row],[Annual contributions (closed scheme)]]-Table2[[#This Row],[Annual benefit payments (closed scheme)]]</f>
        <v>-2.39299302</v>
      </c>
      <c r="CY35" s="113">
        <v>2.85</v>
      </c>
      <c r="CZ35" s="113">
        <v>3</v>
      </c>
      <c r="DA35" s="113">
        <v>0.15</v>
      </c>
      <c r="DB35" s="17"/>
      <c r="DC35" s="84"/>
      <c r="DD35" s="84"/>
      <c r="DE35" s="84"/>
      <c r="DF35" s="84"/>
      <c r="DG35" s="84"/>
      <c r="DH35" s="84"/>
      <c r="DI35" s="84"/>
      <c r="DJ35" s="84"/>
      <c r="DK35" s="84"/>
      <c r="DL35" s="84"/>
      <c r="DM35" s="84"/>
      <c r="DN35" s="84"/>
      <c r="DO35" s="84"/>
      <c r="DP35" s="84"/>
      <c r="DQ35" s="84"/>
      <c r="DR35" s="84"/>
      <c r="DS35" s="84"/>
      <c r="DT35" s="84"/>
      <c r="DU35" s="84"/>
      <c r="DV35" s="84"/>
      <c r="DW35" s="84"/>
      <c r="DX35" s="84"/>
    </row>
    <row r="36" spans="1:131" x14ac:dyDescent="0.2">
      <c r="A36" s="8">
        <v>2029</v>
      </c>
      <c r="B36" s="50"/>
      <c r="C36" s="50"/>
      <c r="D36" s="50"/>
      <c r="E36" s="35">
        <v>6.0999999999999999E-2</v>
      </c>
      <c r="F36" s="16">
        <f>F35*(1+Table2[[#This Row],[2008 discount rate]])</f>
        <v>116.85967462008668</v>
      </c>
      <c r="G36" s="18">
        <v>6.0999999999999999E-2</v>
      </c>
      <c r="H36" s="16">
        <f>H35*(1+Table2[[#This Row],[2011 discount rate]])</f>
        <v>96.03075505203725</v>
      </c>
      <c r="I36" s="18">
        <v>5.1999999999999998E-2</v>
      </c>
      <c r="J36" s="16">
        <f>J35*(1+Table2[[#This Row],[2014 discount rate]])</f>
        <v>89.197225257577273</v>
      </c>
      <c r="K36" s="9">
        <v>5.3400000000000003E-2</v>
      </c>
      <c r="L36" s="18">
        <f t="shared" si="9"/>
        <v>0.26625807277758518</v>
      </c>
      <c r="M36" s="17">
        <f>Table2[[#This Row],[Annual benefit payments (closed scheme)]]/((1+L35)*(1+Table2[[#This Row],[Discount rate A1]])^0.5)+M35</f>
        <v>22.991487384264694</v>
      </c>
      <c r="N36" s="17">
        <f>N35*(1+Table2[Discount rate A1])</f>
        <v>82.208726742304393</v>
      </c>
      <c r="O36" s="17">
        <f>Table2[[#This Row],[Asset growth A1, under the assumption of full-funding at Year 0]]/(1+Table2[[#This Row],[Compounded CPI]])</f>
        <v>64.963881738495218</v>
      </c>
      <c r="P36" s="17">
        <f>(P35*((1+Table2[Discount rate A1])^0.5)-Table2[Annual benefit payments (closed scheme)])*(1+Table2[Discount rate A1])^0.5</f>
        <v>53.095570236815242</v>
      </c>
      <c r="Q36" s="17">
        <f>Table2[[#This Row],[Asset growth A1 with benefit payments deducted]]/(1+Table2[Compounded CPI])</f>
        <v>41.957763882109049</v>
      </c>
      <c r="R36" s="17">
        <f>Table2[[#This Row],[Asset growth A1 with benefit payments deducted]]/(1+Table2[Compounded discount rate A1])</f>
        <v>41.931081331902661</v>
      </c>
      <c r="S36" s="9">
        <v>5.1299999999999998E-2</v>
      </c>
      <c r="T36" s="18">
        <f t="shared" si="8"/>
        <v>0.21258375003066554</v>
      </c>
      <c r="U36" s="17">
        <f>Table2[[#This Row],[Annual benefit payments (closed scheme)]]/((1+T35)*(1+Table2[[#This Row],[Discount rate A2]])^0.5)+U35</f>
        <v>23.409234162845213</v>
      </c>
      <c r="V36" s="17">
        <f>V35*(1+Table2[Discount rate A2])</f>
        <v>81.863112638854773</v>
      </c>
      <c r="W36" s="17">
        <f>Table2[[#This Row],[Asset growth A2, under the assumption of full-funding at Year 0]]/(1+Table2[Compounded CPI])</f>
        <v>64.690766770858772</v>
      </c>
      <c r="X36" s="17">
        <f>(X35*((1+Table2[Discount rate A2])^0.5)-Table2[Annual benefit payments (closed scheme)])*(1+Table2[Discount rate A2])^0.5</f>
        <v>53.477455692325989</v>
      </c>
      <c r="Y36" s="17">
        <f>Table2[[#This Row],[Asset growth A2 with benefit payments deducted]]/(1+Table2[[#This Row],[Compounded CPI]])</f>
        <v>42.259541595407278</v>
      </c>
      <c r="Z36" s="19">
        <f>Table2[[#This Row],[Asset growth A2 with benefit payments deducted]]/(1+Table2[Compounded discount rate A2])</f>
        <v>44.102071870065529</v>
      </c>
      <c r="AA36" s="35">
        <f t="shared" si="16"/>
        <v>5.4499999999999993E-2</v>
      </c>
      <c r="AB36" s="18">
        <f t="shared" si="10"/>
        <v>0.26758034720330715</v>
      </c>
      <c r="AC36" s="17">
        <f>Table2[[#This Row],[Annual benefit payments (closed scheme)]]/((1+AB35)*(1+Table2[[#This Row],[Discount rate B]])^0.5)+AC35</f>
        <v>22.990436668008435</v>
      </c>
      <c r="AD36" s="16">
        <f>AD35*(1+Table2[Discount rate B])</f>
        <v>76.054820832198445</v>
      </c>
      <c r="AE36" s="16">
        <f>Table2[[#This Row],[Asset growth B]]/(1+Table2[Compounded CPI])</f>
        <v>60.100874712159367</v>
      </c>
      <c r="AF36" s="17">
        <f>(AF35*((1+Table2[Discount rate B])^0.5)-Table2[Annual benefit payments (closed scheme)])*(1+Table2[Discount rate B])^0.5</f>
        <v>46.912595138208665</v>
      </c>
      <c r="AG36" s="17">
        <f>Table2[[#This Row],[Asset growth B with benefit payments deducted]]/(1+Table2[Compounded CPI])</f>
        <v>37.071785482795875</v>
      </c>
      <c r="AH36" s="19">
        <f>Table2[[#This Row],[Asset growth B with benefit payments deducted]]/(1+Table2[Compounded discount rate B])</f>
        <v>37.009563331991572</v>
      </c>
      <c r="AI36" s="11">
        <f>Table2[CPI]+3.84%</f>
        <v>6.4899999999999999E-2</v>
      </c>
      <c r="AJ36" s="18">
        <f t="shared" si="11"/>
        <v>0.50398443073900223</v>
      </c>
      <c r="AK36" s="17">
        <f>Table2[[#This Row],[Annual benefit payments (closed scheme)]]/((1+AJ35)*(1+Table2[[#This Row],[Discount rate C]])^0.5)+AK35</f>
        <v>21.006831734254899</v>
      </c>
      <c r="AL36" s="17">
        <f>AL35*(1+Table2[Discount rate C])</f>
        <v>90.239065844340146</v>
      </c>
      <c r="AM36" s="17">
        <f>Table2[[#This Row],[Asset growth C]]/(1+Table2[Compounded CPI])</f>
        <v>71.309704383090533</v>
      </c>
      <c r="AN36" s="17">
        <f>(AN35*((1+Table2[Discount rate C])^0.5)-Table2[Annual benefit payments (closed scheme)])*(1+Table2[Discount rate C])^0.5</f>
        <v>58.64511797686675</v>
      </c>
      <c r="AO36" s="17">
        <f>Table2[[#This Row],[Asset growth C with benefit payments deducted]]/(1+Table2[Compounded CPI])</f>
        <v>46.343188366506482</v>
      </c>
      <c r="AP36" s="19">
        <f>Table2[[#This Row],[Asset growth C with benefit payments deducted]]/(1+Table2[Compounded discount rate C])</f>
        <v>38.993168265745084</v>
      </c>
      <c r="AQ36" s="11">
        <f>Table2[CPI]+3.43%</f>
        <v>6.0800000000000007E-2</v>
      </c>
      <c r="AR36" s="18">
        <f t="shared" si="12"/>
        <v>0.42748285840825462</v>
      </c>
      <c r="AS36" s="17">
        <f>Table2[[#This Row],[Annual benefit payments (closed scheme)]]/((1+AR35)*(1+Table2[[#This Row],[Discount rate D]])^0.5)+AS35</f>
        <v>21.424956264300587</v>
      </c>
      <c r="AT36" s="16">
        <f>AT35*(1+Table2[Discount rate D])</f>
        <v>85.648971504495279</v>
      </c>
      <c r="AU36" s="17">
        <f>Table2[[#This Row],[Asset growth D]]/(1+Table2[Compounded CPI])</f>
        <v>67.682469688202971</v>
      </c>
      <c r="AV36" s="17">
        <f>(AV35*((1+Table2[Discount rate D])^0.5)-Table2[Annual benefit payments (closed scheme)])*(1+Table2[Discount rate D])^0.5</f>
        <v>55.065213695059633</v>
      </c>
      <c r="AW36" s="17">
        <f>Table2[[#This Row],[Asset growth D with benefit payments deducted]]/(1+Table2[Compounded CPI])</f>
        <v>43.51423713937632</v>
      </c>
      <c r="AX36" s="19">
        <f>Table2[[#This Row],[Asset growth D with benefit payments deducted]]/(1+Table2[Compounded discount rate D])</f>
        <v>38.57504373569941</v>
      </c>
      <c r="AY36" s="11">
        <f>Table2[CPI]+4%</f>
        <v>6.6500000000000004E-2</v>
      </c>
      <c r="AZ36" s="18">
        <f t="shared" si="13"/>
        <v>0.50624415004521173</v>
      </c>
      <c r="BA36" s="17">
        <f>Table2[[#This Row],[Annual benefit payments (closed scheme)]]/((1+AZ35)*(1+Table2[[#This Row],[Discount rate E]])^0.5)+BA35</f>
        <v>21.005552397752805</v>
      </c>
      <c r="BB36" s="17">
        <f>BB35*(1+Table2[Discount rate E])</f>
        <v>90.374649002712715</v>
      </c>
      <c r="BC36" s="16">
        <f>Table2[[#This Row],[Asset growth E]]/(1+Table2[Compounded CPI])</f>
        <v>71.416846393620119</v>
      </c>
      <c r="BD36" s="17">
        <f>(BD35*((1+Table2[Discount rate E])^0.5)-Table2[Annual benefit payments (closed scheme)])*(1+Table2[Discount rate E])^0.5</f>
        <v>58.735158585129348</v>
      </c>
      <c r="BE36" s="17">
        <f>Table2[[#This Row],[Asset growth E with benefit payments deducted]]/(1+Table2[Compounded CPI])</f>
        <v>46.414341243562582</v>
      </c>
      <c r="BF36" s="19">
        <f>Table2[[#This Row],[Asset growth E with benefit payments deducted]]/(1+Table2[Compounded discount rate E])</f>
        <v>38.994447602247178</v>
      </c>
      <c r="BG36" s="11">
        <f>Table2[[#This Row],[Long-dated forward gilt yields]]+0.75%</f>
        <v>3.2410000000000001E-2</v>
      </c>
      <c r="BH36" s="11">
        <f t="shared" si="14"/>
        <v>0.28512799888167595</v>
      </c>
      <c r="BI36" s="17">
        <f>((Table2[[#This Row],[Annual benefit payments (closed scheme)]])*1.005^(Table2[[#This Row],[Year]]-2018))/((1+BH35)*(1+Table2[[#This Row],[Discount rate F]])^0.5)+BI35</f>
        <v>23.253308973704033</v>
      </c>
      <c r="BJ36" s="17">
        <f>BJ35*(1+Table2[Discount rate F])</f>
        <v>105.821930767308</v>
      </c>
      <c r="BK36" s="17">
        <f>Table2[[#This Row],[Asset growth F, under the assumption of full-funding at Year 0]]/(1+Table2[[#This Row],[Compounded CPI]])</f>
        <v>83.623766820475183</v>
      </c>
      <c r="BL36" s="17">
        <f>(BL35*((1+Table2[Discount rate F])^0.5)-Table2[Annual benefit payments (closed scheme)]*1.005^(Table2[Year]-2018))*(1+Table2[Discount rate F])^0.5</f>
        <v>75.938452338554427</v>
      </c>
      <c r="BM36" s="17">
        <f>Table2[[#This Row],[Asset growth F with benefit payments deducted]]/(1+Table2[Compounded CPI])</f>
        <v>60.00891672474431</v>
      </c>
      <c r="BN36" s="19">
        <f>Table2[[#This Row],[Asset growth F with benefit payments deducted]]/(1+Table2[Compounded discount rate F])</f>
        <v>59.090185883924718</v>
      </c>
      <c r="BO36" s="17"/>
      <c r="BP36" s="17"/>
      <c r="BQ36" s="17"/>
      <c r="BR36" s="17"/>
      <c r="BS36" s="17"/>
      <c r="BT36" s="17"/>
      <c r="BU36" s="17"/>
      <c r="BV36" s="17"/>
      <c r="BW36" s="17"/>
      <c r="BX36" s="17"/>
      <c r="BY36" s="17"/>
      <c r="BZ36" s="17"/>
      <c r="CA36" s="17">
        <f>(CA35*((1+Table2[Discount rate A2])^0.5)+Table2[Net cashflow (ongoing scheme)])*(1+Table2[Discount rate A2])^0.5</f>
        <v>74.783539506539213</v>
      </c>
      <c r="CB36" s="17">
        <f>Table2[[#This Row],[Asset growth, ongoing scheme, with November de-risking, net of contributions and payments]]/(1+Table2[Compounded discount rate A2])</f>
        <v>61.672886103453045</v>
      </c>
      <c r="CC36" s="17">
        <f>Table2[[#This Row],[Asset growth, ongoing scheme, with November de-risking, net of contributions and payments]]/(1+Table2[Compounded CPI])</f>
        <v>59.096268839167735</v>
      </c>
      <c r="CD36" s="17">
        <f>(CD35*((1+Table2[Discount rate A1])^0.5)+Table2[Net cashflow (ongoing scheme)])*(1+Table2[Discount rate A1])^0.5</f>
        <v>78.053944001116733</v>
      </c>
      <c r="CE36" s="17">
        <f>Table2[[#This Row],[Asset growth, ongoing scheme, with September de-risking, net of contributions and payments]]/(1+Table2[Compounded discount rate A1])</f>
        <v>61.641418664287322</v>
      </c>
      <c r="CF36" s="17">
        <f>Table2[[#This Row],[Asset growth, ongoing scheme, with September de-risking, net of contributions and payments]]/(1+Table2[Compounded CPI])</f>
        <v>61.680643749738472</v>
      </c>
      <c r="CG36" s="17">
        <f>(CG35*((1+Table2[Discount rate B])^0.5)+Table2[Net cashflow (ongoing scheme)])*(1+Table2[Discount rate B])^0.5</f>
        <v>78.135370469888926</v>
      </c>
      <c r="CH36" s="17">
        <f>Table2[[#This Row],[Asset growth, ongoing scheme, no de-risking, net of contributions and payments]]/(1+Table2[Compounded discount rate B])</f>
        <v>61.641355234231</v>
      </c>
      <c r="CI36" s="17">
        <f>Table2[[#This Row],[Asset growth, ongoing scheme, no de-risking, net of contributions and payments]]/(1+Table2[Compounded CPI])</f>
        <v>61.744989467003762</v>
      </c>
      <c r="CJ36" s="17">
        <f>(CJ35*((1+Table2[Discount rate E])^0.5)+Table2[Net cashflow (ongoing scheme)])*(1+Table2[Discount rate E])^0.5</f>
        <v>92.620690194257179</v>
      </c>
      <c r="CK36" s="17">
        <f>Table2[[#This Row],[Asset growth, ongoing scheme, best-estimates, no de-risking, net of contributions and payments ]]/(1+Table2[Compounded discount rate E])</f>
        <v>61.49115347035675</v>
      </c>
      <c r="CL36" s="17">
        <f>Table2[[#This Row],[Asset growth, ongoing scheme, best-estimates, no de-risking, net of contributions and payments ]]/(1+Table2[Compounded CPI])</f>
        <v>73.191737699316477</v>
      </c>
      <c r="CM36" s="9">
        <v>2.6499999999999999E-2</v>
      </c>
      <c r="CN36" s="11">
        <f>(1+Table2[[#This Row],[CPI]])*(1+CN35)-1</f>
        <v>0.26545281073606963</v>
      </c>
      <c r="CO36" s="11">
        <f>'Gilt yields'!B18</f>
        <v>2.4910000000000002E-2</v>
      </c>
      <c r="CP36" s="11">
        <f t="shared" si="15"/>
        <v>4.65E-2</v>
      </c>
      <c r="CQ36" s="26">
        <f>(1+Table2[[#This Row],[Salary growth]])*(1+CQ35)-1</f>
        <v>0.55184237858523866</v>
      </c>
      <c r="CR36" s="15">
        <f t="shared" si="5"/>
        <v>12.654528107360694</v>
      </c>
      <c r="CS36" s="17">
        <f t="shared" si="6"/>
        <v>16.450886539568906</v>
      </c>
      <c r="CT36" s="17">
        <f>CT35*(1+Table2[[#This Row],[Salary growth]])</f>
        <v>15.518423785852383</v>
      </c>
      <c r="CU36" s="19">
        <f t="shared" si="7"/>
        <v>20.173950921608107</v>
      </c>
      <c r="CV36" s="112">
        <f>('Cash flows as at 31032017'!B21)/1000000000</f>
        <v>2.4847437879999998</v>
      </c>
      <c r="CW36" s="113">
        <v>0</v>
      </c>
      <c r="CX36" s="113">
        <f>Table2[[#This Row],[Annual contributions (closed scheme)]]-Table2[[#This Row],[Annual benefit payments (closed scheme)]]</f>
        <v>-2.4847437879999998</v>
      </c>
      <c r="CY36" s="113">
        <v>2.95</v>
      </c>
      <c r="CZ36" s="113">
        <v>3.1</v>
      </c>
      <c r="DA36" s="113">
        <v>0.15</v>
      </c>
      <c r="DB36" s="17"/>
      <c r="DC36" s="84"/>
      <c r="DD36" s="84"/>
      <c r="DE36" s="84"/>
      <c r="DF36" s="84"/>
      <c r="DG36" s="84"/>
      <c r="DH36" s="84"/>
      <c r="DI36" s="84"/>
      <c r="DJ36" s="84"/>
      <c r="DK36" s="84"/>
      <c r="DL36" s="84"/>
      <c r="DM36" s="84"/>
      <c r="DN36" s="84"/>
      <c r="DO36" s="84"/>
      <c r="DP36" s="84"/>
      <c r="DQ36" s="84"/>
      <c r="DR36" s="84"/>
      <c r="DS36" s="84"/>
      <c r="DT36" s="84"/>
      <c r="DU36" s="84"/>
      <c r="DV36" s="84"/>
      <c r="DW36" s="84"/>
      <c r="DX36" s="84"/>
    </row>
    <row r="37" spans="1:131" x14ac:dyDescent="0.2">
      <c r="A37" s="8">
        <v>2030</v>
      </c>
      <c r="B37" s="50"/>
      <c r="C37" s="50"/>
      <c r="D37" s="50"/>
      <c r="E37" s="35">
        <v>6.0999999999999999E-2</v>
      </c>
      <c r="F37" s="16">
        <f>F36*(1+Table2[[#This Row],[2008 discount rate]])</f>
        <v>123.98811477191197</v>
      </c>
      <c r="G37" s="18">
        <v>6.0999999999999999E-2</v>
      </c>
      <c r="H37" s="16">
        <f>H36*(1+Table2[[#This Row],[2011 discount rate]])</f>
        <v>101.88863111021152</v>
      </c>
      <c r="I37" s="18">
        <v>5.1999999999999998E-2</v>
      </c>
      <c r="J37" s="16">
        <f>J36*(1+Table2[[#This Row],[2014 discount rate]])</f>
        <v>93.83548097097129</v>
      </c>
      <c r="K37" s="9">
        <v>5.3199999999999997E-2</v>
      </c>
      <c r="L37" s="18">
        <f t="shared" si="9"/>
        <v>0.33362300224935271</v>
      </c>
      <c r="M37" s="17">
        <f>Table2[[#This Row],[Annual benefit payments (closed scheme)]]/((1+L36)*(1+Table2[[#This Row],[Discount rate A1]])^0.5)+M36</f>
        <v>24.967439650282085</v>
      </c>
      <c r="N37" s="17">
        <f>N36*(1+Table2[Discount rate A1])</f>
        <v>86.582231004994981</v>
      </c>
      <c r="O37" s="17">
        <f>Table2[[#This Row],[Asset growth A1, under the assumption of full-funding at Year 0]]/(1+Table2[[#This Row],[Compounded CPI]])</f>
        <v>66.595250386395904</v>
      </c>
      <c r="P37" s="17">
        <f>(P36*((1+Table2[Discount rate A1])^0.5)-Table2[Annual benefit payments (closed scheme)])*(1+Table2[Discount rate A1])^0.5</f>
        <v>53.285079180106273</v>
      </c>
      <c r="Q37" s="17">
        <f>Table2[[#This Row],[Asset growth A1 with benefit payments deducted]]/(1+Table2[Compounded CPI])</f>
        <v>40.984543233280647</v>
      </c>
      <c r="R37" s="17">
        <f>Table2[[#This Row],[Asset growth A1 with benefit payments deducted]]/(1+Table2[Compounded discount rate A1])</f>
        <v>39.955129065885259</v>
      </c>
      <c r="S37" s="9">
        <v>5.1200000000000002E-2</v>
      </c>
      <c r="T37" s="18">
        <f t="shared" si="8"/>
        <v>0.2746680380322355</v>
      </c>
      <c r="U37" s="17">
        <f>Table2[[#This Row],[Annual benefit payments (closed scheme)]]/((1+T36)*(1+Table2[[#This Row],[Discount rate A2]])^0.5)+U36</f>
        <v>25.474612802835725</v>
      </c>
      <c r="V37" s="17">
        <f>V36*(1+Table2[Discount rate A2])</f>
        <v>86.054504005964134</v>
      </c>
      <c r="W37" s="17">
        <f>Table2[[#This Row],[Asset growth A2, under the assumption of full-funding at Year 0]]/(1+Table2[Compounded CPI])</f>
        <v>66.189345950483499</v>
      </c>
      <c r="X37" s="17">
        <f>(X36*((1+Table2[Discount rate A2])^0.5)-Table2[Annual benefit payments (closed scheme)])*(1+Table2[Discount rate A2])^0.5</f>
        <v>53.582829284942669</v>
      </c>
      <c r="Y37" s="17">
        <f>Table2[[#This Row],[Asset growth A2 with benefit payments deducted]]/(1+Table2[[#This Row],[Compounded CPI]])</f>
        <v>41.213559540137091</v>
      </c>
      <c r="Z37" s="19">
        <f>Table2[[#This Row],[Asset growth A2 with benefit payments deducted]]/(1+Table2[Compounded discount rate A2])</f>
        <v>42.036693230075009</v>
      </c>
      <c r="AA37" s="35">
        <f t="shared" si="16"/>
        <v>5.5399999999999998E-2</v>
      </c>
      <c r="AB37" s="18">
        <f t="shared" si="10"/>
        <v>0.33780429843837023</v>
      </c>
      <c r="AC37" s="17">
        <f>Table2[[#This Row],[Annual benefit payments (closed scheme)]]/((1+AB36)*(1+Table2[[#This Row],[Discount rate B]])^0.5)+AC36</f>
        <v>24.962269343878194</v>
      </c>
      <c r="AD37" s="16">
        <f>AD36*(1+Table2[Discount rate B])</f>
        <v>80.268257906302225</v>
      </c>
      <c r="AE37" s="16">
        <f>Table2[[#This Row],[Asset growth B]]/(1+Table2[Compounded CPI])</f>
        <v>61.73881951646193</v>
      </c>
      <c r="AF37" s="17">
        <f>(AF36*((1+Table2[Discount rate B])^0.5)-Table2[Annual benefit payments (closed scheme)])*(1+Table2[Discount rate B])^0.5</f>
        <v>46.873626679285621</v>
      </c>
      <c r="AG37" s="17">
        <f>Table2[[#This Row],[Asset growth B with benefit payments deducted]]/(1+Table2[Compounded CPI])</f>
        <v>36.053135487411829</v>
      </c>
      <c r="AH37" s="19">
        <f>Table2[[#This Row],[Asset growth B with benefit payments deducted]]/(1+Table2[Compounded discount rate B])</f>
        <v>35.037730656121816</v>
      </c>
      <c r="AI37" s="11">
        <f>Table2[CPI]+3.68%</f>
        <v>6.4200000000000007E-2</v>
      </c>
      <c r="AJ37" s="18">
        <f t="shared" si="11"/>
        <v>0.60054023119244615</v>
      </c>
      <c r="AK37" s="17">
        <f>Table2[[#This Row],[Annual benefit payments (closed scheme)]]/((1+AJ36)*(1+Table2[[#This Row],[Discount rate C]])^0.5)+AK36</f>
        <v>22.661836061079747</v>
      </c>
      <c r="AL37" s="17">
        <f>AL36*(1+Table2[Discount rate C])</f>
        <v>96.032413871546794</v>
      </c>
      <c r="AM37" s="17">
        <f>Table2[[#This Row],[Asset growth C]]/(1+Table2[Compounded CPI])</f>
        <v>73.863916103255747</v>
      </c>
      <c r="AN37" s="17">
        <f>(AN36*((1+Table2[Discount rate C])^0.5)-Table2[Annual benefit payments (closed scheme)])*(1+Table2[Discount rate C])^0.5</f>
        <v>59.761233543100865</v>
      </c>
      <c r="AO37" s="17">
        <f>Table2[[#This Row],[Asset growth C with benefit payments deducted]]/(1+Table2[Compounded CPI])</f>
        <v>45.965716810566889</v>
      </c>
      <c r="AP37" s="19">
        <f>Table2[[#This Row],[Asset growth C with benefit payments deducted]]/(1+Table2[Compounded discount rate C])</f>
        <v>37.338163938920246</v>
      </c>
      <c r="AQ37" s="11">
        <f>Table2[CPI]+3.32%</f>
        <v>6.0600000000000001E-2</v>
      </c>
      <c r="AR37" s="18">
        <f t="shared" si="12"/>
        <v>0.51398831962779479</v>
      </c>
      <c r="AS37" s="17">
        <f>Table2[[#This Row],[Annual benefit payments (closed scheme)]]/((1+AR36)*(1+Table2[[#This Row],[Discount rate D]])^0.5)+AS36</f>
        <v>23.171612296423564</v>
      </c>
      <c r="AT37" s="16">
        <f>AT36*(1+Table2[Discount rate D])</f>
        <v>90.839299177667698</v>
      </c>
      <c r="AU37" s="17">
        <f>Table2[[#This Row],[Asset growth D]]/(1+Table2[Compounded CPI])</f>
        <v>69.869600303005711</v>
      </c>
      <c r="AV37" s="17">
        <f>(AV36*((1+Table2[Discount rate D])^0.5)-Table2[Annual benefit payments (closed scheme)])*(1+Table2[Discount rate D])^0.5</f>
        <v>55.757748813938633</v>
      </c>
      <c r="AW37" s="17">
        <f>Table2[[#This Row],[Asset growth D with benefit payments deducted]]/(1+Table2[Compounded CPI])</f>
        <v>42.886412144216933</v>
      </c>
      <c r="AX37" s="19">
        <f>Table2[[#This Row],[Asset growth D with benefit payments deducted]]/(1+Table2[Compounded discount rate D])</f>
        <v>36.828387703576439</v>
      </c>
      <c r="AY37" s="11">
        <f>Table2[CPI]+4%</f>
        <v>6.7400000000000002E-2</v>
      </c>
      <c r="AZ37" s="18">
        <f t="shared" si="13"/>
        <v>0.60776500575825887</v>
      </c>
      <c r="BA37" s="17">
        <f>Table2[[#This Row],[Annual benefit payments (closed scheme)]]/((1+AZ36)*(1+Table2[[#This Row],[Discount rate E]])^0.5)+BA36</f>
        <v>22.65559489165739</v>
      </c>
      <c r="BB37" s="17">
        <f>BB36*(1+Table2[Discount rate E])</f>
        <v>96.465900345495541</v>
      </c>
      <c r="BC37" s="16">
        <f>Table2[[#This Row],[Asset growth E]]/(1+Table2[Compounded CPI])</f>
        <v>74.197334865242453</v>
      </c>
      <c r="BD37" s="17">
        <f>(BD36*((1+Table2[Discount rate E])^0.5)-Table2[Annual benefit payments (closed scheme)])*(1+Table2[Discount rate E])^0.5</f>
        <v>60.041027694053184</v>
      </c>
      <c r="BE37" s="17">
        <f>Table2[[#This Row],[Asset growth E with benefit payments deducted]]/(1+Table2[Compounded CPI])</f>
        <v>46.180922186116106</v>
      </c>
      <c r="BF37" s="19">
        <f>Table2[[#This Row],[Asset growth E with benefit payments deducted]]/(1+Table2[Compounded discount rate E])</f>
        <v>37.344405108342592</v>
      </c>
      <c r="BG37" s="11">
        <f>Table2[[#This Row],[Long-dated forward gilt yields]]+0.75%</f>
        <v>3.3079999999999998E-2</v>
      </c>
      <c r="BH37" s="11">
        <f t="shared" si="14"/>
        <v>0.32764003308468181</v>
      </c>
      <c r="BI37" s="17">
        <f>((Table2[[#This Row],[Annual benefit payments (closed scheme)]])*1.005^(Table2[[#This Row],[Year]]-2018))/((1+BH36)*(1+Table2[[#This Row],[Discount rate F]])^0.5)+BI36</f>
        <v>25.340361982657086</v>
      </c>
      <c r="BJ37" s="17">
        <f>BJ36*(1+Table2[Discount rate F])</f>
        <v>109.32252023709056</v>
      </c>
      <c r="BK37" s="17">
        <f>Table2[[#This Row],[Asset growth F, under the assumption of full-funding at Year 0]]/(1+Table2[[#This Row],[Compounded CPI]])</f>
        <v>84.086082369959612</v>
      </c>
      <c r="BL37" s="17">
        <f>(BL36*((1+Table2[Discount rate F])^0.5)-Table2[Annual benefit payments (closed scheme)]*1.005^(Table2[Year]-2018))*(1+Table2[Discount rate F])^0.5</f>
        <v>75.679641216057888</v>
      </c>
      <c r="BM37" s="17">
        <f>Table2[[#This Row],[Asset growth F with benefit payments deducted]]/(1+Table2[Compounded CPI])</f>
        <v>58.209457037959986</v>
      </c>
      <c r="BN37" s="19">
        <f>Table2[[#This Row],[Asset growth F with benefit payments deducted]]/(1+Table2[Compounded discount rate F])</f>
        <v>57.003132874971662</v>
      </c>
      <c r="BO37" s="17"/>
      <c r="BP37" s="17"/>
      <c r="BQ37" s="17"/>
      <c r="BR37" s="17"/>
      <c r="BS37" s="17"/>
      <c r="BT37" s="17"/>
      <c r="BU37" s="17"/>
      <c r="BV37" s="17"/>
      <c r="BW37" s="17"/>
      <c r="BX37" s="17"/>
      <c r="BY37" s="17"/>
      <c r="BZ37" s="17"/>
      <c r="CA37" s="17">
        <f>(CA36*((1+Table2[Discount rate A2])^0.5)+Table2[Net cashflow (ongoing scheme)])*(1+Table2[Discount rate A2])^0.5</f>
        <v>78.786754405678479</v>
      </c>
      <c r="CB37" s="17">
        <f>Table2[[#This Row],[Asset growth, ongoing scheme, with November de-risking, net of contributions and payments]]/(1+Table2[Compounded discount rate A2])</f>
        <v>61.809625765234742</v>
      </c>
      <c r="CC37" s="17">
        <f>Table2[[#This Row],[Asset growth, ongoing scheme, with November de-risking, net of contributions and payments]]/(1+Table2[Compounded CPI])</f>
        <v>60.599312074494208</v>
      </c>
      <c r="CD37" s="17">
        <f>(CD36*((1+Table2[Discount rate A1])^0.5)+Table2[Net cashflow (ongoing scheme)])*(1+Table2[Discount rate A1])^0.5</f>
        <v>82.3808772278812</v>
      </c>
      <c r="CE37" s="17">
        <f>Table2[[#This Row],[Asset growth, ongoing scheme, with September de-risking, net of contributions and payments]]/(1+Table2[Compounded discount rate A1])</f>
        <v>61.77223779803861</v>
      </c>
      <c r="CF37" s="17">
        <f>Table2[[#This Row],[Asset growth, ongoing scheme, with September de-risking, net of contributions and payments]]/(1+Table2[Compounded CPI])</f>
        <v>63.363753536510146</v>
      </c>
      <c r="CG37" s="17">
        <f>(CG36*((1+Table2[Discount rate B])^0.5)+Table2[Net cashflow (ongoing scheme)])*(1+Table2[Discount rate B])^0.5</f>
        <v>82.638715520631294</v>
      </c>
      <c r="CH37" s="17">
        <f>Table2[[#This Row],[Asset growth, ongoing scheme, no de-risking, net of contributions and payments]]/(1+Table2[Compounded discount rate B])</f>
        <v>61.771901627985599</v>
      </c>
      <c r="CI37" s="17">
        <f>Table2[[#This Row],[Asset growth, ongoing scheme, no de-risking, net of contributions and payments]]/(1+Table2[Compounded CPI])</f>
        <v>63.562071429980719</v>
      </c>
      <c r="CJ37" s="17">
        <f>(CJ36*((1+Table2[Discount rate E])^0.5)+Table2[Net cashflow (ongoing scheme)])*(1+Table2[Discount rate E])^0.5</f>
        <v>99.038960301998884</v>
      </c>
      <c r="CK37" s="17">
        <f>Table2[[#This Row],[Asset growth, ongoing scheme, best-estimates, no de-risking, net of contributions and payments ]]/(1+Table2[Compounded discount rate E])</f>
        <v>61.600395547413868</v>
      </c>
      <c r="CL37" s="17">
        <f>Table2[[#This Row],[Asset growth, ongoing scheme, best-estimates, no de-risking, net of contributions and payments ]]/(1+Table2[Compounded CPI])</f>
        <v>76.176419604380953</v>
      </c>
      <c r="CM37" s="9">
        <v>2.7400000000000001E-2</v>
      </c>
      <c r="CN37" s="11">
        <f>(1+Table2[[#This Row],[CPI]])*(1+CN36)-1</f>
        <v>0.30012621775023796</v>
      </c>
      <c r="CO37" s="11">
        <f>'Gilt yields'!B19</f>
        <v>2.5579999999999999E-2</v>
      </c>
      <c r="CP37" s="11">
        <f t="shared" si="15"/>
        <v>4.7399999999999998E-2</v>
      </c>
      <c r="CQ37" s="26">
        <f>(1+Table2[[#This Row],[Salary growth]])*(1+CQ36)-1</f>
        <v>0.62539970733017913</v>
      </c>
      <c r="CR37" s="15">
        <f t="shared" si="5"/>
        <v>13.001262177502378</v>
      </c>
      <c r="CS37" s="17">
        <f t="shared" si="6"/>
        <v>16.901640830753095</v>
      </c>
      <c r="CT37" s="17">
        <f>CT36*(1+Table2[[#This Row],[Salary growth]])</f>
        <v>16.253997073301786</v>
      </c>
      <c r="CU37" s="19">
        <f t="shared" si="7"/>
        <v>21.130196195292335</v>
      </c>
      <c r="CV37" s="112">
        <f>('Cash flows as at 31032017'!B22)/1000000000</f>
        <v>2.5677580610000001</v>
      </c>
      <c r="CW37" s="113">
        <v>0</v>
      </c>
      <c r="CX37" s="113">
        <f>Table2[[#This Row],[Annual contributions (closed scheme)]]-Table2[[#This Row],[Annual benefit payments (closed scheme)]]</f>
        <v>-2.5677580610000001</v>
      </c>
      <c r="CY37" s="113">
        <v>3.0300000000000002</v>
      </c>
      <c r="CZ37" s="113">
        <v>3.2</v>
      </c>
      <c r="DA37" s="113">
        <v>0.17</v>
      </c>
      <c r="DB37" s="17"/>
      <c r="DC37" s="84"/>
      <c r="DD37" s="84"/>
      <c r="DE37" s="84"/>
      <c r="DF37" s="84"/>
      <c r="DG37" s="84"/>
      <c r="DH37" s="84"/>
      <c r="DI37" s="84"/>
      <c r="DJ37" s="84"/>
      <c r="DK37" s="84"/>
      <c r="DL37" s="84"/>
      <c r="DM37" s="84"/>
      <c r="DN37" s="84"/>
      <c r="DO37" s="84"/>
      <c r="DP37" s="84"/>
      <c r="DQ37" s="84"/>
      <c r="DR37" s="84"/>
      <c r="DS37" s="84"/>
      <c r="DT37" s="84"/>
      <c r="DU37" s="84"/>
      <c r="DV37" s="84"/>
      <c r="DW37" s="84"/>
      <c r="DX37" s="84"/>
    </row>
    <row r="38" spans="1:131" x14ac:dyDescent="0.2">
      <c r="A38" s="8">
        <v>2031</v>
      </c>
      <c r="B38" s="50"/>
      <c r="C38" s="50"/>
      <c r="D38" s="50"/>
      <c r="E38" s="35">
        <v>6.0999999999999999E-2</v>
      </c>
      <c r="F38" s="16">
        <f>F37*(1+Table2[[#This Row],[2008 discount rate]])</f>
        <v>131.55138977299859</v>
      </c>
      <c r="G38" s="18">
        <v>6.0999999999999999E-2</v>
      </c>
      <c r="H38" s="16">
        <f>H37*(1+Table2[[#This Row],[2011 discount rate]])</f>
        <v>108.10383760793442</v>
      </c>
      <c r="I38" s="18">
        <v>5.1999999999999998E-2</v>
      </c>
      <c r="J38" s="16">
        <f>J37*(1+Table2[[#This Row],[2014 discount rate]])</f>
        <v>98.714925981461803</v>
      </c>
      <c r="K38" s="9">
        <v>5.2699999999999997E-2</v>
      </c>
      <c r="L38" s="18">
        <f t="shared" si="9"/>
        <v>0.40390493446789355</v>
      </c>
      <c r="M38" s="17">
        <f>Table2[[#This Row],[Annual benefit payments (closed scheme)]]/((1+L37)*(1+Table2[[#This Row],[Discount rate A1]])^0.5)+M37</f>
        <v>26.905002058955635</v>
      </c>
      <c r="N38" s="17">
        <f>N37*(1+Table2[Discount rate A1])</f>
        <v>91.145114578958214</v>
      </c>
      <c r="O38" s="17">
        <f>Table2[[#This Row],[Asset growth A1, under the assumption of full-funding at Year 0]]/(1+Table2[[#This Row],[Compounded CPI]])</f>
        <v>68.195350274084603</v>
      </c>
      <c r="P38" s="17">
        <f>(P37*((1+Table2[Discount rate A1])^0.5)-Table2[Annual benefit payments (closed scheme)])*(1+Table2[Discount rate A1])^0.5</f>
        <v>53.373049426521575</v>
      </c>
      <c r="Q38" s="17">
        <f>Table2[[#This Row],[Asset growth A1 with benefit payments deducted]]/(1+Table2[Compounded CPI])</f>
        <v>39.934052611065049</v>
      </c>
      <c r="R38" s="17">
        <f>Table2[[#This Row],[Asset growth A1 with benefit payments deducted]]/(1+Table2[Compounded discount rate A1])</f>
        <v>38.017566657211709</v>
      </c>
      <c r="S38" s="9">
        <v>5.0999999999999997E-2</v>
      </c>
      <c r="T38" s="18">
        <f t="shared" si="8"/>
        <v>0.33967610797187953</v>
      </c>
      <c r="U38" s="17">
        <f>Table2[[#This Row],[Annual benefit payments (closed scheme)]]/((1+T37)*(1+Table2[[#This Row],[Discount rate A2]])^0.5)+U37</f>
        <v>27.503428679768842</v>
      </c>
      <c r="V38" s="17">
        <f>V37*(1+Table2[Discount rate A2])</f>
        <v>90.443283710268304</v>
      </c>
      <c r="W38" s="17">
        <f>Table2[[#This Row],[Asset growth A2, under the assumption of full-funding at Year 0]]/(1+Table2[Compounded CPI])</f>
        <v>67.670235986340614</v>
      </c>
      <c r="X38" s="17">
        <f>(X37*((1+Table2[Discount rate A2])^0.5)-Table2[Annual benefit payments (closed scheme)])*(1+Table2[Discount rate A2])^0.5</f>
        <v>53.597597420673424</v>
      </c>
      <c r="Y38" s="17">
        <f>Table2[[#This Row],[Asset growth A2 with benefit payments deducted]]/(1+Table2[[#This Row],[Compounded CPI]])</f>
        <v>40.102060838223103</v>
      </c>
      <c r="Z38" s="19">
        <f>Table2[[#This Row],[Asset growth A2 with benefit payments deducted]]/(1+Table2[Compounded discount rate A2])</f>
        <v>40.007877353141886</v>
      </c>
      <c r="AA38" s="35">
        <f>CM38+2.8%</f>
        <v>5.5999999999999994E-2</v>
      </c>
      <c r="AB38" s="18">
        <f t="shared" si="10"/>
        <v>0.41272133915091902</v>
      </c>
      <c r="AC38" s="17">
        <f>Table2[[#This Row],[Annual benefit payments (closed scheme)]]/((1+AB37)*(1+Table2[[#This Row],[Discount rate B]])^0.5)+AC37</f>
        <v>26.890755576877513</v>
      </c>
      <c r="AD38" s="16">
        <f>AD37*(1+Table2[Discount rate B])</f>
        <v>84.763280349055151</v>
      </c>
      <c r="AE38" s="16">
        <f>Table2[[#This Row],[Asset growth B]]/(1+Table2[Compounded CPI])</f>
        <v>63.420421604458951</v>
      </c>
      <c r="AF38" s="17">
        <f>(AF37*((1+Table2[Discount rate B])^0.5)-Table2[Annual benefit payments (closed scheme)])*(1+Table2[Discount rate B])^0.5</f>
        <v>46.774136119708722</v>
      </c>
      <c r="AG38" s="17">
        <f>Table2[[#This Row],[Asset growth B with benefit payments deducted]]/(1+Table2[Compounded CPI])</f>
        <v>34.996704005325171</v>
      </c>
      <c r="AH38" s="19">
        <f>Table2[[#This Row],[Asset growth B with benefit payments deducted]]/(1+Table2[Compounded discount rate B])</f>
        <v>33.109244423122504</v>
      </c>
      <c r="AI38" s="11">
        <f>Table2[CPI]+3.52%</f>
        <v>6.3200000000000006E-2</v>
      </c>
      <c r="AJ38" s="18">
        <f t="shared" si="11"/>
        <v>0.70169437380380861</v>
      </c>
      <c r="AK38" s="17">
        <f>Table2[[#This Row],[Annual benefit payments (closed scheme)]]/((1+AJ37)*(1+Table2[[#This Row],[Discount rate C]])^0.5)+AK37</f>
        <v>24.268285310620769</v>
      </c>
      <c r="AL38" s="17">
        <f>AL37*(1+Table2[Discount rate C])</f>
        <v>102.10166242822855</v>
      </c>
      <c r="AM38" s="17">
        <f>Table2[[#This Row],[Asset growth C]]/(1+Table2[Compounded CPI])</f>
        <v>76.393108561266075</v>
      </c>
      <c r="AN38" s="17">
        <f>(AN37*((1+Table2[Discount rate C])^0.5)-Table2[Annual benefit payments (closed scheme)])*(1+Table2[Discount rate C])^0.5</f>
        <v>60.804457853279516</v>
      </c>
      <c r="AO38" s="17">
        <f>Table2[[#This Row],[Asset growth C with benefit payments deducted]]/(1+Table2[Compounded CPI])</f>
        <v>45.494279322432185</v>
      </c>
      <c r="AP38" s="19">
        <f>Table2[[#This Row],[Asset growth C with benefit payments deducted]]/(1+Table2[Compounded discount rate C])</f>
        <v>35.731714689379217</v>
      </c>
      <c r="AQ38" s="11">
        <f>Table2[CPI]+3.21%</f>
        <v>6.0100000000000001E-2</v>
      </c>
      <c r="AR38" s="18">
        <f t="shared" si="12"/>
        <v>0.60497901763742523</v>
      </c>
      <c r="AS38" s="17">
        <f>Table2[[#This Row],[Annual benefit payments (closed scheme)]]/((1+AR37)*(1+Table2[[#This Row],[Discount rate D]])^0.5)+AS37</f>
        <v>24.872380575107101</v>
      </c>
      <c r="AT38" s="16">
        <f>AT37*(1+Table2[Discount rate D])</f>
        <v>96.298741058245525</v>
      </c>
      <c r="AU38" s="17">
        <f>Table2[[#This Row],[Asset growth D]]/(1+Table2[Compounded CPI])</f>
        <v>72.051326149043149</v>
      </c>
      <c r="AV38" s="17">
        <f>(AV37*((1+Table2[Discount rate D])^0.5)-Table2[Annual benefit payments (closed scheme)])*(1+Table2[Discount rate D])^0.5</f>
        <v>56.379092116505959</v>
      </c>
      <c r="AW38" s="17">
        <f>Table2[[#This Row],[Asset growth D with benefit payments deducted]]/(1+Table2[Compounded CPI])</f>
        <v>42.183192733707038</v>
      </c>
      <c r="AX38" s="19">
        <f>Table2[[#This Row],[Asset growth D with benefit payments deducted]]/(1+Table2[Compounded discount rate D])</f>
        <v>35.127619424892913</v>
      </c>
      <c r="AY38" s="11">
        <f>Table2[CPI]+4%</f>
        <v>6.8000000000000005E-2</v>
      </c>
      <c r="AZ38" s="18">
        <f t="shared" si="13"/>
        <v>0.71709302614982051</v>
      </c>
      <c r="BA38" s="17">
        <f>Table2[[#This Row],[Annual benefit payments (closed scheme)]]/((1+AZ37)*(1+Table2[[#This Row],[Discount rate E]])^0.5)+BA37</f>
        <v>24.251227456012199</v>
      </c>
      <c r="BB38" s="17">
        <f>BB37*(1+Table2[Discount rate E])</f>
        <v>103.02558156898924</v>
      </c>
      <c r="BC38" s="16">
        <f>Table2[[#This Row],[Asset growth E]]/(1+Table2[Compounded CPI])</f>
        <v>77.084390696574857</v>
      </c>
      <c r="BD38" s="17">
        <f>(BD37*((1+Table2[Discount rate E])^0.5)-Table2[Annual benefit payments (closed scheme)])*(1+Table2[Discount rate E])^0.5</f>
        <v>61.383968028697609</v>
      </c>
      <c r="BE38" s="17">
        <f>Table2[[#This Row],[Asset growth E with benefit payments deducted]]/(1+Table2[Compounded CPI])</f>
        <v>45.927872495062381</v>
      </c>
      <c r="BF38" s="19">
        <f>Table2[[#This Row],[Asset growth E with benefit payments deducted]]/(1+Table2[Compounded discount rate E])</f>
        <v>35.748772543987791</v>
      </c>
      <c r="BG38" s="11">
        <f>Table2[[#This Row],[Long-dated forward gilt yields]]+0.75%</f>
        <v>3.3500000000000002E-2</v>
      </c>
      <c r="BH38" s="11">
        <f t="shared" si="14"/>
        <v>0.37211597419301867</v>
      </c>
      <c r="BI38" s="17">
        <f>((Table2[[#This Row],[Annual benefit payments (closed scheme)]])*1.005^(Table2[[#This Row],[Year]]-2018))/((1+BH37)*(1+Table2[[#This Row],[Discount rate F]])^0.5)+BI37</f>
        <v>27.4362318409508</v>
      </c>
      <c r="BJ38" s="17">
        <f>BJ37*(1+Table2[Discount rate F])</f>
        <v>112.9848246650331</v>
      </c>
      <c r="BK38" s="17">
        <f>Table2[[#This Row],[Asset growth F, under the assumption of full-funding at Year 0]]/(1+Table2[[#This Row],[Compounded CPI]])</f>
        <v>84.535959269798909</v>
      </c>
      <c r="BL38" s="17">
        <f>(BL37*((1+Table2[Discount rate F])^0.5)-Table2[Annual benefit payments (closed scheme)]*1.005^(Table2[Year]-2018))*(1+Table2[Discount rate F])^0.5</f>
        <v>75.339132684401392</v>
      </c>
      <c r="BM38" s="17">
        <f>Table2[[#This Row],[Asset growth F with benefit payments deducted]]/(1+Table2[Compounded CPI])</f>
        <v>56.369214811921445</v>
      </c>
      <c r="BN38" s="19">
        <f>Table2[[#This Row],[Asset growth F with benefit payments deducted]]/(1+Table2[Compounded discount rate F])</f>
        <v>54.907263016677966</v>
      </c>
      <c r="BO38" s="17"/>
      <c r="BP38" s="17"/>
      <c r="BQ38" s="17"/>
      <c r="BR38" s="17"/>
      <c r="BS38" s="17"/>
      <c r="BT38" s="17"/>
      <c r="BU38" s="17"/>
      <c r="BV38" s="17"/>
      <c r="BW38" s="17"/>
      <c r="BX38" s="17"/>
      <c r="BY38" s="17"/>
      <c r="BZ38" s="17"/>
      <c r="CA38" s="17">
        <f>(CA37*((1+Table2[Discount rate A2])^0.5)+Table2[Net cashflow (ongoing scheme)])*(1+Table2[Discount rate A2])^0.5</f>
        <v>83.081678266205529</v>
      </c>
      <c r="CB38" s="17">
        <f>Table2[[#This Row],[Asset growth, ongoing scheme, with November de-risking, net of contributions and payments]]/(1+Table2[Compounded discount rate A2])</f>
        <v>62.016242412490243</v>
      </c>
      <c r="CC38" s="17">
        <f>Table2[[#This Row],[Asset growth, ongoing scheme, with November de-risking, net of contributions and payments]]/(1+Table2[Compounded CPI])</f>
        <v>62.162236307404811</v>
      </c>
      <c r="CD38" s="17">
        <f>(CD37*((1+Table2[Discount rate A1])^0.5)+Table2[Net cashflow (ongoing scheme)])*(1+Table2[Discount rate A1])^0.5</f>
        <v>86.999372615667269</v>
      </c>
      <c r="CE38" s="17">
        <f>Table2[[#This Row],[Asset growth, ongoing scheme, with September de-risking, net of contributions and payments]]/(1+Table2[Compounded discount rate A1])</f>
        <v>61.969561100404334</v>
      </c>
      <c r="CF38" s="17">
        <f>Table2[[#This Row],[Asset growth, ongoing scheme, with September de-risking, net of contributions and payments]]/(1+Table2[Compounded CPI])</f>
        <v>65.093479958395008</v>
      </c>
      <c r="CG38" s="17">
        <f>(CG37*((1+Table2[Discount rate B])^0.5)+Table2[Net cashflow (ongoing scheme)])*(1+Table2[Discount rate B])^0.5</f>
        <v>87.54394061348583</v>
      </c>
      <c r="CH38" s="17">
        <f>Table2[[#This Row],[Asset growth, ongoing scheme, no de-risking, net of contributions and payments]]/(1+Table2[Compounded discount rate B])</f>
        <v>61.968300603501845</v>
      </c>
      <c r="CI38" s="17">
        <f>Table2[[#This Row],[Asset growth, ongoing scheme, no de-risking, net of contributions and payments]]/(1+Table2[Compounded CPI])</f>
        <v>65.50092917309891</v>
      </c>
      <c r="CJ38" s="17">
        <f>(CJ37*((1+Table2[Discount rate E])^0.5)+Table2[Net cashflow (ongoing scheme)])*(1+Table2[Discount rate E])^0.5</f>
        <v>106.05263863328251</v>
      </c>
      <c r="CK38" s="17">
        <f>Table2[[#This Row],[Asset growth, ongoing scheme, best-estimates, no de-risking, net of contributions and payments ]]/(1+Table2[Compounded discount rate E])</f>
        <v>61.762896370897707</v>
      </c>
      <c r="CL38" s="17">
        <f>Table2[[#This Row],[Asset growth, ongoing scheme, best-estimates, no de-risking, net of contributions and payments ]]/(1+Table2[Compounded CPI])</f>
        <v>79.349253906772404</v>
      </c>
      <c r="CM38" s="9">
        <v>2.8000000000000001E-2</v>
      </c>
      <c r="CN38" s="11">
        <f>(1+Table2[[#This Row],[CPI]])*(1+CN37)-1</f>
        <v>0.33652975184724454</v>
      </c>
      <c r="CO38" s="11">
        <f>'Gilt yields'!B20</f>
        <v>2.5999999999999999E-2</v>
      </c>
      <c r="CP38" s="11">
        <f t="shared" si="15"/>
        <v>4.8000000000000001E-2</v>
      </c>
      <c r="CQ38" s="26">
        <f>(1+Table2[[#This Row],[Salary growth]])*(1+CQ37)-1</f>
        <v>0.70341889328202778</v>
      </c>
      <c r="CR38" s="15">
        <f t="shared" si="5"/>
        <v>13.365297518472445</v>
      </c>
      <c r="CS38" s="17">
        <f t="shared" si="6"/>
        <v>17.374886774014183</v>
      </c>
      <c r="CT38" s="17">
        <f>CT37*(1+Table2[[#This Row],[Salary growth]])</f>
        <v>17.034188932820271</v>
      </c>
      <c r="CU38" s="19">
        <f t="shared" si="7"/>
        <v>22.144445612666367</v>
      </c>
      <c r="CV38" s="112">
        <f>('Cash flows as at 31032017'!B23)/1000000000</f>
        <v>2.6511914409999999</v>
      </c>
      <c r="CW38" s="113">
        <v>0</v>
      </c>
      <c r="CX38" s="113">
        <f>Table2[[#This Row],[Annual contributions (closed scheme)]]-Table2[[#This Row],[Annual benefit payments (closed scheme)]]</f>
        <v>-2.6511914409999999</v>
      </c>
      <c r="CY38" s="113">
        <v>3.03</v>
      </c>
      <c r="CZ38" s="113">
        <v>3.3</v>
      </c>
      <c r="DA38" s="113">
        <v>0.27</v>
      </c>
      <c r="DB38" s="17"/>
      <c r="DC38" s="84"/>
      <c r="DD38" s="84"/>
      <c r="DE38" s="84"/>
      <c r="DF38" s="84"/>
      <c r="DG38" s="84"/>
      <c r="DH38" s="84"/>
      <c r="DI38" s="84"/>
      <c r="DJ38" s="84"/>
      <c r="DK38" s="84"/>
      <c r="DL38" s="84"/>
      <c r="DM38" s="84"/>
      <c r="DN38" s="84"/>
      <c r="DO38" s="84"/>
      <c r="DP38" s="84"/>
      <c r="DQ38" s="84"/>
      <c r="DR38" s="84"/>
      <c r="DS38" s="84"/>
      <c r="DT38" s="84"/>
      <c r="DU38" s="84"/>
      <c r="DV38" s="84"/>
      <c r="DW38" s="84"/>
      <c r="DX38" s="84"/>
    </row>
    <row r="39" spans="1:131" x14ac:dyDescent="0.2">
      <c r="A39" s="8">
        <v>2032</v>
      </c>
      <c r="B39" s="50"/>
      <c r="C39" s="50"/>
      <c r="D39" s="50"/>
      <c r="E39" s="35">
        <v>6.0999999999999999E-2</v>
      </c>
      <c r="F39" s="16">
        <f>F38*(1+Table2[[#This Row],[2008 discount rate]])</f>
        <v>139.5760245491515</v>
      </c>
      <c r="G39" s="18">
        <v>6.0999999999999999E-2</v>
      </c>
      <c r="H39" s="16">
        <f>H38*(1+Table2[[#This Row],[2011 discount rate]])</f>
        <v>114.69817170201841</v>
      </c>
      <c r="I39" s="18">
        <v>5.1999999999999998E-2</v>
      </c>
      <c r="J39" s="16">
        <f>J38*(1+Table2[[#This Row],[2014 discount rate]])</f>
        <v>103.84810213249783</v>
      </c>
      <c r="K39" s="9">
        <v>5.21E-2</v>
      </c>
      <c r="L39" s="18">
        <f t="shared" si="9"/>
        <v>0.4770483815536708</v>
      </c>
      <c r="M39" s="17">
        <f>Table2[[#This Row],[Annual benefit payments (closed scheme)]]/((1+L38)*(1+Table2[[#This Row],[Discount rate A1]])^0.5)+M38</f>
        <v>28.798085982411422</v>
      </c>
      <c r="N39" s="17">
        <f>N38*(1+Table2[Discount rate A1])</f>
        <v>95.893775048521945</v>
      </c>
      <c r="O39" s="17">
        <f>Table2[[#This Row],[Asset growth A1, under the assumption of full-funding at Year 0]]/(1+Table2[[#This Row],[Compounded CPI]])</f>
        <v>69.760163367393687</v>
      </c>
      <c r="P39" s="17">
        <f>(P38*((1+Table2[Discount rate A1])^0.5)-Table2[Annual benefit payments (closed scheme)])*(1+Table2[Discount rate A1])^0.5</f>
        <v>53.357608756357706</v>
      </c>
      <c r="Q39" s="17">
        <f>Table2[[#This Row],[Asset growth A1 with benefit payments deducted]]/(1+Table2[Compounded CPI])</f>
        <v>38.816237048270864</v>
      </c>
      <c r="R39" s="17">
        <f>Table2[[#This Row],[Asset growth A1 with benefit payments deducted]]/(1+Table2[Compounded discount rate A1])</f>
        <v>36.124482733755919</v>
      </c>
      <c r="S39" s="9">
        <v>5.0599999999999999E-2</v>
      </c>
      <c r="T39" s="18">
        <f t="shared" si="8"/>
        <v>0.40746371903525658</v>
      </c>
      <c r="U39" s="17">
        <f>Table2[[#This Row],[Annual benefit payments (closed scheme)]]/((1+T38)*(1+Table2[[#This Row],[Discount rate A2]])^0.5)+U38</f>
        <v>29.48868948196716</v>
      </c>
      <c r="V39" s="17">
        <f>V38*(1+Table2[Discount rate A2])</f>
        <v>95.019713866007876</v>
      </c>
      <c r="W39" s="17">
        <f>Table2[[#This Row],[Asset growth A2, under the assumption of full-funding at Year 0]]/(1+Table2[Compounded CPI])</f>
        <v>69.124307172823961</v>
      </c>
      <c r="X39" s="17">
        <f>(X38*((1+Table2[Discount rate A2])^0.5)-Table2[Annual benefit payments (closed scheme)])*(1+Table2[Discount rate A2])^0.5</f>
        <v>53.515453298242527</v>
      </c>
      <c r="Y39" s="17">
        <f>Table2[[#This Row],[Asset growth A2 with benefit payments deducted]]/(1+Table2[[#This Row],[Compounded CPI]])</f>
        <v>38.931064741965947</v>
      </c>
      <c r="Z39" s="19">
        <f>Table2[[#This Row],[Asset growth A2 with benefit payments deducted]]/(1+Table2[Compounded discount rate A2])</f>
        <v>38.02261655094356</v>
      </c>
      <c r="AA39" s="35">
        <f t="shared" si="16"/>
        <v>5.6499999999999995E-2</v>
      </c>
      <c r="AB39" s="18">
        <f t="shared" si="10"/>
        <v>0.49254009481294592</v>
      </c>
      <c r="AC39" s="17">
        <f>Table2[[#This Row],[Annual benefit payments (closed scheme)]]/((1+AB38)*(1+Table2[[#This Row],[Discount rate B]])^0.5)+AC38</f>
        <v>28.768103740793766</v>
      </c>
      <c r="AD39" s="16">
        <f>AD38*(1+Table2[Discount rate B])</f>
        <v>89.552405688776773</v>
      </c>
      <c r="AE39" s="16">
        <f>Table2[[#This Row],[Asset growth B]]/(1+Table2[Compounded CPI])</f>
        <v>65.146986315129695</v>
      </c>
      <c r="AF39" s="17">
        <f>(AF38*((1+Table2[Discount rate B])^0.5)-Table2[Annual benefit payments (closed scheme)])*(1+Table2[Discount rate B])^0.5</f>
        <v>46.614857403903777</v>
      </c>
      <c r="AG39" s="17">
        <f>Table2[[#This Row],[Asset growth B with benefit payments deducted]]/(1+Table2[Compounded CPI])</f>
        <v>33.911065303234317</v>
      </c>
      <c r="AH39" s="19">
        <f>Table2[[#This Row],[Asset growth B with benefit payments deducted]]/(1+Table2[Compounded discount rate B])</f>
        <v>31.231896259206245</v>
      </c>
      <c r="AI39" s="11">
        <f>Table2[CPI]+3.36%</f>
        <v>6.2100000000000002E-2</v>
      </c>
      <c r="AJ39" s="18">
        <f t="shared" si="11"/>
        <v>0.80736959441702516</v>
      </c>
      <c r="AK39" s="17">
        <f>Table2[[#This Row],[Annual benefit payments (closed scheme)]]/((1+AJ38)*(1+Table2[[#This Row],[Discount rate C]])^0.5)+AK38</f>
        <v>25.822717606150309</v>
      </c>
      <c r="AL39" s="17">
        <f>AL38*(1+Table2[Discount rate C])</f>
        <v>108.44217566502155</v>
      </c>
      <c r="AM39" s="17">
        <f>Table2[[#This Row],[Asset growth C]]/(1+Table2[Compounded CPI])</f>
        <v>78.888790085484388</v>
      </c>
      <c r="AN39" s="17">
        <f>(AN38*((1+Table2[Discount rate C])^0.5)-Table2[Annual benefit payments (closed scheme)])*(1+Table2[Discount rate C])^0.5</f>
        <v>61.770981018448225</v>
      </c>
      <c r="AO39" s="17">
        <f>Table2[[#This Row],[Asset growth C with benefit payments deducted]]/(1+Table2[Compounded CPI])</f>
        <v>44.936740941012125</v>
      </c>
      <c r="AP39" s="19">
        <f>Table2[[#This Row],[Asset growth C with benefit payments deducted]]/(1+Table2[Compounded discount rate C])</f>
        <v>34.17728239384968</v>
      </c>
      <c r="AQ39" s="11">
        <f>Table2[CPI]+3.1%</f>
        <v>5.9499999999999997E-2</v>
      </c>
      <c r="AR39" s="18">
        <f t="shared" si="12"/>
        <v>0.70047526918685188</v>
      </c>
      <c r="AS39" s="17">
        <f>Table2[[#This Row],[Annual benefit payments (closed scheme)]]/((1+AR38)*(1+Table2[[#This Row],[Discount rate D]])^0.5)+AS38</f>
        <v>26.522503274335339</v>
      </c>
      <c r="AT39" s="16">
        <f>AT38*(1+Table2[Discount rate D])</f>
        <v>102.02851615121112</v>
      </c>
      <c r="AU39" s="17">
        <f>Table2[[#This Row],[Asset growth D]]/(1+Table2[Compounded CPI])</f>
        <v>74.223023874488291</v>
      </c>
      <c r="AV39" s="17">
        <f>(AV38*((1+Table2[Discount rate D])^0.5)-Table2[Annual benefit payments (closed scheme)])*(1+Table2[Discount rate D])^0.5</f>
        <v>56.92765525627658</v>
      </c>
      <c r="AW39" s="17">
        <f>Table2[[#This Row],[Asset growth D with benefit payments deducted]]/(1+Table2[Compounded CPI])</f>
        <v>41.413350645451871</v>
      </c>
      <c r="AX39" s="19">
        <f>Table2[[#This Row],[Asset growth D with benefit payments deducted]]/(1+Table2[Compounded discount rate D])</f>
        <v>33.477496725664672</v>
      </c>
      <c r="AY39" s="11">
        <f>Table2[CPI]+4%</f>
        <v>6.8500000000000005E-2</v>
      </c>
      <c r="AZ39" s="18">
        <f t="shared" si="13"/>
        <v>0.83471389844108312</v>
      </c>
      <c r="BA39" s="17">
        <f>Table2[[#This Row],[Annual benefit payments (closed scheme)]]/((1+AZ38)*(1+Table2[[#This Row],[Discount rate E]])^0.5)+BA38</f>
        <v>25.787099341324033</v>
      </c>
      <c r="BB39" s="17">
        <f>BB38*(1+Table2[Discount rate E])</f>
        <v>110.082833906465</v>
      </c>
      <c r="BC39" s="16">
        <f>Table2[[#This Row],[Asset growth E]]/(1+Table2[Compounded CPI])</f>
        <v>80.082325191337119</v>
      </c>
      <c r="BD39" s="17">
        <f>(BD38*((1+Table2[Discount rate E])^0.5)-Table2[Annual benefit payments (closed scheme)])*(1+Table2[Discount rate E])^0.5</f>
        <v>62.770884344456867</v>
      </c>
      <c r="BE39" s="17">
        <f>Table2[[#This Row],[Asset growth E with benefit payments deducted]]/(1+Table2[Compounded CPI])</f>
        <v>45.664143938116659</v>
      </c>
      <c r="BF39" s="19">
        <f>Table2[[#This Row],[Asset growth E with benefit payments deducted]]/(1+Table2[Compounded discount rate E])</f>
        <v>34.212900658675956</v>
      </c>
      <c r="BG39" s="11">
        <f>Table2[[#This Row],[Long-dated forward gilt yields]]+0.75%</f>
        <v>3.3710000000000004E-2</v>
      </c>
      <c r="BH39" s="11">
        <f t="shared" si="14"/>
        <v>0.41837000368306509</v>
      </c>
      <c r="BI39" s="17">
        <f>((Table2[[#This Row],[Annual benefit payments (closed scheme)]])*1.005^(Table2[[#This Row],[Year]]-2018))/((1+BH38)*(1+Table2[[#This Row],[Discount rate F]])^0.5)+BI38</f>
        <v>29.531650290983116</v>
      </c>
      <c r="BJ39" s="17">
        <f>BJ38*(1+Table2[Discount rate F])</f>
        <v>116.79354310449136</v>
      </c>
      <c r="BK39" s="17">
        <f>Table2[[#This Row],[Asset growth F, under the assumption of full-funding at Year 0]]/(1+Table2[[#This Row],[Compounded CPI]])</f>
        <v>84.964187123756744</v>
      </c>
      <c r="BL39" s="17">
        <f>(BL38*((1+Table2[Discount rate F])^0.5)-Table2[Annual benefit payments (closed scheme)]*1.005^(Table2[Year]-2018))*(1+Table2[Discount rate F])^0.5</f>
        <v>74.906736172502676</v>
      </c>
      <c r="BM39" s="17">
        <f>Table2[[#This Row],[Asset growth F with benefit payments deducted]]/(1+Table2[Compounded CPI])</f>
        <v>54.492652417406198</v>
      </c>
      <c r="BN39" s="19">
        <f>Table2[[#This Row],[Asset growth F with benefit payments deducted]]/(1+Table2[Compounded discount rate F])</f>
        <v>52.811844566645668</v>
      </c>
      <c r="BO39" s="17"/>
      <c r="BP39" s="17"/>
      <c r="BQ39" s="17"/>
      <c r="BR39" s="17"/>
      <c r="BS39" s="17"/>
      <c r="BT39" s="17"/>
      <c r="BU39" s="17"/>
      <c r="BV39" s="17"/>
      <c r="BW39" s="17"/>
      <c r="BX39" s="17"/>
      <c r="BY39" s="17"/>
      <c r="BZ39" s="17"/>
      <c r="CA39" s="17">
        <f>(CA38*((1+Table2[Discount rate A2])^0.5)+Table2[Net cashflow (ongoing scheme)])*(1+Table2[Discount rate A2])^0.5</f>
        <v>87.480358869388553</v>
      </c>
      <c r="CB39" s="17">
        <f>Table2[[#This Row],[Asset growth, ongoing scheme, with November de-risking, net of contributions and payments]]/(1+Table2[Compounded discount rate A2])</f>
        <v>62.154610229918966</v>
      </c>
      <c r="CC39" s="17">
        <f>Table2[[#This Row],[Asset growth, ongoing scheme, with November de-risking, net of contributions and payments]]/(1+Table2[Compounded CPI])</f>
        <v>63.639627526175239</v>
      </c>
      <c r="CD39" s="17">
        <f>(CD38*((1+Table2[Discount rate A1])^0.5)+Table2[Net cashflow (ongoing scheme)])*(1+Table2[Discount rate A1])^0.5</f>
        <v>91.726926588312523</v>
      </c>
      <c r="CE39" s="17">
        <f>Table2[[#This Row],[Asset growth, ongoing scheme, with September de-risking, net of contributions and payments]]/(1+Table2[Compounded discount rate A1])</f>
        <v>62.101504415060006</v>
      </c>
      <c r="CF39" s="17">
        <f>Table2[[#This Row],[Asset growth, ongoing scheme, with September de-risking, net of contributions and payments]]/(1+Table2[Compounded CPI])</f>
        <v>66.728892263880468</v>
      </c>
      <c r="CG39" s="17">
        <f>(CG38*((1+Table2[Discount rate B])^0.5)+Table2[Net cashflow (ongoing scheme)])*(1+Table2[Discount rate B])^0.5</f>
        <v>92.685467011248065</v>
      </c>
      <c r="CH39" s="17">
        <f>Table2[[#This Row],[Asset growth, ongoing scheme, no de-risking, net of contributions and payments]]/(1+Table2[Compounded discount rate B])</f>
        <v>62.099147174243221</v>
      </c>
      <c r="CI39" s="17">
        <f>Table2[[#This Row],[Asset growth, ongoing scheme, no de-risking, net of contributions and payments]]/(1+Table2[Compounded CPI])</f>
        <v>67.426204852360783</v>
      </c>
      <c r="CJ39" s="17">
        <f>(CJ38*((1+Table2[Discount rate E])^0.5)+Table2[Net cashflow (ongoing scheme)])*(1+Table2[Discount rate E])^0.5</f>
        <v>113.51364409962142</v>
      </c>
      <c r="CK39" s="17">
        <f>Table2[[#This Row],[Asset growth, ongoing scheme, best-estimates, no de-risking, net of contributions and payments ]]/(1+Table2[Compounded discount rate E])</f>
        <v>61.869942881051649</v>
      </c>
      <c r="CL39" s="17">
        <f>Table2[[#This Row],[Asset growth, ongoing scheme, best-estimates, no de-risking, net of contributions and payments ]]/(1+Table2[Compounded CPI])</f>
        <v>82.578148089497176</v>
      </c>
      <c r="CM39" s="9">
        <v>2.8500000000000001E-2</v>
      </c>
      <c r="CN39" s="11">
        <f>(1+Table2[[#This Row],[CPI]])*(1+CN38)-1</f>
        <v>0.37462084977489107</v>
      </c>
      <c r="CO39" s="11">
        <f>'Gilt yields'!B21</f>
        <v>2.6210000000000001E-2</v>
      </c>
      <c r="CP39" s="11">
        <f t="shared" si="15"/>
        <v>4.8500000000000001E-2</v>
      </c>
      <c r="CQ39" s="26">
        <f>(1+Table2[[#This Row],[Salary growth]])*(1+CQ38)-1</f>
        <v>0.78603470960620614</v>
      </c>
      <c r="CR39" s="15">
        <f t="shared" si="5"/>
        <v>13.74620849774891</v>
      </c>
      <c r="CS39" s="17">
        <f t="shared" si="6"/>
        <v>17.870071047073587</v>
      </c>
      <c r="CT39" s="17">
        <f>CT38*(1+Table2[[#This Row],[Salary growth]])</f>
        <v>17.860347096062053</v>
      </c>
      <c r="CU39" s="19">
        <f t="shared" si="7"/>
        <v>23.218451224880685</v>
      </c>
      <c r="CV39" s="112">
        <f>('Cash flows as at 31032017'!B24)/1000000000</f>
        <v>2.7260641919999999</v>
      </c>
      <c r="CW39" s="113">
        <v>0</v>
      </c>
      <c r="CX39" s="113">
        <f>Table2[[#This Row],[Annual contributions (closed scheme)]]-Table2[[#This Row],[Annual benefit payments (closed scheme)]]</f>
        <v>-2.7260641919999999</v>
      </c>
      <c r="CY39" s="113">
        <v>3.21</v>
      </c>
      <c r="CZ39" s="113">
        <v>3.4</v>
      </c>
      <c r="DA39" s="113">
        <v>0.19</v>
      </c>
      <c r="DB39" s="17"/>
      <c r="DC39" s="84"/>
      <c r="DD39" s="84"/>
      <c r="DE39" s="84"/>
      <c r="DF39" s="84"/>
      <c r="DG39" s="84"/>
      <c r="DH39" s="84"/>
      <c r="DI39" s="84"/>
      <c r="DJ39" s="84"/>
      <c r="DK39" s="84"/>
      <c r="DL39" s="84"/>
      <c r="DM39" s="84"/>
      <c r="DN39" s="84"/>
      <c r="DO39" s="84"/>
      <c r="DP39" s="84"/>
      <c r="DQ39" s="84"/>
      <c r="DR39" s="84"/>
      <c r="DS39" s="84"/>
      <c r="DT39" s="84"/>
      <c r="DU39" s="84"/>
      <c r="DV39" s="84"/>
      <c r="DW39" s="84"/>
      <c r="DX39" s="84"/>
    </row>
    <row r="40" spans="1:131" x14ac:dyDescent="0.2">
      <c r="A40" s="8">
        <v>2033</v>
      </c>
      <c r="B40" s="50"/>
      <c r="C40" s="50"/>
      <c r="D40" s="50"/>
      <c r="E40" s="35">
        <v>6.0999999999999999E-2</v>
      </c>
      <c r="F40" s="16">
        <f>F39*(1+Table2[[#This Row],[2008 discount rate]])</f>
        <v>148.09016204664974</v>
      </c>
      <c r="G40" s="18">
        <v>6.0999999999999999E-2</v>
      </c>
      <c r="H40" s="16">
        <f>H39*(1+Table2[[#This Row],[2011 discount rate]])</f>
        <v>121.69476017584152</v>
      </c>
      <c r="I40" s="18">
        <v>5.1999999999999998E-2</v>
      </c>
      <c r="J40" s="16">
        <f>J39*(1+Table2[[#This Row],[2014 discount rate]])</f>
        <v>109.24820344338772</v>
      </c>
      <c r="K40" s="9">
        <v>5.1200000000000002E-2</v>
      </c>
      <c r="L40" s="18">
        <f t="shared" si="9"/>
        <v>0.55267325868921868</v>
      </c>
      <c r="M40" s="17">
        <f>Table2[[#This Row],[Annual benefit payments (closed scheme)]]/((1+L39)*(1+Table2[[#This Row],[Discount rate A1]])^0.5)+M39</f>
        <v>30.64657691112987</v>
      </c>
      <c r="N40" s="17">
        <f>N39*(1+Table2[Discount rate A1])</f>
        <v>100.80353633100626</v>
      </c>
      <c r="O40" s="17">
        <f>Table2[[#This Row],[Asset growth A1, under the assumption of full-funding at Year 0]]/(1+Table2[[#This Row],[Compounded CPI]])</f>
        <v>71.285976214449533</v>
      </c>
      <c r="P40" s="17">
        <f>(P39*((1+Table2[Discount rate A1])^0.5)-Table2[Annual benefit payments (closed scheme)])*(1+Table2[Discount rate A1])^0.5</f>
        <v>53.219415890732471</v>
      </c>
      <c r="Q40" s="17">
        <f>Table2[[#This Row],[Asset growth A1 with benefit payments deducted]]/(1+Table2[Compounded CPI])</f>
        <v>37.635564717452425</v>
      </c>
      <c r="R40" s="17">
        <f>Table2[[#This Row],[Asset growth A1 with benefit payments deducted]]/(1+Table2[Compounded discount rate A1])</f>
        <v>34.275991805037464</v>
      </c>
      <c r="S40" s="9">
        <v>0.05</v>
      </c>
      <c r="T40" s="18">
        <f t="shared" si="8"/>
        <v>0.47783690498701947</v>
      </c>
      <c r="U40" s="17">
        <f>Table2[[#This Row],[Annual benefit payments (closed scheme)]]/((1+T39)*(1+Table2[[#This Row],[Discount rate A2]])^0.5)+U39</f>
        <v>31.42967753698478</v>
      </c>
      <c r="V40" s="17">
        <f>V39*(1+Table2[Discount rate A2])</f>
        <v>99.770699559308269</v>
      </c>
      <c r="W40" s="17">
        <f>Table2[[#This Row],[Asset growth A2, under the assumption of full-funding at Year 0]]/(1+Table2[Compounded CPI])</f>
        <v>70.555577458408834</v>
      </c>
      <c r="X40" s="17">
        <f>(X39*((1+Table2[Discount rate A2])^0.5)-Table2[Annual benefit payments (closed scheme)])*(1+Table2[Discount rate A2])^0.5</f>
        <v>53.322762183310644</v>
      </c>
      <c r="Y40" s="17">
        <f>Table2[[#This Row],[Asset growth A2 with benefit payments deducted]]/(1+Table2[[#This Row],[Compounded CPI]])</f>
        <v>37.708648873254141</v>
      </c>
      <c r="Z40" s="19">
        <f>Table2[[#This Row],[Asset growth A2 with benefit payments deducted]]/(1+Table2[Compounded discount rate A2])</f>
        <v>36.081628495925948</v>
      </c>
      <c r="AA40" s="35">
        <f t="shared" si="16"/>
        <v>5.67E-2</v>
      </c>
      <c r="AB40" s="18">
        <f t="shared" si="10"/>
        <v>0.57716711818883981</v>
      </c>
      <c r="AC40" s="17">
        <f>Table2[[#This Row],[Annual benefit payments (closed scheme)]]/((1+AB39)*(1+Table2[[#This Row],[Discount rate B]])^0.5)+AC39</f>
        <v>30.5926415207154</v>
      </c>
      <c r="AD40" s="16">
        <f>AD39*(1+Table2[Discount rate B])</f>
        <v>94.630027091330419</v>
      </c>
      <c r="AE40" s="16">
        <f>Table2[[#This Row],[Asset growth B]]/(1+Table2[Compounded CPI])</f>
        <v>66.920210400697528</v>
      </c>
      <c r="AF40" s="17">
        <f>(AF39*((1+Table2[Discount rate B])^0.5)-Table2[Annual benefit payments (closed scheme)])*(1+Table2[Discount rate B])^0.5</f>
        <v>46.380318826319446</v>
      </c>
      <c r="AG40" s="17">
        <f>Table2[[#This Row],[Asset growth B with benefit payments deducted]]/(1+Table2[Compounded CPI])</f>
        <v>32.799110279374361</v>
      </c>
      <c r="AH40" s="19">
        <f>Table2[[#This Row],[Asset growth B with benefit payments deducted]]/(1+Table2[Compounded discount rate B])</f>
        <v>29.407358479284607</v>
      </c>
      <c r="AI40" s="11">
        <f>Table2[CPI]+3.2%</f>
        <v>6.0700000000000004E-2</v>
      </c>
      <c r="AJ40" s="18">
        <f t="shared" si="11"/>
        <v>0.91707692879813862</v>
      </c>
      <c r="AK40" s="17">
        <f>Table2[[#This Row],[Annual benefit payments (closed scheme)]]/((1+AJ39)*(1+Table2[[#This Row],[Discount rate C]])^0.5)+AK39</f>
        <v>27.326591653268565</v>
      </c>
      <c r="AL40" s="17">
        <f>AL39*(1+Table2[Discount rate C])</f>
        <v>115.02461572788836</v>
      </c>
      <c r="AM40" s="17">
        <f>Table2[[#This Row],[Asset growth C]]/(1+Table2[Compounded CPI])</f>
        <v>81.342801247859711</v>
      </c>
      <c r="AN40" s="17">
        <f>(AN39*((1+Table2[Discount rate C])^0.5)-Table2[Annual benefit payments (closed scheme)])*(1+Table2[Discount rate C])^0.5</f>
        <v>62.637437326719336</v>
      </c>
      <c r="AO40" s="17">
        <f>Table2[[#This Row],[Asset growth C with benefit payments deducted]]/(1+Table2[Compounded CPI])</f>
        <v>44.29577602063889</v>
      </c>
      <c r="AP40" s="19">
        <f>Table2[[#This Row],[Asset growth C with benefit payments deducted]]/(1+Table2[Compounded discount rate C])</f>
        <v>32.673408346731421</v>
      </c>
      <c r="AQ40" s="11">
        <f>Table2[CPI]+2.99%</f>
        <v>5.8599999999999999E-2</v>
      </c>
      <c r="AR40" s="18">
        <f t="shared" si="12"/>
        <v>0.80012311996120133</v>
      </c>
      <c r="AS40" s="17">
        <f>Table2[[#This Row],[Annual benefit payments (closed scheme)]]/((1+AR39)*(1+Table2[[#This Row],[Discount rate D]])^0.5)+AS39</f>
        <v>28.122497649491283</v>
      </c>
      <c r="AT40" s="16">
        <f>AT39*(1+Table2[Discount rate D])</f>
        <v>108.00738719767209</v>
      </c>
      <c r="AU40" s="17">
        <f>Table2[[#This Row],[Asset growth D]]/(1+Table2[Compounded CPI])</f>
        <v>76.380376274456395</v>
      </c>
      <c r="AV40" s="17">
        <f>(AV39*((1+Table2[Discount rate D])^0.5)-Table2[Annual benefit payments (closed scheme)])*(1+Table2[Discount rate D])^0.5</f>
        <v>57.383428987768298</v>
      </c>
      <c r="AW40" s="17">
        <f>Table2[[#This Row],[Asset growth D with benefit payments deducted]]/(1+Table2[Compounded CPI])</f>
        <v>40.580260403695412</v>
      </c>
      <c r="AX40" s="19">
        <f>Table2[[#This Row],[Asset growth D with benefit payments deducted]]/(1+Table2[Compounded discount rate D])</f>
        <v>31.877502350508728</v>
      </c>
      <c r="AY40" s="11">
        <f>Table2[CPI]+4%</f>
        <v>6.8699999999999997E-2</v>
      </c>
      <c r="AZ40" s="18">
        <f t="shared" si="13"/>
        <v>0.96075874326398547</v>
      </c>
      <c r="BA40" s="17">
        <f>Table2[[#This Row],[Annual benefit payments (closed scheme)]]/((1+AZ39)*(1+Table2[[#This Row],[Discount rate E]])^0.5)+BA39</f>
        <v>27.263004549574653</v>
      </c>
      <c r="BB40" s="17">
        <f>BB39*(1+Table2[Discount rate E])</f>
        <v>117.64552459583915</v>
      </c>
      <c r="BC40" s="16">
        <f>Table2[[#This Row],[Asset growth E]]/(1+Table2[Compounded CPI])</f>
        <v>83.196248597241166</v>
      </c>
      <c r="BD40" s="17">
        <f>(BD39*((1+Table2[Discount rate E])^0.5)-Table2[Annual benefit payments (closed scheme)])*(1+Table2[Discount rate E])^0.5</f>
        <v>64.189350057614803</v>
      </c>
      <c r="BE40" s="17">
        <f>Table2[[#This Row],[Asset growth E with benefit payments deducted]]/(1+Table2[Compounded CPI])</f>
        <v>45.393253530338988</v>
      </c>
      <c r="BF40" s="19">
        <f>Table2[[#This Row],[Asset growth E with benefit payments deducted]]/(1+Table2[Compounded discount rate E])</f>
        <v>32.73699545042534</v>
      </c>
      <c r="BG40" s="11">
        <f>Table2[[#This Row],[Long-dated forward gilt yields]]+0.75%</f>
        <v>3.372E-2</v>
      </c>
      <c r="BH40" s="11">
        <f t="shared" si="14"/>
        <v>0.46619744020725795</v>
      </c>
      <c r="BI40" s="17">
        <f>((Table2[[#This Row],[Annual benefit payments (closed scheme)]])*1.005^(Table2[[#This Row],[Year]]-2018))/((1+BH39)*(1+Table2[[#This Row],[Discount rate F]])^0.5)+BI39</f>
        <v>31.623616425433152</v>
      </c>
      <c r="BJ40" s="17">
        <f>BJ39*(1+Table2[Discount rate F])</f>
        <v>120.73182137797481</v>
      </c>
      <c r="BK40" s="17">
        <f>Table2[[#This Row],[Asset growth F, under the assumption of full-funding at Year 0]]/(1+Table2[[#This Row],[Compounded CPI]])</f>
        <v>85.378807731670875</v>
      </c>
      <c r="BL40" s="17">
        <f>(BL39*((1+Table2[Discount rate F])^0.5)-Table2[Annual benefit payments (closed scheme)]*1.005^(Table2[Year]-2018))*(1+Table2[Discount rate F])^0.5</f>
        <v>74.365355924908556</v>
      </c>
      <c r="BM40" s="17">
        <f>Table2[[#This Row],[Asset growth F with benefit payments deducted]]/(1+Table2[Compounded CPI])</f>
        <v>52.589494243879045</v>
      </c>
      <c r="BN40" s="19">
        <f>Table2[[#This Row],[Asset growth F with benefit payments deducted]]/(1+Table2[Compounded discount rate F])</f>
        <v>50.719878432195635</v>
      </c>
      <c r="BO40" s="17"/>
      <c r="BP40" s="17"/>
      <c r="BQ40" s="17"/>
      <c r="BR40" s="17"/>
      <c r="BS40" s="17"/>
      <c r="BT40" s="17"/>
      <c r="BU40" s="17"/>
      <c r="BV40" s="17"/>
      <c r="BW40" s="17"/>
      <c r="BX40" s="17"/>
      <c r="BY40" s="17"/>
      <c r="BZ40" s="17"/>
      <c r="CA40" s="17">
        <f>(CA39*((1+Table2[Discount rate A2])^0.5)+Table2[Net cashflow (ongoing scheme)])*(1+Table2[Discount rate A2])^0.5</f>
        <v>92.079809729709112</v>
      </c>
      <c r="CB40" s="17">
        <f>Table2[[#This Row],[Asset growth, ongoing scheme, with November de-risking, net of contributions and payments]]/(1+Table2[Compounded discount rate A2])</f>
        <v>62.307152716908156</v>
      </c>
      <c r="CC40" s="17">
        <f>Table2[[#This Row],[Asset growth, ongoing scheme, with November de-risking, net of contributions and payments]]/(1+Table2[Compounded CPI])</f>
        <v>65.116754482392665</v>
      </c>
      <c r="CD40" s="17">
        <f>(CD39*((1+Table2[Discount rate A1])^0.5)+Table2[Net cashflow (ongoing scheme)])*(1+Table2[Discount rate A1])^0.5</f>
        <v>96.648906928510485</v>
      </c>
      <c r="CE40" s="17">
        <f>Table2[[#This Row],[Asset growth, ongoing scheme, with September de-risking, net of contributions and payments]]/(1+Table2[Compounded discount rate A1])</f>
        <v>62.246777541658957</v>
      </c>
      <c r="CF40" s="17">
        <f>Table2[[#This Row],[Asset growth, ongoing scheme, with September de-risking, net of contributions and payments]]/(1+Table2[Compounded CPI])</f>
        <v>68.347916464306948</v>
      </c>
      <c r="CG40" s="17">
        <f>(CG39*((1+Table2[Discount rate B])^0.5)+Table2[Net cashflow (ongoing scheme)])*(1+Table2[Discount rate B])^0.5</f>
        <v>98.166884002280341</v>
      </c>
      <c r="CH40" s="17">
        <f>Table2[[#This Row],[Asset growth, ongoing scheme, no de-risking, net of contributions and payments]]/(1+Table2[Compounded discount rate B])</f>
        <v>62.242537819968973</v>
      </c>
      <c r="CI40" s="17">
        <f>Table2[[#This Row],[Asset growth, ongoing scheme, no de-risking, net of contributions and payments]]/(1+Table2[Compounded CPI])</f>
        <v>69.421395446428264</v>
      </c>
      <c r="CJ40" s="17">
        <f>(CJ39*((1+Table2[Discount rate E])^0.5)+Table2[Net cashflow (ongoing scheme)])*(1+Table2[Discount rate E])^0.5</f>
        <v>121.53946293345352</v>
      </c>
      <c r="CK40" s="17">
        <f>Table2[[#This Row],[Asset growth, ongoing scheme, best-estimates, no de-risking, net of contributions and payments ]]/(1+Table2[Compounded discount rate E])</f>
        <v>61.985934450626154</v>
      </c>
      <c r="CL40" s="17">
        <f>Table2[[#This Row],[Asset growth, ongoing scheme, best-estimates, no de-risking, net of contributions and payments ]]/(1+Table2[Compounded CPI])</f>
        <v>85.949953534776469</v>
      </c>
      <c r="CM40" s="9">
        <v>2.87E-2</v>
      </c>
      <c r="CN40" s="11">
        <f>(1+Table2[[#This Row],[CPI]])*(1+CN39)-1</f>
        <v>0.41407246816343046</v>
      </c>
      <c r="CO40" s="11">
        <f>'Gilt yields'!B22</f>
        <v>2.622E-2</v>
      </c>
      <c r="CP40" s="11">
        <f t="shared" si="15"/>
        <v>4.87E-2</v>
      </c>
      <c r="CQ40" s="26">
        <f>(1+Table2[[#This Row],[Salary growth]])*(1+CQ39)-1</f>
        <v>0.87301459996402841</v>
      </c>
      <c r="CR40" s="15">
        <f t="shared" si="5"/>
        <v>14.140724681634303</v>
      </c>
      <c r="CS40" s="17">
        <f t="shared" si="6"/>
        <v>18.382942086124597</v>
      </c>
      <c r="CT40" s="17">
        <f>CT39*(1+Table2[[#This Row],[Salary growth]])</f>
        <v>18.730145999640275</v>
      </c>
      <c r="CU40" s="19">
        <f t="shared" si="7"/>
        <v>24.349189799532372</v>
      </c>
      <c r="CV40" s="112">
        <f>('Cash flows as at 31032017'!B25)/1000000000</f>
        <v>2.7993340120000001</v>
      </c>
      <c r="CW40" s="113">
        <v>0</v>
      </c>
      <c r="CX40" s="113">
        <f>Table2[[#This Row],[Annual contributions (closed scheme)]]-Table2[[#This Row],[Annual benefit payments (closed scheme)]]</f>
        <v>-2.7993340120000001</v>
      </c>
      <c r="CY40" s="113">
        <v>3.28</v>
      </c>
      <c r="CZ40" s="113">
        <v>3.5</v>
      </c>
      <c r="DA40" s="113">
        <v>0.22</v>
      </c>
      <c r="DB40" s="17"/>
      <c r="DC40" s="84"/>
      <c r="DD40" s="84"/>
      <c r="DE40" s="84"/>
      <c r="DF40" s="84"/>
      <c r="DG40" s="84"/>
      <c r="DH40" s="84"/>
      <c r="DI40" s="84"/>
      <c r="DJ40" s="84"/>
      <c r="DK40" s="84"/>
      <c r="DL40" s="84"/>
      <c r="DM40" s="84"/>
      <c r="DN40" s="84"/>
      <c r="DO40" s="84"/>
      <c r="DP40" s="84"/>
      <c r="DQ40" s="84"/>
      <c r="DR40" s="84"/>
      <c r="DS40" s="84"/>
      <c r="DT40" s="84"/>
      <c r="DU40" s="84"/>
      <c r="DV40" s="84"/>
      <c r="DW40" s="84"/>
      <c r="DX40" s="84"/>
    </row>
    <row r="41" spans="1:131" x14ac:dyDescent="0.2">
      <c r="A41" s="8">
        <v>2034</v>
      </c>
      <c r="B41" s="50"/>
      <c r="C41" s="50"/>
      <c r="D41" s="50"/>
      <c r="E41" s="35">
        <v>6.0999999999999999E-2</v>
      </c>
      <c r="F41" s="16">
        <f>F40*(1+Table2[[#This Row],[2008 discount rate]])</f>
        <v>157.12366193149538</v>
      </c>
      <c r="G41" s="18">
        <v>6.0999999999999999E-2</v>
      </c>
      <c r="H41" s="16">
        <f>H40*(1+Table2[[#This Row],[2011 discount rate]])</f>
        <v>129.11814054656784</v>
      </c>
      <c r="I41" s="18">
        <v>5.1999999999999998E-2</v>
      </c>
      <c r="J41" s="16">
        <f>J40*(1+Table2[[#This Row],[2014 discount rate]])</f>
        <v>114.92911002244389</v>
      </c>
      <c r="K41" s="9">
        <v>5.0099999999999999E-2</v>
      </c>
      <c r="L41" s="18">
        <f t="shared" si="9"/>
        <v>0.63046218894954853</v>
      </c>
      <c r="M41" s="17">
        <f>Table2[[#This Row],[Annual benefit payments (closed scheme)]]/((1+L40)*(1+Table2[[#This Row],[Discount rate A1]])^0.5)+M40</f>
        <v>32.455352406894342</v>
      </c>
      <c r="N41" s="17">
        <f>N40*(1+Table2[Discount rate A1])</f>
        <v>105.85379350118967</v>
      </c>
      <c r="O41" s="17">
        <f>Table2[[#This Row],[Asset growth A1, under the assumption of full-funding at Year 0]]/(1+Table2[[#This Row],[Compounded CPI]])</f>
        <v>72.768935183040213</v>
      </c>
      <c r="P41" s="17">
        <f>(P40*((1+Table2[Discount rate A1])^0.5)-Table2[Annual benefit payments (closed scheme)])*(1+Table2[Discount rate A1])^0.5</f>
        <v>52.936568572715728</v>
      </c>
      <c r="Q41" s="17">
        <f>Table2[[#This Row],[Asset growth A1 with benefit payments deducted]]/(1+Table2[Compounded CPI])</f>
        <v>36.391116462323296</v>
      </c>
      <c r="R41" s="17">
        <f>Table2[[#This Row],[Asset growth A1 with benefit payments deducted]]/(1+Table2[Compounded discount rate A1])</f>
        <v>32.467216309272992</v>
      </c>
      <c r="S41" s="9">
        <v>4.9200000000000001E-2</v>
      </c>
      <c r="T41" s="18">
        <f t="shared" si="8"/>
        <v>0.55054648071238077</v>
      </c>
      <c r="U41" s="17">
        <f>Table2[[#This Row],[Annual benefit payments (closed scheme)]]/((1+T40)*(1+Table2[[#This Row],[Discount rate A2]])^0.5)+U40</f>
        <v>33.330862714664654</v>
      </c>
      <c r="V41" s="17">
        <f>V40*(1+Table2[Discount rate A2])</f>
        <v>104.67941797762623</v>
      </c>
      <c r="W41" s="17">
        <f>Table2[[#This Row],[Asset growth A2, under the assumption of full-funding at Year 0]]/(1+Table2[Compounded CPI])</f>
        <v>71.961613560185228</v>
      </c>
      <c r="X41" s="17">
        <f>(X40*((1+Table2[Discount rate A2])^0.5)-Table2[Annual benefit payments (closed scheme)])*(1+Table2[Discount rate A2])^0.5</f>
        <v>52.998366096295456</v>
      </c>
      <c r="Y41" s="17">
        <f>Table2[[#This Row],[Asset growth A2 with benefit payments deducted]]/(1+Table2[[#This Row],[Compounded CPI]])</f>
        <v>36.433599020945962</v>
      </c>
      <c r="Z41" s="19">
        <f>Table2[[#This Row],[Asset growth A2 with benefit payments deducted]]/(1+Table2[Compounded discount rate A2])</f>
        <v>34.18044331824607</v>
      </c>
      <c r="AA41" s="35">
        <f t="shared" si="16"/>
        <v>5.67E-2</v>
      </c>
      <c r="AB41" s="18">
        <f t="shared" si="10"/>
        <v>0.66659249379014707</v>
      </c>
      <c r="AC41" s="17">
        <f>Table2[[#This Row],[Annual benefit payments (closed scheme)]]/((1+AB40)*(1+Table2[[#This Row],[Discount rate B]])^0.5)+AC40</f>
        <v>32.367756548303547</v>
      </c>
      <c r="AD41" s="16">
        <f>AD40*(1+Table2[Discount rate B])</f>
        <v>99.995549627408849</v>
      </c>
      <c r="AE41" s="16">
        <f>Table2[[#This Row],[Asset growth B]]/(1+Table2[Compounded CPI])</f>
        <v>68.741699553239116</v>
      </c>
      <c r="AF41" s="17">
        <f>(AF40*((1+Table2[Discount rate B])^0.5)-Table2[Annual benefit payments (closed scheme)])*(1+Table2[Discount rate B])^0.5</f>
        <v>46.051689523179249</v>
      </c>
      <c r="AG41" s="17">
        <f>Table2[[#This Row],[Asset growth B with benefit payments deducted]]/(1+Table2[Compounded CPI])</f>
        <v>31.658122955641264</v>
      </c>
      <c r="AH41" s="19">
        <f>Table2[[#This Row],[Asset growth B with benefit payments deducted]]/(1+Table2[Compounded discount rate B])</f>
        <v>27.63224345169645</v>
      </c>
      <c r="AI41" s="11">
        <f>Table2[CPI]+3.04%</f>
        <v>5.91E-2</v>
      </c>
      <c r="AJ41" s="18">
        <f t="shared" si="11"/>
        <v>1.0303761752901086</v>
      </c>
      <c r="AK41" s="17">
        <f>Table2[[#This Row],[Annual benefit payments (closed scheme)]]/((1+AJ40)*(1+Table2[[#This Row],[Discount rate C]])^0.5)+AK40</f>
        <v>28.785312010054511</v>
      </c>
      <c r="AL41" s="17">
        <f>AL40*(1+Table2[Discount rate C])</f>
        <v>121.82257051740656</v>
      </c>
      <c r="AM41" s="17">
        <f>Table2[[#This Row],[Asset growth C]]/(1+Table2[Compounded CPI])</f>
        <v>83.746632450285048</v>
      </c>
      <c r="AN41" s="17">
        <f>(AN40*((1+Table2[Discount rate C])^0.5)-Table2[Annual benefit payments (closed scheme)])*(1+Table2[Discount rate C])^0.5</f>
        <v>63.377558813899569</v>
      </c>
      <c r="AO41" s="17">
        <f>Table2[[#This Row],[Asset growth C with benefit payments deducted]]/(1+Table2[Compounded CPI])</f>
        <v>43.568750035738155</v>
      </c>
      <c r="AP41" s="19">
        <f>Table2[[#This Row],[Asset growth C with benefit payments deducted]]/(1+Table2[Compounded discount rate C])</f>
        <v>31.214687989945467</v>
      </c>
      <c r="AQ41" s="11">
        <f>Table2[CPI]+2.88%</f>
        <v>5.7499999999999996E-2</v>
      </c>
      <c r="AR41" s="18">
        <f t="shared" si="12"/>
        <v>0.9036301993589706</v>
      </c>
      <c r="AS41" s="17">
        <f>Table2[[#This Row],[Annual benefit payments (closed scheme)]]/((1+AR40)*(1+Table2[[#This Row],[Discount rate D]])^0.5)+AS40</f>
        <v>29.677165688974927</v>
      </c>
      <c r="AT41" s="16">
        <f>AT40*(1+Table2[Discount rate D])</f>
        <v>114.21781196153825</v>
      </c>
      <c r="AU41" s="17">
        <f>Table2[[#This Row],[Asset growth D]]/(1+Table2[Compounded CPI])</f>
        <v>78.518759512236471</v>
      </c>
      <c r="AV41" s="17">
        <f>(AV40*((1+Table2[Discount rate D])^0.5)-Table2[Annual benefit payments (closed scheme)])*(1+Table2[Discount rate D])^0.5</f>
        <v>57.723463124625724</v>
      </c>
      <c r="AW41" s="17">
        <f>Table2[[#This Row],[Asset growth D with benefit payments deducted]]/(1+Table2[Compounded CPI])</f>
        <v>39.681855583279528</v>
      </c>
      <c r="AX41" s="19">
        <f>Table2[[#This Row],[Asset growth D with benefit payments deducted]]/(1+Table2[Compounded discount rate D])</f>
        <v>30.32283431102509</v>
      </c>
      <c r="AY41" s="11">
        <f>Table2[CPI]+4%</f>
        <v>6.8699999999999997E-2</v>
      </c>
      <c r="AZ41" s="18">
        <f t="shared" si="13"/>
        <v>1.0954628689262211</v>
      </c>
      <c r="BA41" s="17">
        <f>Table2[[#This Row],[Annual benefit payments (closed scheme)]]/((1+AZ40)*(1+Table2[[#This Row],[Discount rate E]])^0.5)+BA40</f>
        <v>28.682807268180696</v>
      </c>
      <c r="BB41" s="17">
        <f>BB40*(1+Table2[Discount rate E])</f>
        <v>125.72777213557329</v>
      </c>
      <c r="BC41" s="16">
        <f>Table2[[#This Row],[Asset growth E]]/(1+Table2[Compounded CPI])</f>
        <v>86.431253889250158</v>
      </c>
      <c r="BD41" s="17">
        <f>(BD40*((1+Table2[Discount rate E])^0.5)-Table2[Annual benefit payments (closed scheme)])*(1+Table2[Discount rate E])^0.5</f>
        <v>65.624014528533479</v>
      </c>
      <c r="BE41" s="17">
        <f>Table2[[#This Row],[Asset growth E with benefit payments deducted]]/(1+Table2[Compounded CPI])</f>
        <v>45.113070601707555</v>
      </c>
      <c r="BF41" s="19">
        <f>Table2[[#This Row],[Asset growth E with benefit payments deducted]]/(1+Table2[Compounded discount rate E])</f>
        <v>31.317192731819304</v>
      </c>
      <c r="BG41" s="11">
        <f>Table2[[#This Row],[Long-dated forward gilt yields]]+0.75%</f>
        <v>3.3530000000000004E-2</v>
      </c>
      <c r="BH41" s="11">
        <f t="shared" si="14"/>
        <v>0.51535904037740732</v>
      </c>
      <c r="BI41" s="17">
        <f>((Table2[[#This Row],[Annual benefit payments (closed scheme)]])*1.005^(Table2[[#This Row],[Year]]-2018))/((1+BH40)*(1+Table2[[#This Row],[Discount rate F]])^0.5)+BI40</f>
        <v>33.714756167587957</v>
      </c>
      <c r="BJ41" s="17">
        <f>BJ40*(1+Table2[Discount rate F])</f>
        <v>124.77995934877832</v>
      </c>
      <c r="BK41" s="17">
        <f>Table2[[#This Row],[Asset growth F, under the assumption of full-funding at Year 0]]/(1+Table2[[#This Row],[Compounded CPI]])</f>
        <v>85.779682273659773</v>
      </c>
      <c r="BL41" s="17">
        <f>(BL40*((1+Table2[Discount rate F])^0.5)-Table2[Annual benefit payments (closed scheme)]*1.005^(Table2[Year]-2018))*(1+Table2[Discount rate F])^0.5</f>
        <v>73.689998796103964</v>
      </c>
      <c r="BM41" s="17">
        <f>Table2[[#This Row],[Asset growth F with benefit payments deducted]]/(1+Table2[Compounded CPI])</f>
        <v>50.658012043486515</v>
      </c>
      <c r="BN41" s="19">
        <f>Table2[[#This Row],[Asset growth F with benefit payments deducted]]/(1+Table2[Compounded discount rate F])</f>
        <v>48.628738690040826</v>
      </c>
      <c r="BO41" s="17"/>
      <c r="BP41" s="17"/>
      <c r="BQ41" s="17"/>
      <c r="BR41" s="17"/>
      <c r="BS41" s="17"/>
      <c r="BT41" s="17"/>
      <c r="BU41" s="17"/>
      <c r="BV41" s="17"/>
      <c r="BW41" s="17"/>
      <c r="BX41" s="17"/>
      <c r="BY41" s="17"/>
      <c r="BZ41" s="17"/>
      <c r="CA41" s="17">
        <f>(CA40*((1+Table2[Discount rate A2])^0.5)+Table2[Net cashflow (ongoing scheme)])*(1+Table2[Discount rate A2])^0.5</f>
        <v>96.876455575378671</v>
      </c>
      <c r="CB41" s="17">
        <f>Table2[[#This Row],[Asset growth, ongoing scheme, with November de-risking, net of contributions and payments]]/(1+Table2[Compounded discount rate A2])</f>
        <v>62.478911003602995</v>
      </c>
      <c r="CC41" s="17">
        <f>Table2[[#This Row],[Asset growth, ongoing scheme, with November de-risking, net of contributions and payments]]/(1+Table2[Compounded CPI])</f>
        <v>66.597485865711334</v>
      </c>
      <c r="CD41" s="17">
        <f>(CD40*((1+Table2[Discount rate A1])^0.5)+Table2[Net cashflow (ongoing scheme)])*(1+Table2[Discount rate A1])^0.5</f>
        <v>101.75745057194273</v>
      </c>
      <c r="CE41" s="17">
        <f>Table2[[#This Row],[Asset growth, ongoing scheme, with September de-risking, net of contributions and payments]]/(1+Table2[Compounded discount rate A1])</f>
        <v>62.410187284074091</v>
      </c>
      <c r="CF41" s="17">
        <f>Table2[[#This Row],[Asset growth, ongoing scheme, with September de-risking, net of contributions and payments]]/(1+Table2[Compounded CPI])</f>
        <v>69.952914110516957</v>
      </c>
      <c r="CG41" s="17">
        <f>(CG40*((1+Table2[Discount rate B])^0.5)+Table2[Net cashflow (ongoing scheme)])*(1+Table2[Discount rate B])^0.5</f>
        <v>104.00021570243044</v>
      </c>
      <c r="CH41" s="17">
        <f>Table2[[#This Row],[Asset growth, ongoing scheme, no de-risking, net of contributions and payments]]/(1+Table2[Compounded discount rate B])</f>
        <v>62.40290658330894</v>
      </c>
      <c r="CI41" s="17">
        <f>Table2[[#This Row],[Asset growth, ongoing scheme, no de-risking, net of contributions and payments]]/(1+Table2[Compounded CPI])</f>
        <v>71.494697593311159</v>
      </c>
      <c r="CJ41" s="17">
        <f>(CJ40*((1+Table2[Discount rate E])^0.5)+Table2[Net cashflow (ongoing scheme)])*(1+Table2[Discount rate E])^0.5</f>
        <v>130.15800670011319</v>
      </c>
      <c r="CK41" s="17">
        <f>Table2[[#This Row],[Asset growth, ongoing scheme, best-estimates, no de-risking, net of contributions and payments ]]/(1+Table2[Compounded discount rate E])</f>
        <v>62.114203324829184</v>
      </c>
      <c r="CL41" s="17">
        <f>Table2[[#This Row],[Asset growth, ongoing scheme, best-estimates, no de-risking, net of contributions and payments ]]/(1+Table2[Compounded CPI])</f>
        <v>89.476807961613602</v>
      </c>
      <c r="CM41" s="9">
        <v>2.87E-2</v>
      </c>
      <c r="CN41" s="11">
        <f>(1+Table2[[#This Row],[CPI]])*(1+CN40)-1</f>
        <v>0.45465634799972077</v>
      </c>
      <c r="CO41" s="11">
        <f>'Gilt yields'!B23</f>
        <v>2.6030000000000001E-2</v>
      </c>
      <c r="CP41" s="11">
        <f t="shared" si="15"/>
        <v>4.87E-2</v>
      </c>
      <c r="CQ41" s="26">
        <f>(1+Table2[[#This Row],[Salary growth]])*(1+CQ40)-1</f>
        <v>0.96423041098227658</v>
      </c>
      <c r="CR41" s="15">
        <f t="shared" si="5"/>
        <v>14.546563479997207</v>
      </c>
      <c r="CS41" s="17">
        <f t="shared" si="6"/>
        <v>18.910532523996373</v>
      </c>
      <c r="CT41" s="17">
        <f>CT40*(1+Table2[[#This Row],[Salary growth]])</f>
        <v>19.642304109822756</v>
      </c>
      <c r="CU41" s="19">
        <f t="shared" si="7"/>
        <v>25.534995342769598</v>
      </c>
      <c r="CV41" s="112">
        <f>('Cash flows as at 31032017'!B26)/1000000000</f>
        <v>2.8779289530000001</v>
      </c>
      <c r="CW41" s="113">
        <v>0</v>
      </c>
      <c r="CX41" s="113">
        <f>Table2[[#This Row],[Annual contributions (closed scheme)]]-Table2[[#This Row],[Annual benefit payments (closed scheme)]]</f>
        <v>-2.8779289530000001</v>
      </c>
      <c r="CY41" s="113">
        <v>3.34</v>
      </c>
      <c r="CZ41" s="113">
        <v>3.6</v>
      </c>
      <c r="DA41" s="113">
        <v>0.26</v>
      </c>
      <c r="DB41" s="17"/>
      <c r="DC41" s="84"/>
      <c r="DD41" s="84"/>
      <c r="DE41" s="84"/>
      <c r="DF41" s="84"/>
      <c r="DG41" s="84"/>
      <c r="DH41" s="84"/>
      <c r="DI41" s="84"/>
      <c r="DJ41" s="84"/>
      <c r="DK41" s="84"/>
      <c r="DL41" s="84"/>
      <c r="DM41" s="84"/>
      <c r="DN41" s="84"/>
      <c r="DO41" s="84"/>
      <c r="DP41" s="84"/>
      <c r="DQ41" s="84"/>
      <c r="DR41" s="84"/>
      <c r="DS41" s="84"/>
      <c r="DT41" s="84"/>
      <c r="DU41" s="84"/>
      <c r="DV41" s="84"/>
      <c r="DW41" s="84"/>
      <c r="DX41" s="84"/>
    </row>
    <row r="42" spans="1:131" x14ac:dyDescent="0.2">
      <c r="A42" s="8">
        <v>2035</v>
      </c>
      <c r="B42" s="50"/>
      <c r="C42" s="50"/>
      <c r="D42" s="50"/>
      <c r="E42" s="35">
        <v>6.0999999999999999E-2</v>
      </c>
      <c r="F42" s="16">
        <f>F41*(1+Table2[[#This Row],[2008 discount rate]])</f>
        <v>166.70820530931658</v>
      </c>
      <c r="G42" s="18">
        <v>6.0999999999999999E-2</v>
      </c>
      <c r="H42" s="16">
        <f>H41*(1+Table2[[#This Row],[2011 discount rate]])</f>
        <v>136.99434711990847</v>
      </c>
      <c r="I42" s="18">
        <v>5.1999999999999998E-2</v>
      </c>
      <c r="J42" s="16">
        <f>J41*(1+Table2[[#This Row],[2014 discount rate]])</f>
        <v>120.90542374361098</v>
      </c>
      <c r="K42" s="9">
        <v>4.8800000000000003E-2</v>
      </c>
      <c r="L42" s="18">
        <f t="shared" si="9"/>
        <v>0.71002874377028635</v>
      </c>
      <c r="M42" s="17">
        <f>Table2[[#This Row],[Annual benefit payments (closed scheme)]]/((1+L41)*(1+Table2[[#This Row],[Discount rate A1]])^0.5)+M41</f>
        <v>34.214844943106158</v>
      </c>
      <c r="N42" s="17">
        <f>N41*(1+Table2[Discount rate A1])</f>
        <v>111.01945862404772</v>
      </c>
      <c r="O42" s="17">
        <f>Table2[[#This Row],[Asset growth A1, under the assumption of full-funding at Year 0]]/(1+Table2[[#This Row],[Compounded CPI]])</f>
        <v>74.205210714606295</v>
      </c>
      <c r="P42" s="17">
        <f>(P41*((1+Table2[Discount rate A1])^0.5)-Table2[Annual benefit payments (closed scheme)])*(1+Table2[Discount rate A1])^0.5</f>
        <v>52.511090307692768</v>
      </c>
      <c r="Q42" s="17">
        <f>Table2[[#This Row],[Asset growth A1 with benefit payments deducted]]/(1+Table2[Compounded CPI])</f>
        <v>35.098320325370672</v>
      </c>
      <c r="R42" s="17">
        <f>Table2[[#This Row],[Asset growth A1 with benefit payments deducted]]/(1+Table2[Compounded discount rate A1])</f>
        <v>30.707723773061179</v>
      </c>
      <c r="S42" s="9">
        <v>4.8099999999999997E-2</v>
      </c>
      <c r="T42" s="18">
        <f t="shared" si="8"/>
        <v>0.6251277664346464</v>
      </c>
      <c r="U42" s="17">
        <f>Table2[[#This Row],[Annual benefit payments (closed scheme)]]/((1+T41)*(1+Table2[[#This Row],[Discount rate A2]])^0.5)+U41</f>
        <v>35.181657852611714</v>
      </c>
      <c r="V42" s="17">
        <f>V41*(1+Table2[Discount rate A2])</f>
        <v>109.71449798235005</v>
      </c>
      <c r="W42" s="17">
        <f>Table2[[#This Row],[Asset growth A2, under the assumption of full-funding at Year 0]]/(1+Table2[Compounded CPI])</f>
        <v>73.33297731884312</v>
      </c>
      <c r="X42" s="17">
        <f>(X41*((1+Table2[Discount rate A2])^0.5)-Table2[Annual benefit payments (closed scheme)])*(1+Table2[Discount rate A2])^0.5</f>
        <v>52.539808936867253</v>
      </c>
      <c r="Y42" s="17">
        <f>Table2[[#This Row],[Asset growth A2 with benefit payments deducted]]/(1+Table2[[#This Row],[Compounded CPI]])</f>
        <v>35.117515806556938</v>
      </c>
      <c r="Z42" s="19">
        <f>Table2[[#This Row],[Asset growth A2 with benefit payments deducted]]/(1+Table2[Compounded discount rate A2])</f>
        <v>32.329648180299003</v>
      </c>
      <c r="AA42" s="35">
        <f t="shared" si="16"/>
        <v>5.6499999999999995E-2</v>
      </c>
      <c r="AB42" s="18">
        <f t="shared" si="10"/>
        <v>0.76075496968929035</v>
      </c>
      <c r="AC42" s="17">
        <f>Table2[[#This Row],[Annual benefit payments (closed scheme)]]/((1+AB41)*(1+Table2[[#This Row],[Discount rate B]])^0.5)+AC41</f>
        <v>34.082820536034056</v>
      </c>
      <c r="AD42" s="16">
        <f>AD41*(1+Table2[Discount rate B])</f>
        <v>105.64529818135745</v>
      </c>
      <c r="AE42" s="16">
        <f>Table2[[#This Row],[Asset growth B]]/(1+Table2[Compounded CPI])</f>
        <v>70.613131334951021</v>
      </c>
      <c r="AF42" s="17">
        <f>(AF41*((1+Table2[Discount rate B])^0.5)-Table2[Annual benefit payments (closed scheme)])*(1+Table2[Discount rate B])^0.5</f>
        <v>45.633802541507244</v>
      </c>
      <c r="AG42" s="17">
        <f>Table2[[#This Row],[Asset growth B with benefit payments deducted]]/(1+Table2[Compounded CPI])</f>
        <v>30.501553288675368</v>
      </c>
      <c r="AH42" s="19">
        <f>Table2[[#This Row],[Asset growth B with benefit payments deducted]]/(1+Table2[Compounded discount rate B])</f>
        <v>25.917179463965937</v>
      </c>
      <c r="AI42" s="11">
        <f>Table2[CPI]+2.88%</f>
        <v>5.7300000000000004E-2</v>
      </c>
      <c r="AJ42" s="18">
        <f t="shared" si="11"/>
        <v>1.1467167301342318</v>
      </c>
      <c r="AK42" s="17">
        <f>Table2[[#This Row],[Annual benefit payments (closed scheme)]]/((1+AJ41)*(1+Table2[[#This Row],[Discount rate C]])^0.5)+AK41</f>
        <v>30.192554291291867</v>
      </c>
      <c r="AL42" s="17">
        <f>AL41*(1+Table2[Discount rate C])</f>
        <v>128.80300380805394</v>
      </c>
      <c r="AM42" s="17">
        <f>Table2[[#This Row],[Asset growth C]]/(1+Table2[Compounded CPI])</f>
        <v>86.091701010876406</v>
      </c>
      <c r="AN42" s="17">
        <f>(AN41*((1+Table2[Discount rate C])^0.5)-Table2[Annual benefit payments (closed scheme)])*(1+Table2[Discount rate C])^0.5</f>
        <v>63.988142385451511</v>
      </c>
      <c r="AO42" s="17">
        <f>Table2[[#This Row],[Asset growth C with benefit payments deducted]]/(1+Table2[Compounded CPI])</f>
        <v>42.769561730867146</v>
      </c>
      <c r="AP42" s="19">
        <f>Table2[[#This Row],[Asset growth C with benefit payments deducted]]/(1+Table2[Compounded discount rate C])</f>
        <v>29.807445708708109</v>
      </c>
      <c r="AQ42" s="11">
        <f>Table2[CPI]+2.77%</f>
        <v>5.62E-2</v>
      </c>
      <c r="AR42" s="18">
        <f t="shared" si="12"/>
        <v>1.0106142165629448</v>
      </c>
      <c r="AS42" s="17">
        <f>Table2[[#This Row],[Annual benefit payments (closed scheme)]]/((1+AR41)*(1+Table2[[#This Row],[Discount rate D]])^0.5)+AS41</f>
        <v>31.178885231939855</v>
      </c>
      <c r="AT42" s="16">
        <f>AT41*(1+Table2[Discount rate D])</f>
        <v>120.6368529937767</v>
      </c>
      <c r="AU42" s="17">
        <f>Table2[[#This Row],[Asset growth D]]/(1+Table2[Compounded CPI])</f>
        <v>80.633460181647223</v>
      </c>
      <c r="AV42" s="17">
        <f>(AV41*((1+Table2[Discount rate D])^0.5)-Table2[Annual benefit payments (closed scheme)])*(1+Table2[Discount rate D])^0.5</f>
        <v>57.948143089854007</v>
      </c>
      <c r="AW42" s="17">
        <f>Table2[[#This Row],[Asset growth D with benefit payments deducted]]/(1+Table2[Compounded CPI])</f>
        <v>38.732436834017733</v>
      </c>
      <c r="AX42" s="19">
        <f>Table2[[#This Row],[Asset growth D with benefit payments deducted]]/(1+Table2[Compounded discount rate D])</f>
        <v>28.821114768060166</v>
      </c>
      <c r="AY42" s="11">
        <f>Table2[CPI]+4%</f>
        <v>6.8500000000000005E-2</v>
      </c>
      <c r="AZ42" s="18">
        <f t="shared" si="13"/>
        <v>1.2390020754476674</v>
      </c>
      <c r="BA42" s="17">
        <f>Table2[[#This Row],[Annual benefit payments (closed scheme)]]/((1+AZ41)*(1+Table2[[#This Row],[Discount rate E]])^0.5)+BA41</f>
        <v>30.039174431068336</v>
      </c>
      <c r="BB42" s="17">
        <f>BB41*(1+Table2[Discount rate E])</f>
        <v>134.34012452686005</v>
      </c>
      <c r="BC42" s="16">
        <f>Table2[[#This Row],[Asset growth E]]/(1+Table2[Compounded CPI])</f>
        <v>89.792702752225367</v>
      </c>
      <c r="BD42" s="17">
        <f>(BD41*((1+Table2[Discount rate E])^0.5)-Table2[Annual benefit payments (closed scheme)])*(1+Table2[Discount rate E])^0.5</f>
        <v>67.082350630963532</v>
      </c>
      <c r="BE42" s="17">
        <f>Table2[[#This Row],[Asset growth E with benefit payments deducted]]/(1+Table2[Compounded CPI])</f>
        <v>44.837725075372568</v>
      </c>
      <c r="BF42" s="19">
        <f>Table2[[#This Row],[Asset growth E with benefit payments deducted]]/(1+Table2[Compounded discount rate E])</f>
        <v>29.960825568931661</v>
      </c>
      <c r="BG42" s="11">
        <f>Table2[[#This Row],[Long-dated forward gilt yields]]+0.75%</f>
        <v>3.3149999999999999E-2</v>
      </c>
      <c r="BH42" s="11">
        <f t="shared" si="14"/>
        <v>0.56559319256591833</v>
      </c>
      <c r="BI42" s="17">
        <f>((Table2[[#This Row],[Annual benefit payments (closed scheme)]])*1.005^(Table2[[#This Row],[Year]]-2018))/((1+BH41)*(1+Table2[[#This Row],[Discount rate F]])^0.5)+BI41</f>
        <v>35.790961564581153</v>
      </c>
      <c r="BJ42" s="17">
        <f>BJ41*(1+Table2[Discount rate F])</f>
        <v>128.91641500119033</v>
      </c>
      <c r="BK42" s="17">
        <f>Table2[[#This Row],[Asset growth F, under the assumption of full-funding at Year 0]]/(1+Table2[[#This Row],[Compounded CPI]])</f>
        <v>86.16750485272884</v>
      </c>
      <c r="BL42" s="17">
        <f>(BL41*((1+Table2[Discount rate F])^0.5)-Table2[Annual benefit payments (closed scheme)]*1.005^(Table2[Year]-2018))*(1+Table2[Discount rate F])^0.5</f>
        <v>72.882329220293641</v>
      </c>
      <c r="BM42" s="17">
        <f>Table2[[#This Row],[Asset growth F with benefit payments deducted]]/(1+Table2[Compounded CPI])</f>
        <v>48.714420554665963</v>
      </c>
      <c r="BN42" s="19">
        <f>Table2[[#This Row],[Asset growth F with benefit payments deducted]]/(1+Table2[Compounded discount rate F])</f>
        <v>46.552533293047631</v>
      </c>
      <c r="BO42" s="17"/>
      <c r="BP42" s="17"/>
      <c r="BQ42" s="17"/>
      <c r="BR42" s="17"/>
      <c r="BS42" s="17"/>
      <c r="BT42" s="17"/>
      <c r="BU42" s="17"/>
      <c r="BV42" s="17"/>
      <c r="BW42" s="17"/>
      <c r="BX42" s="17"/>
      <c r="BY42" s="17"/>
      <c r="BZ42" s="17"/>
      <c r="CA42" s="17">
        <f>(CA41*((1+Table2[Discount rate A2])^0.5)+Table2[Net cashflow (ongoing scheme)])*(1+Table2[Discount rate A2])^0.5</f>
        <v>101.87405638062927</v>
      </c>
      <c r="CB42" s="17">
        <f>Table2[[#This Row],[Asset growth, ongoing scheme, with November de-risking, net of contributions and payments]]/(1+Table2[Compounded discount rate A2])</f>
        <v>62.68679822272059</v>
      </c>
      <c r="CC42" s="17">
        <f>Table2[[#This Row],[Asset growth, ongoing scheme, with November de-risking, net of contributions and payments]]/(1+Table2[Compounded CPI])</f>
        <v>68.092439953934431</v>
      </c>
      <c r="CD42" s="17">
        <f>(CD41*((1+Table2[Discount rate A1])^0.5)+Table2[Net cashflow (ongoing scheme)])*(1+Table2[Discount rate A1])^0.5</f>
        <v>107.0611702516761</v>
      </c>
      <c r="CE42" s="17">
        <f>Table2[[#This Row],[Asset growth, ongoing scheme, with September de-risking, net of contributions and payments]]/(1+Table2[Compounded discount rate A1])</f>
        <v>62.607819103453608</v>
      </c>
      <c r="CF42" s="17">
        <f>Table2[[#This Row],[Asset growth, ongoing scheme, with September de-risking, net of contributions and payments]]/(1+Table2[Compounded CPI])</f>
        <v>71.559497734364939</v>
      </c>
      <c r="CG42" s="17">
        <f>(CG41*((1+Table2[Discount rate B])^0.5)+Table2[Net cashflow (ongoing scheme)])*(1+Table2[Discount rate B])^0.5</f>
        <v>110.21542230289721</v>
      </c>
      <c r="CH42" s="17">
        <f>Table2[[#This Row],[Asset growth, ongoing scheme, no de-risking, net of contributions and payments]]/(1+Table2[Compounded discount rate B])</f>
        <v>62.595548046271453</v>
      </c>
      <c r="CI42" s="17">
        <f>Table2[[#This Row],[Asset growth, ongoing scheme, no de-risking, net of contributions and payments]]/(1+Table2[Compounded CPI])</f>
        <v>73.667794252910042</v>
      </c>
      <c r="CJ42" s="17">
        <f>(CJ41*((1+Table2[Discount rate E])^0.5)+Table2[Net cashflow (ongoing scheme)])*(1+Table2[Discount rate E])^0.5</f>
        <v>139.41494546215776</v>
      </c>
      <c r="CK42" s="17">
        <f>Table2[[#This Row],[Asset growth, ongoing scheme, best-estimates, no de-risking, net of contributions and payments ]]/(1+Table2[Compounded discount rate E])</f>
        <v>62.26655481517723</v>
      </c>
      <c r="CL42" s="17">
        <f>Table2[[#This Row],[Asset growth, ongoing scheme, best-estimates, no de-risking, net of contributions and payments ]]/(1+Table2[Compounded CPI])</f>
        <v>93.184704132072596</v>
      </c>
      <c r="CM42" s="9">
        <v>2.8500000000000001E-2</v>
      </c>
      <c r="CN42" s="11">
        <f>(1+Table2[[#This Row],[CPI]])*(1+CN41)-1</f>
        <v>0.49611405391771268</v>
      </c>
      <c r="CO42" s="11">
        <f>'Gilt yields'!B24</f>
        <v>2.5649999999999999E-2</v>
      </c>
      <c r="CP42" s="11">
        <f t="shared" si="15"/>
        <v>4.8500000000000001E-2</v>
      </c>
      <c r="CQ42" s="26">
        <f>(1+Table2[[#This Row],[Salary growth]])*(1+CQ41)-1</f>
        <v>1.0594955859149171</v>
      </c>
      <c r="CR42" s="15">
        <f t="shared" si="5"/>
        <v>14.961140539177126</v>
      </c>
      <c r="CS42" s="17">
        <f t="shared" si="6"/>
        <v>19.449482700930268</v>
      </c>
      <c r="CT42" s="17">
        <f>CT41*(1+Table2[[#This Row],[Salary growth]])</f>
        <v>20.594955859149159</v>
      </c>
      <c r="CU42" s="19">
        <f t="shared" si="7"/>
        <v>26.773442616893924</v>
      </c>
      <c r="CV42" s="112">
        <f>('Cash flows as at 31032017'!B27)/1000000000</f>
        <v>2.9379506740000001</v>
      </c>
      <c r="CW42" s="113">
        <v>0</v>
      </c>
      <c r="CX42" s="113">
        <f>Table2[[#This Row],[Annual contributions (closed scheme)]]-Table2[[#This Row],[Annual benefit payments (closed scheme)]]</f>
        <v>-2.9379506740000001</v>
      </c>
      <c r="CY42" s="113">
        <v>3.37</v>
      </c>
      <c r="CZ42" s="113">
        <v>3.7</v>
      </c>
      <c r="DA42" s="113">
        <v>0.33</v>
      </c>
      <c r="DB42" s="17"/>
      <c r="DC42" s="84"/>
      <c r="DD42" s="84"/>
      <c r="DE42" s="84"/>
      <c r="DF42" s="84"/>
      <c r="DG42" s="84"/>
      <c r="DH42" s="84"/>
      <c r="DI42" s="84"/>
      <c r="DJ42" s="84"/>
      <c r="DK42" s="84"/>
      <c r="DL42" s="84"/>
      <c r="DM42" s="84"/>
      <c r="DN42" s="84"/>
      <c r="DO42" s="84"/>
      <c r="DP42" s="84"/>
      <c r="DQ42" s="84"/>
      <c r="DR42" s="84"/>
      <c r="DS42" s="84"/>
      <c r="DT42" s="84"/>
      <c r="DU42" s="84"/>
      <c r="DV42" s="84"/>
      <c r="DW42" s="84"/>
      <c r="DX42" s="84"/>
    </row>
    <row r="43" spans="1:131" x14ac:dyDescent="0.2">
      <c r="A43" s="8">
        <v>2036</v>
      </c>
      <c r="B43" s="50"/>
      <c r="C43" s="50"/>
      <c r="D43" s="50"/>
      <c r="E43" s="35">
        <v>6.0999999999999999E-2</v>
      </c>
      <c r="F43" s="16">
        <f>F42*(1+Table2[[#This Row],[2008 discount rate]])</f>
        <v>176.87740583318489</v>
      </c>
      <c r="G43" s="18">
        <v>6.0999999999999999E-2</v>
      </c>
      <c r="H43" s="16">
        <f>H42*(1+Table2[[#This Row],[2011 discount rate]])</f>
        <v>145.35100229422287</v>
      </c>
      <c r="I43" s="18">
        <v>5.1999999999999998E-2</v>
      </c>
      <c r="J43" s="16">
        <f>J42*(1+Table2[[#This Row],[2014 discount rate]])</f>
        <v>127.19250577827876</v>
      </c>
      <c r="K43" s="9">
        <v>4.7199999999999999E-2</v>
      </c>
      <c r="L43" s="18">
        <f t="shared" si="9"/>
        <v>0.7907421004762436</v>
      </c>
      <c r="M43" s="17">
        <f>Table2[[#This Row],[Annual benefit payments (closed scheme)]]/((1+L42)*(1+Table2[[#This Row],[Discount rate A1]])^0.5)+M42</f>
        <v>35.934241158332163</v>
      </c>
      <c r="N43" s="17">
        <f>N42*(1+Table2[Discount rate A1])</f>
        <v>116.25957707110275</v>
      </c>
      <c r="O43" s="17">
        <f>Table2[[#This Row],[Asset growth A1, under the assumption of full-funding at Year 0]]/(1+Table2[[#This Row],[Compounded CPI]])</f>
        <v>75.591144611221509</v>
      </c>
      <c r="P43" s="17">
        <f>(P42*((1+Table2[Discount rate A1])^0.5)-Table2[Annual benefit payments (closed scheme)])*(1+Table2[Discount rate A1])^0.5</f>
        <v>51.910618580211157</v>
      </c>
      <c r="Q43" s="17">
        <f>Table2[[#This Row],[Asset growth A1 with benefit payments deducted]]/(1+Table2[Compounded CPI])</f>
        <v>33.75191252893385</v>
      </c>
      <c r="R43" s="17">
        <f>Table2[[#This Row],[Asset growth A1 with benefit payments deducted]]/(1+Table2[Compounded discount rate A1])</f>
        <v>28.988327557835184</v>
      </c>
      <c r="S43" s="9">
        <v>4.6800000000000001E-2</v>
      </c>
      <c r="T43" s="18">
        <f t="shared" si="8"/>
        <v>0.70118374590378774</v>
      </c>
      <c r="U43" s="17">
        <f>Table2[[#This Row],[Annual benefit payments (closed scheme)]]/((1+T42)*(1+Table2[[#This Row],[Discount rate A2]])^0.5)+U42</f>
        <v>36.991225512696928</v>
      </c>
      <c r="V43" s="17">
        <f>V42*(1+Table2[Discount rate A2])</f>
        <v>114.84913648792403</v>
      </c>
      <c r="W43" s="17">
        <f>Table2[[#This Row],[Asset growth A2, under the assumption of full-funding at Year 0]]/(1+Table2[Compounded CPI])</f>
        <v>74.674086242572926</v>
      </c>
      <c r="X43" s="17">
        <f>(X42*((1+Table2[Discount rate A2])^0.5)-Table2[Annual benefit payments (closed scheme)])*(1+Table2[Discount rate A2])^0.5</f>
        <v>51.92026490466251</v>
      </c>
      <c r="Y43" s="17">
        <f>Table2[[#This Row],[Asset growth A2 with benefit payments deducted]]/(1+Table2[[#This Row],[Compounded CPI]])</f>
        <v>33.758184500025941</v>
      </c>
      <c r="Z43" s="19">
        <f>Table2[[#This Row],[Asset growth A2 with benefit payments deducted]]/(1+Table2[Compounded discount rate A2])</f>
        <v>30.520080520213785</v>
      </c>
      <c r="AA43" s="35">
        <f t="shared" si="16"/>
        <v>5.5999999999999994E-2</v>
      </c>
      <c r="AB43" s="18">
        <f t="shared" si="10"/>
        <v>0.85935724799189073</v>
      </c>
      <c r="AC43" s="17">
        <f>Table2[[#This Row],[Annual benefit payments (closed scheme)]]/((1+AB42)*(1+Table2[[#This Row],[Discount rate B]])^0.5)+AC42</f>
        <v>35.745709732312413</v>
      </c>
      <c r="AD43" s="16">
        <f>AD42*(1+Table2[Discount rate B])</f>
        <v>111.56143487951347</v>
      </c>
      <c r="AE43" s="16">
        <f>Table2[[#This Row],[Asset growth B]]/(1+Table2[Compounded CPI])</f>
        <v>72.536446196214285</v>
      </c>
      <c r="AF43" s="17">
        <f>(AF42*((1+Table2[Discount rate B])^0.5)-Table2[Annual benefit payments (closed scheme)])*(1+Table2[Discount rate B])^0.5</f>
        <v>45.097390404124084</v>
      </c>
      <c r="AG43" s="17">
        <f>Table2[[#This Row],[Asset growth B with benefit payments deducted]]/(1+Table2[Compounded CPI])</f>
        <v>29.322000350491397</v>
      </c>
      <c r="AH43" s="19">
        <f>Table2[[#This Row],[Asset growth B with benefit payments deducted]]/(1+Table2[Compounded discount rate B])</f>
        <v>24.254290267687583</v>
      </c>
      <c r="AI43" s="11">
        <f>Table2[CPI]+2.72%</f>
        <v>5.5199999999999999E-2</v>
      </c>
      <c r="AJ43" s="18">
        <f t="shared" si="11"/>
        <v>1.2652154936376414</v>
      </c>
      <c r="AK43" s="17">
        <f>Table2[[#This Row],[Annual benefit payments (closed scheme)]]/((1+AJ42)*(1+Table2[[#This Row],[Discount rate C]])^0.5)+AK42</f>
        <v>31.556986810107098</v>
      </c>
      <c r="AL43" s="17">
        <f>AL42*(1+Table2[Discount rate C])</f>
        <v>135.91292961825852</v>
      </c>
      <c r="AM43" s="17">
        <f>Table2[[#This Row],[Asset growth C]]/(1+Table2[Compounded CPI])</f>
        <v>88.369613722448236</v>
      </c>
      <c r="AN43" s="17">
        <f>(AN42*((1+Table2[Discount rate C])^0.5)-Table2[Annual benefit payments (closed scheme)])*(1+Table2[Discount rate C])^0.5</f>
        <v>64.429554163485122</v>
      </c>
      <c r="AO43" s="17">
        <f>Table2[[#This Row],[Asset growth C with benefit payments deducted]]/(1+Table2[Compounded CPI])</f>
        <v>41.891634811555541</v>
      </c>
      <c r="AP43" s="19">
        <f>Table2[[#This Row],[Asset growth C with benefit payments deducted]]/(1+Table2[Compounded discount rate C])</f>
        <v>28.44301318989287</v>
      </c>
      <c r="AQ43" s="11">
        <f>Table2[CPI]+2.66%</f>
        <v>5.4600000000000003E-2</v>
      </c>
      <c r="AR43" s="18">
        <f t="shared" si="12"/>
        <v>1.1203937527872814</v>
      </c>
      <c r="AS43" s="17">
        <f>Table2[[#This Row],[Annual benefit payments (closed scheme)]]/((1+AR42)*(1+Table2[[#This Row],[Discount rate D]])^0.5)+AS42</f>
        <v>32.636093280020276</v>
      </c>
      <c r="AT43" s="16">
        <f>AT42*(1+Table2[Discount rate D])</f>
        <v>127.2236251672369</v>
      </c>
      <c r="AU43" s="17">
        <f>Table2[[#This Row],[Asset growth D]]/(1+Table2[Compounded CPI])</f>
        <v>82.719890182456382</v>
      </c>
      <c r="AV43" s="17">
        <f>(AV42*((1+Table2[Discount rate D])^0.5)-Table2[Annual benefit payments (closed scheme)])*(1+Table2[Discount rate D])^0.5</f>
        <v>58.022256860898963</v>
      </c>
      <c r="AW43" s="17">
        <f>Table2[[#This Row],[Asset growth D with benefit payments deducted]]/(1+Table2[Compounded CPI])</f>
        <v>37.725655980661742</v>
      </c>
      <c r="AX43" s="19">
        <f>Table2[[#This Row],[Asset growth D with benefit payments deducted]]/(1+Table2[Compounded discount rate D])</f>
        <v>27.363906719979749</v>
      </c>
      <c r="AY43" s="11">
        <f>Table2[CPI]+4%</f>
        <v>6.8000000000000005E-2</v>
      </c>
      <c r="AZ43" s="18">
        <f t="shared" si="13"/>
        <v>1.3912542165781088</v>
      </c>
      <c r="BA43" s="17">
        <f>Table2[[#This Row],[Annual benefit payments (closed scheme)]]/((1+AZ42)*(1+Table2[[#This Row],[Discount rate E]])^0.5)+BA42</f>
        <v>31.339505894843334</v>
      </c>
      <c r="BB43" s="17">
        <f>BB42*(1+Table2[Discount rate E])</f>
        <v>143.47525299468654</v>
      </c>
      <c r="BC43" s="16">
        <f>Table2[[#This Row],[Asset growth E]]/(1+Table2[Compounded CPI])</f>
        <v>93.286582236747762</v>
      </c>
      <c r="BD43" s="17">
        <f>(BD42*((1+Table2[Discount rate E])^0.5)-Table2[Annual benefit payments (closed scheme)])*(1+Table2[Discount rate E])^0.5</f>
        <v>68.534527378167908</v>
      </c>
      <c r="BE43" s="17">
        <f>Table2[[#This Row],[Asset growth E with benefit payments deducted]]/(1+Table2[Compounded CPI])</f>
        <v>44.56065900477536</v>
      </c>
      <c r="BF43" s="19">
        <f>Table2[[#This Row],[Asset growth E with benefit payments deducted]]/(1+Table2[Compounded discount rate E])</f>
        <v>28.660494105156666</v>
      </c>
      <c r="BG43" s="11">
        <f>Table2[[#This Row],[Long-dated forward gilt yields]]+0.75%</f>
        <v>3.2600000000000004E-2</v>
      </c>
      <c r="BH43" s="11">
        <f t="shared" si="14"/>
        <v>0.61663153064356724</v>
      </c>
      <c r="BI43" s="17">
        <f>((Table2[[#This Row],[Annual benefit payments (closed scheme)]])*1.005^(Table2[[#This Row],[Year]]-2018))/((1+BH42)*(1+Table2[[#This Row],[Discount rate F]])^0.5)+BI42</f>
        <v>37.85985594831282</v>
      </c>
      <c r="BJ43" s="17">
        <f>BJ42*(1+Table2[Discount rate F])</f>
        <v>133.11909013022913</v>
      </c>
      <c r="BK43" s="17">
        <f>Table2[[#This Row],[Asset growth F, under the assumption of full-funding at Year 0]]/(1+Table2[[#This Row],[Compounded CPI]])</f>
        <v>86.553079290785789</v>
      </c>
      <c r="BL43" s="17">
        <f>(BL42*((1+Table2[Discount rate F])^0.5)-Table2[Annual benefit payments (closed scheme)]*1.005^(Table2[Year]-2018))*(1+Table2[Discount rate F])^0.5</f>
        <v>71.913653258563201</v>
      </c>
      <c r="BM43" s="17">
        <f>Table2[[#This Row],[Asset growth F with benefit payments deducted]]/(1+Table2[Compounded CPI])</f>
        <v>46.757742458194969</v>
      </c>
      <c r="BN43" s="19">
        <f>Table2[[#This Row],[Asset growth F with benefit payments deducted]]/(1+Table2[Compounded discount rate F])</f>
        <v>44.483638909315957</v>
      </c>
      <c r="BO43" s="17"/>
      <c r="BP43" s="17"/>
      <c r="BQ43" s="17"/>
      <c r="BR43" s="17"/>
      <c r="BS43" s="17"/>
      <c r="BT43" s="17"/>
      <c r="BU43" s="17"/>
      <c r="BV43" s="17"/>
      <c r="BW43" s="17"/>
      <c r="BX43" s="17"/>
      <c r="BY43" s="17"/>
      <c r="BZ43" s="17"/>
      <c r="CA43" s="17">
        <f>(CA42*((1+Table2[Discount rate A2])^0.5)+Table2[Net cashflow (ongoing scheme)])*(1+Table2[Discount rate A2])^0.5</f>
        <v>106.87708268159139</v>
      </c>
      <c r="CB43" s="17">
        <f>Table2[[#This Row],[Asset growth, ongoing scheme, with November de-risking, net of contributions and payments]]/(1+Table2[Compounded discount rate A2])</f>
        <v>62.82512570375566</v>
      </c>
      <c r="CC43" s="17">
        <f>Table2[[#This Row],[Asset growth, ongoing scheme, with November de-risking, net of contributions and payments]]/(1+Table2[Compounded CPI])</f>
        <v>69.490713936355291</v>
      </c>
      <c r="CD43" s="17">
        <f>(CD42*((1+Table2[Discount rate A1])^0.5)+Table2[Net cashflow (ongoing scheme)])*(1+Table2[Discount rate A1])^0.5</f>
        <v>112.34982290557579</v>
      </c>
      <c r="CE43" s="17">
        <f>Table2[[#This Row],[Asset growth, ongoing scheme, with September de-risking, net of contributions and payments]]/(1+Table2[Compounded discount rate A1])</f>
        <v>62.739253673489124</v>
      </c>
      <c r="CF43" s="17">
        <f>Table2[[#This Row],[Asset growth, ongoing scheme, with September de-risking, net of contributions and payments]]/(1+Table2[Compounded CPI])</f>
        <v>73.049050446024907</v>
      </c>
      <c r="CG43" s="17">
        <f>(CG42*((1+Table2[Discount rate B])^0.5)+Table2[Net cashflow (ongoing scheme)])*(1+Table2[Discount rate B])^0.5</f>
        <v>116.62383823130692</v>
      </c>
      <c r="CH43" s="17">
        <f>Table2[[#This Row],[Asset growth, ongoing scheme, no de-risking, net of contributions and payments]]/(1+Table2[Compounded discount rate B])</f>
        <v>62.722663090840065</v>
      </c>
      <c r="CI43" s="17">
        <f>Table2[[#This Row],[Asset growth, ongoing scheme, no de-risking, net of contributions and payments]]/(1+Table2[Compounded CPI])</f>
        <v>75.827984609533246</v>
      </c>
      <c r="CJ43" s="17">
        <f>(CJ42*((1+Table2[Discount rate E])^0.5)+Table2[Net cashflow (ongoing scheme)])*(1+Table2[Discount rate E])^0.5</f>
        <v>149.13285315014735</v>
      </c>
      <c r="CK43" s="17">
        <f>Table2[[#This Row],[Asset growth, ongoing scheme, best-estimates, no de-risking, net of contributions and payments ]]/(1+Table2[Compounded discount rate E])</f>
        <v>62.365955119383699</v>
      </c>
      <c r="CL43" s="17">
        <f>Table2[[#This Row],[Asset growth, ongoing scheme, best-estimates, no de-risking, net of contributions and payments ]]/(1+Table2[Compounded CPI])</f>
        <v>96.965113350295113</v>
      </c>
      <c r="CM43" s="9">
        <v>2.8000000000000001E-2</v>
      </c>
      <c r="CN43" s="11">
        <f>(1+Table2[[#This Row],[CPI]])*(1+CN42)-1</f>
        <v>0.53800524742740863</v>
      </c>
      <c r="CO43" s="11">
        <f>'Gilt yields'!B25</f>
        <v>2.5100000000000001E-2</v>
      </c>
      <c r="CP43" s="11">
        <f t="shared" si="15"/>
        <v>4.8000000000000001E-2</v>
      </c>
      <c r="CQ43" s="26">
        <f>(1+Table2[[#This Row],[Salary growth]])*(1+CQ42)-1</f>
        <v>1.1583513740388334</v>
      </c>
      <c r="CR43" s="15">
        <f t="shared" si="5"/>
        <v>15.380052474274086</v>
      </c>
      <c r="CS43" s="17">
        <f t="shared" si="6"/>
        <v>19.994068216556315</v>
      </c>
      <c r="CT43" s="17">
        <f>CT42*(1+Table2[[#This Row],[Salary growth]])</f>
        <v>21.583513740388319</v>
      </c>
      <c r="CU43" s="19">
        <f t="shared" si="7"/>
        <v>28.058567862504834</v>
      </c>
      <c r="CV43" s="112">
        <f>('Cash flows as at 31032017'!B28)/1000000000</f>
        <v>3.00880605</v>
      </c>
      <c r="CW43" s="113">
        <v>0</v>
      </c>
      <c r="CX43" s="113">
        <f>Table2[[#This Row],[Annual contributions (closed scheme)]]-Table2[[#This Row],[Annual benefit payments (closed scheme)]]</f>
        <v>-3.00880605</v>
      </c>
      <c r="CY43" s="113">
        <v>3.57</v>
      </c>
      <c r="CZ43" s="113">
        <v>3.8</v>
      </c>
      <c r="DA43" s="113">
        <v>0.23</v>
      </c>
      <c r="DB43" s="17"/>
      <c r="DC43" s="84"/>
      <c r="DD43" s="84"/>
      <c r="DE43" s="84"/>
      <c r="DF43" s="84"/>
      <c r="DG43" s="84"/>
      <c r="DH43" s="84"/>
      <c r="DI43" s="84"/>
      <c r="DJ43" s="84"/>
      <c r="DK43" s="84"/>
      <c r="DL43" s="84"/>
      <c r="DM43" s="84"/>
      <c r="DN43" s="84"/>
      <c r="DO43" s="84"/>
      <c r="DP43" s="84"/>
      <c r="DQ43" s="84"/>
      <c r="DR43" s="84"/>
      <c r="DS43" s="84"/>
      <c r="DT43" s="84"/>
      <c r="DU43" s="84"/>
      <c r="DV43" s="84"/>
      <c r="DW43" s="84"/>
      <c r="DX43" s="84"/>
    </row>
    <row r="44" spans="1:131" s="5" customFormat="1" x14ac:dyDescent="0.2">
      <c r="A44" s="52">
        <v>2037</v>
      </c>
      <c r="B44" s="51"/>
      <c r="C44" s="51"/>
      <c r="D44" s="51"/>
      <c r="E44" s="37">
        <v>6.0999999999999999E-2</v>
      </c>
      <c r="F44" s="31">
        <f>F43*(1+Table2[[#This Row],[2008 discount rate]])</f>
        <v>187.66692758900916</v>
      </c>
      <c r="G44" s="28">
        <v>6.0999999999999999E-2</v>
      </c>
      <c r="H44" s="31">
        <f>H43*(1+Table2[[#This Row],[2011 discount rate]])</f>
        <v>154.21741343417045</v>
      </c>
      <c r="I44" s="28">
        <v>5.1999999999999998E-2</v>
      </c>
      <c r="J44" s="31">
        <f>J43*(1+Table2[[#This Row],[2014 discount rate]])</f>
        <v>133.80651607874927</v>
      </c>
      <c r="K44" s="30">
        <v>4.5400000000000003E-2</v>
      </c>
      <c r="L44" s="28">
        <f t="shared" si="9"/>
        <v>0.87204179183786534</v>
      </c>
      <c r="M44" s="29">
        <f>Table2[[#This Row],[Annual benefit payments (closed scheme)]]/((1+L43)*(1+Table2[[#This Row],[Discount rate A1]])^0.5)+M43</f>
        <v>37.608245809567137</v>
      </c>
      <c r="N44" s="29">
        <f>N43*(1+Table2[Discount rate A1])</f>
        <v>121.53776187013084</v>
      </c>
      <c r="O44" s="29">
        <f>Table2[[#This Row],[Asset growth A1, under the assumption of full-funding at Year 0]]/(1+Table2[[#This Row],[Compounded CPI]])</f>
        <v>76.922985083783658</v>
      </c>
      <c r="P44" s="29">
        <f>(P43*((1+Table2[Discount rate A1])^0.5)-Table2[Annual benefit payments (closed scheme)])*(1+Table2[Discount rate A1])^0.5</f>
        <v>51.133553996909896</v>
      </c>
      <c r="Q44" s="29">
        <f>Table2[[#This Row],[Asset growth A1 with benefit payments deducted]]/(1+Table2[Compounded CPI])</f>
        <v>32.363156527336109</v>
      </c>
      <c r="R44" s="29">
        <f>Table2[[#This Row],[Asset growth A1 with benefit payments deducted]]/(1+Table2[Compounded discount rate A1])</f>
        <v>27.314322906600204</v>
      </c>
      <c r="S44" s="30">
        <v>4.5199999999999997E-2</v>
      </c>
      <c r="T44" s="28">
        <f t="shared" si="8"/>
        <v>0.77807725121863869</v>
      </c>
      <c r="U44" s="29">
        <f>Table2[[#This Row],[Annual benefit payments (closed scheme)]]/((1+T43)*(1+Table2[[#This Row],[Discount rate A2]])^0.5)+U43</f>
        <v>38.753526267231472</v>
      </c>
      <c r="V44" s="29">
        <f>V43*(1+Table2[Discount rate A2])</f>
        <v>120.04031745717819</v>
      </c>
      <c r="W44" s="29">
        <f>Table2[[#This Row],[Asset growth A2, under the assumption of full-funding at Year 0]]/(1+Table2[Compounded CPI])</f>
        <v>75.9752311308646</v>
      </c>
      <c r="X44" s="29">
        <f>(X43*((1+Table2[Discount rate A2])^0.5)-Table2[Annual benefit payments (closed scheme)])*(1+Table2[Discount rate A2])^0.5</f>
        <v>51.133553996909932</v>
      </c>
      <c r="Y44" s="29">
        <f>Table2[[#This Row],[Asset growth A2 with benefit payments deducted]]/(1+Table2[[#This Row],[Compounded CPI]])</f>
        <v>32.36315652733613</v>
      </c>
      <c r="Z44" s="34">
        <f>Table2[[#This Row],[Asset growth A2 with benefit payments deducted]]/(1+Table2[Compounded discount rate A2])</f>
        <v>28.757779765679242</v>
      </c>
      <c r="AA44" s="37">
        <f t="shared" si="16"/>
        <v>5.5300000000000002E-2</v>
      </c>
      <c r="AB44" s="28">
        <f t="shared" si="10"/>
        <v>0.96217970380584217</v>
      </c>
      <c r="AC44" s="29">
        <f>Table2[[#This Row],[Annual benefit payments (closed scheme)]]/((1+AB43)*(1+Table2[[#This Row],[Discount rate B]])^0.5)+AC43</f>
        <v>37.350359073468148</v>
      </c>
      <c r="AD44" s="31">
        <f>AD43*(1+Table2[Discount rate B])</f>
        <v>117.73078222835055</v>
      </c>
      <c r="AE44" s="29">
        <f>Table2[[#This Row],[Asset growth B]]/(1+Table2[Compounded CPI])</f>
        <v>74.513493303674593</v>
      </c>
      <c r="AF44" s="29">
        <f>(AF43*((1+Table2[Discount rate B])^0.5)-Table2[Annual benefit payments (closed scheme)])*(1+Table2[Discount rate B])^0.5</f>
        <v>44.442665724530947</v>
      </c>
      <c r="AG44" s="29">
        <f>Table2[[#This Row],[Asset growth B with benefit payments deducted]]/(1+Table2[Compounded CPI])</f>
        <v>28.128397791829414</v>
      </c>
      <c r="AH44" s="34">
        <f>Table2[[#This Row],[Asset growth B with benefit payments deducted]]/(1+Table2[Compounded discount rate B])</f>
        <v>22.649640926531852</v>
      </c>
      <c r="AI44" s="27">
        <f>Table2[CPI]+2.56%</f>
        <v>5.2900000000000003E-2</v>
      </c>
      <c r="AJ44" s="28">
        <f t="shared" si="11"/>
        <v>1.3850453932510725</v>
      </c>
      <c r="AK44" s="29">
        <f>Table2[[#This Row],[Annual benefit payments (closed scheme)]]/((1+AJ43)*(1+Table2[[#This Row],[Discount rate C]])^0.5)+AK43</f>
        <v>32.875631729918588</v>
      </c>
      <c r="AL44" s="29">
        <f>AL43*(1+Table2[Discount rate C])</f>
        <v>143.10272359506439</v>
      </c>
      <c r="AM44" s="29">
        <f>Table2[[#This Row],[Asset growth C]]/(1+Table2[Compounded CPI])</f>
        <v>90.571757313701667</v>
      </c>
      <c r="AN44" s="29">
        <f>(AN43*((1+Table2[Discount rate C])^0.5)-Table2[Annual benefit payments (closed scheme)])*(1+Table2[Discount rate C])^0.5</f>
        <v>64.69284958740316</v>
      </c>
      <c r="AO44" s="29">
        <f>Table2[[#This Row],[Asset growth C with benefit payments deducted]]/(1+Table2[Compounded CPI])</f>
        <v>40.945028337421334</v>
      </c>
      <c r="AP44" s="34">
        <f>Table2[[#This Row],[Asset growth C with benefit payments deducted]]/(1+Table2[Compounded discount rate C])</f>
        <v>27.12436827008138</v>
      </c>
      <c r="AQ44" s="27">
        <f>Table2[CPI]+2.56%</f>
        <v>5.2900000000000003E-2</v>
      </c>
      <c r="AR44" s="28">
        <f t="shared" si="12"/>
        <v>1.2325625823097286</v>
      </c>
      <c r="AS44" s="29">
        <f>Table2[[#This Row],[Annual benefit payments (closed scheme)]]/((1+AR43)*(1+Table2[[#This Row],[Discount rate D]])^0.5)+AS43</f>
        <v>34.044800931152089</v>
      </c>
      <c r="AT44" s="31">
        <f>AT43*(1+Table2[Discount rate D])</f>
        <v>133.95375493858373</v>
      </c>
      <c r="AU44" s="29">
        <f>Table2[[#This Row],[Asset growth D]]/(1+Table2[Compounded CPI])</f>
        <v>84.781244400962052</v>
      </c>
      <c r="AV44" s="29">
        <f>(AV43*((1+Table2[Discount rate D])^0.5)-Table2[Annual benefit payments (closed scheme)])*(1+Table2[Discount rate D])^0.5</f>
        <v>57.94660625751019</v>
      </c>
      <c r="AW44" s="29">
        <f>Table2[[#This Row],[Asset growth D with benefit payments deducted]]/(1+Table2[Compounded CPI])</f>
        <v>36.675234595526973</v>
      </c>
      <c r="AX44" s="34">
        <f>Table2[[#This Row],[Asset growth D with benefit payments deducted]]/(1+Table2[Compounded discount rate D])</f>
        <v>25.955199068847925</v>
      </c>
      <c r="AY44" s="27">
        <f>Table2[CPI]+4%</f>
        <v>6.7299999999999999E-2</v>
      </c>
      <c r="AZ44" s="28">
        <f t="shared" si="13"/>
        <v>1.5521856253538151</v>
      </c>
      <c r="BA44" s="29">
        <f>Table2[[#This Row],[Annual benefit payments (closed scheme)]]/((1+AZ43)*(1+Table2[[#This Row],[Discount rate E]])^0.5)+BA43</f>
        <v>32.580192086417753</v>
      </c>
      <c r="BB44" s="29">
        <f>BB43*(1+Table2[Discount rate E])</f>
        <v>153.13113752122894</v>
      </c>
      <c r="BC44" s="31">
        <f>Table2[[#This Row],[Asset growth E]]/(1+Table2[Compounded CPI])</f>
        <v>96.91888369636996</v>
      </c>
      <c r="BD44" s="29">
        <f>(BD43*((1+Table2[Discount rate E])^0.5)-Table2[Annual benefit payments (closed scheme)])*(1+Table2[Discount rate E])^0.5</f>
        <v>69.980439607007412</v>
      </c>
      <c r="BE44" s="29">
        <f>Table2[[#This Row],[Asset growth E with benefit payments deducted]]/(1+Table2[Compounded CPI])</f>
        <v>44.291619569221375</v>
      </c>
      <c r="BF44" s="34">
        <f>Table2[[#This Row],[Asset growth E with benefit payments deducted]]/(1+Table2[Compounded discount rate E])</f>
        <v>27.419807913582254</v>
      </c>
      <c r="BG44" s="27">
        <f>Table2[[#This Row],[Long-dated forward gilt yields]]+0.75%</f>
        <v>3.1859999999999999E-2</v>
      </c>
      <c r="BH44" s="27">
        <f t="shared" si="14"/>
        <v>0.66813741120987125</v>
      </c>
      <c r="BI44" s="29">
        <f>((Table2[[#This Row],[Annual benefit payments (closed scheme)]])*1.005^(Table2[[#This Row],[Year]]-2018))/((1+BH43)*(1+Table2[[#This Row],[Discount rate F]])^0.5)+BI43</f>
        <v>39.911796110698582</v>
      </c>
      <c r="BJ44" s="29">
        <f>BJ43*(1+Table2[Discount rate F])</f>
        <v>137.36026434177822</v>
      </c>
      <c r="BK44" s="29">
        <f>Table2[[#This Row],[Asset growth F, under the assumption of full-funding at Year 0]]/(1+Table2[[#This Row],[Compounded CPI]])</f>
        <v>86.937272848233434</v>
      </c>
      <c r="BL44" s="29">
        <f>(BL43*((1+Table2[Discount rate F])^0.5)-Table2[Annual benefit payments (closed scheme)]*1.005^(Table2[Year]-2018))*(1+Table2[Discount rate F])^0.5</f>
        <v>70.78190410094129</v>
      </c>
      <c r="BM44" s="29">
        <f>Table2[[#This Row],[Asset growth F with benefit payments deducted]]/(1+Table2[Compounded CPI])</f>
        <v>44.798877892588685</v>
      </c>
      <c r="BN44" s="34">
        <f>Table2[[#This Row],[Asset growth F with benefit payments deducted]]/(1+Table2[Compounded discount rate F])</f>
        <v>42.431698746930202</v>
      </c>
      <c r="BO44" s="28">
        <v>0</v>
      </c>
      <c r="BP44" s="29">
        <v>0</v>
      </c>
      <c r="BQ44" s="29">
        <f>BP144</f>
        <v>112.5091731857294</v>
      </c>
      <c r="BR44" s="28">
        <v>0</v>
      </c>
      <c r="BS44" s="29">
        <v>0</v>
      </c>
      <c r="BT44" s="28">
        <v>0</v>
      </c>
      <c r="BU44" s="29">
        <v>0</v>
      </c>
      <c r="BV44" s="28">
        <v>0</v>
      </c>
      <c r="BW44" s="28">
        <v>0</v>
      </c>
      <c r="BX44" s="29">
        <v>0</v>
      </c>
      <c r="BY44" s="29">
        <f>BX144</f>
        <v>128.05052145331271</v>
      </c>
      <c r="BZ44" s="29">
        <f>BS144</f>
        <v>93.512942296053311</v>
      </c>
      <c r="CA44" s="29">
        <f>(CA43*((1+Table2[Discount rate A2])^0.5)+Table2[Net cashflow (ongoing scheme)])*(1+Table2[Discount rate A2])^0.5</f>
        <v>112.17820792622335</v>
      </c>
      <c r="CB44" s="29">
        <f>Table2[[#This Row],[Asset growth, ongoing scheme, with November de-risking, net of contributions and payments]]/(1+Table2[Compounded discount rate A2])</f>
        <v>63.089614272574437</v>
      </c>
      <c r="CC44" s="29">
        <f>Table2[[#This Row],[Asset growth, ongoing scheme, with November de-risking, net of contributions and payments]]/(1+Table2[Compounded CPI])</f>
        <v>70.999189735409701</v>
      </c>
      <c r="CD44" s="29">
        <f>(CD43*((1+Table2[Discount rate A1])^0.5)+Table2[Net cashflow (ongoing scheme)])*(1+Table2[Discount rate A1])^0.5</f>
        <v>117.92083096512619</v>
      </c>
      <c r="CE44" s="29">
        <f>Table2[[#This Row],[Asset growth, ongoing scheme, with September de-risking, net of contributions and payments]]/(1+Table2[Compounded discount rate A1])</f>
        <v>62.990490639291842</v>
      </c>
      <c r="CF44" s="29">
        <f>Table2[[#This Row],[Asset growth, ongoing scheme, with September de-risking, net of contributions and payments]]/(1+Table2[Compounded CPI])</f>
        <v>74.633777863133616</v>
      </c>
      <c r="CG44" s="29">
        <f>(CG43*((1+Table2[Discount rate B])^0.5)+Table2[Net cashflow (ongoing scheme)])*(1+Table2[Discount rate B])^0.5</f>
        <v>123.54568434550818</v>
      </c>
      <c r="CH44" s="29">
        <f>Table2[[#This Row],[Asset growth, ongoing scheme, no de-risking, net of contributions and payments]]/(1+Table2[Compounded discount rate B])</f>
        <v>62.963491114437211</v>
      </c>
      <c r="CI44" s="29">
        <f>Table2[[#This Row],[Asset growth, ongoing scheme, no de-risking, net of contributions and payments]]/(1+Table2[Compounded CPI])</f>
        <v>78.193827892193184</v>
      </c>
      <c r="CJ44" s="29">
        <f>(CJ43*((1+Table2[Discount rate E])^0.5)+Table2[Net cashflow (ongoing scheme)])*(1+Table2[Discount rate E])^0.5</f>
        <v>159.64472114450101</v>
      </c>
      <c r="CK44" s="29">
        <f>Table2[[#This Row],[Asset growth, ongoing scheme, best-estimates, no de-risking, net of contributions and payments ]]/(1+Table2[Compounded discount rate E])</f>
        <v>62.552159043043396</v>
      </c>
      <c r="CL44" s="29">
        <f>Table2[[#This Row],[Asset growth, ongoing scheme, best-estimates, no de-risking, net of contributions and payments ]]/(1+Table2[Compounded CPI])</f>
        <v>101.04142378749263</v>
      </c>
      <c r="CM44" s="30">
        <v>2.7300000000000001E-2</v>
      </c>
      <c r="CN44" s="27">
        <f>(1+Table2[[#This Row],[CPI]])*(1+CN43)-1</f>
        <v>0.57999279068217713</v>
      </c>
      <c r="CO44" s="27">
        <f>'Gilt yields'!B26</f>
        <v>2.436E-2</v>
      </c>
      <c r="CP44" s="27">
        <f t="shared" si="15"/>
        <v>4.7300000000000002E-2</v>
      </c>
      <c r="CQ44" s="32">
        <f>(1+Table2[[#This Row],[Salary growth]])*(1+CQ43)-1</f>
        <v>1.2604413940308699</v>
      </c>
      <c r="CR44" s="33">
        <f t="shared" si="5"/>
        <v>15.79992790682177</v>
      </c>
      <c r="CS44" s="29">
        <f t="shared" si="6"/>
        <v>20.539906278868305</v>
      </c>
      <c r="CT44" s="29">
        <f>CT43*(1+Table2[[#This Row],[Salary growth]])</f>
        <v>22.604413940308685</v>
      </c>
      <c r="CU44" s="34">
        <f t="shared" si="7"/>
        <v>29.38573812240131</v>
      </c>
      <c r="CV44" s="114">
        <f>('Cash flows as at 31032017'!B29)/1000000000</f>
        <v>3.0650033410000002</v>
      </c>
      <c r="CW44" s="115">
        <v>0</v>
      </c>
      <c r="CX44" s="115">
        <f>Table2[[#This Row],[Annual contributions (closed scheme)]]-Table2[[#This Row],[Annual benefit payments (closed scheme)]]</f>
        <v>-3.0650033410000002</v>
      </c>
      <c r="CY44" s="115">
        <v>3.54</v>
      </c>
      <c r="CZ44" s="115">
        <v>4</v>
      </c>
      <c r="DA44" s="115">
        <v>0.46</v>
      </c>
      <c r="DB44" s="17"/>
      <c r="DC44" s="84"/>
      <c r="DD44" s="84"/>
      <c r="DE44" s="84"/>
      <c r="DF44" s="84"/>
      <c r="DG44" s="84"/>
      <c r="DH44" s="84"/>
      <c r="DI44" s="84"/>
      <c r="DJ44" s="84"/>
      <c r="DK44" s="84"/>
      <c r="DL44" s="84"/>
      <c r="DM44" s="84"/>
      <c r="DN44" s="84"/>
      <c r="DO44" s="84"/>
      <c r="DP44" s="84"/>
      <c r="DQ44" s="84"/>
      <c r="DR44" s="84"/>
      <c r="DS44" s="84"/>
      <c r="DT44" s="84"/>
      <c r="DU44" s="84"/>
      <c r="DV44" s="84"/>
      <c r="DW44" s="84"/>
      <c r="DX44" s="84"/>
    </row>
    <row r="45" spans="1:131" x14ac:dyDescent="0.2">
      <c r="A45" s="8">
        <v>2038</v>
      </c>
      <c r="B45" s="50"/>
      <c r="C45" s="50"/>
      <c r="D45" s="50"/>
      <c r="E45" s="35">
        <v>6.0999999999999999E-2</v>
      </c>
      <c r="F45" s="16">
        <f>F44*(1+Table2[[#This Row],[2008 discount rate]])</f>
        <v>199.11461017193872</v>
      </c>
      <c r="G45" s="18">
        <v>6.0999999999999999E-2</v>
      </c>
      <c r="H45" s="16">
        <f>H44*(1+Table2[[#This Row],[2011 discount rate]])</f>
        <v>163.62467565365483</v>
      </c>
      <c r="I45" s="18">
        <v>5.1999999999999998E-2</v>
      </c>
      <c r="J45" s="16">
        <f>J44*(1+Table2[[#This Row],[2014 discount rate]])</f>
        <v>140.76445491484424</v>
      </c>
      <c r="K45" s="9">
        <v>4.3400000000000001E-2</v>
      </c>
      <c r="L45" s="18">
        <f t="shared" si="9"/>
        <v>0.95328840560362882</v>
      </c>
      <c r="M45" s="17">
        <f>Table2[[#This Row],[Annual benefit payments (closed scheme)]]/((1+L44)*(1+Table2[[#This Row],[Discount rate A1]])^0.5)+M44</f>
        <v>39.234253900833387</v>
      </c>
      <c r="N45" s="17">
        <f>N44*(1+Table2[Discount rate A1])</f>
        <v>126.81250073529453</v>
      </c>
      <c r="O45" s="17">
        <f>Table2[[#This Row],[Asset growth A1, under the assumption of full-funding at Year 0]]/(1+Table2[[#This Row],[Compounded CPI]])</f>
        <v>78.197040760346738</v>
      </c>
      <c r="P45" s="17">
        <f>(P44*((1+Table2[Discount rate A1])^0.5)-Table2[Annual benefit payments (closed scheme)])*(1+Table2[Discount rate A1])^0.5</f>
        <v>50.176687488287733</v>
      </c>
      <c r="Q45" s="17">
        <f>Table2[[#This Row],[Asset growth A1 with benefit payments deducted]]/(1+Table2[Compounded CPI])</f>
        <v>30.940707374984981</v>
      </c>
      <c r="R45" s="17">
        <f>Table2[[#This Row],[Asset growth A1 with benefit payments deducted]]/(1+Table2[Compounded discount rate A1])</f>
        <v>25.688314815333953</v>
      </c>
      <c r="S45" s="9">
        <v>4.3400000000000001E-2</v>
      </c>
      <c r="T45" s="18">
        <f t="shared" si="8"/>
        <v>0.85524580392152783</v>
      </c>
      <c r="U45" s="17">
        <f>Table2[[#This Row],[Annual benefit payments (closed scheme)]]/((1+T44)*(1+Table2[[#This Row],[Discount rate A2]])^0.5)+U44</f>
        <v>40.465462629181275</v>
      </c>
      <c r="V45" s="17">
        <f>V44*(1+Table2[Discount rate A2])</f>
        <v>125.25006723481974</v>
      </c>
      <c r="W45" s="17">
        <f>Table2[[#This Row],[Asset growth A2, under the assumption of full-funding at Year 0]]/(1+Table2[Compounded CPI])</f>
        <v>77.233589401738257</v>
      </c>
      <c r="X45" s="17">
        <f>(X44*((1+Table2[Discount rate A2])^0.5)-Table2[Annual benefit payments (closed scheme)])*(1+Table2[Discount rate A2])^0.5</f>
        <v>50.176687488287769</v>
      </c>
      <c r="Y45" s="17">
        <f>Table2[[#This Row],[Asset growth A2 with benefit payments deducted]]/(1+Table2[[#This Row],[Compounded CPI]])</f>
        <v>30.940707374985003</v>
      </c>
      <c r="Z45" s="19">
        <f>Table2[[#This Row],[Asset growth A2 with benefit payments deducted]]/(1+Table2[Compounded discount rate A2])</f>
        <v>27.045843403729435</v>
      </c>
      <c r="AA45" s="35">
        <f t="shared" si="16"/>
        <v>5.4399999999999997E-2</v>
      </c>
      <c r="AB45" s="18">
        <f t="shared" si="10"/>
        <v>1.0689222796928801</v>
      </c>
      <c r="AC45" s="17">
        <f>Table2[[#This Row],[Annual benefit payments (closed scheme)]]/((1+AB44)*(1+Table2[[#This Row],[Discount rate B]])^0.5)+AC44</f>
        <v>38.893558952335596</v>
      </c>
      <c r="AD45" s="16">
        <f>AD44*(1+Table2[Discount rate B])</f>
        <v>124.13533678157282</v>
      </c>
      <c r="AE45" s="16">
        <f>Table2[[#This Row],[Asset growth B]]/(1+Table2[Compounded CPI])</f>
        <v>76.546207462387471</v>
      </c>
      <c r="AF45" s="17">
        <f>(AF44*((1+Table2[Discount rate B])^0.5)-Table2[Annual benefit payments (closed scheme)])*(1+Table2[Discount rate B])^0.5</f>
        <v>43.667586128537216</v>
      </c>
      <c r="AG45" s="17">
        <f>Table2[[#This Row],[Asset growth B with benefit payments deducted]]/(1+Table2[Compounded CPI])</f>
        <v>26.926966920452831</v>
      </c>
      <c r="AH45" s="19">
        <f>Table2[[#This Row],[Asset growth B with benefit payments deducted]]/(1+Table2[Compounded discount rate B])</f>
        <v>21.106441047664401</v>
      </c>
      <c r="AI45" s="11">
        <f>Table2[CPI]+2.56%</f>
        <v>5.2000000000000005E-2</v>
      </c>
      <c r="AJ45" s="18">
        <f t="shared" si="11"/>
        <v>1.5090677537001285</v>
      </c>
      <c r="AK45" s="17">
        <f>Table2[[#This Row],[Annual benefit payments (closed scheme)]]/((1+AJ44)*(1+Table2[[#This Row],[Discount rate C]])^0.5)+AK44</f>
        <v>34.146671499198881</v>
      </c>
      <c r="AL45" s="17">
        <f>AL44*(1+Table2[Discount rate C])</f>
        <v>150.54406522200773</v>
      </c>
      <c r="AM45" s="17">
        <f>Table2[[#This Row],[Asset growth C]]/(1+Table2[Compounded CPI])</f>
        <v>92.830756716693443</v>
      </c>
      <c r="AN45" s="17">
        <f>(AN44*((1+Table2[Discount rate C])^0.5)-Table2[Annual benefit payments (closed scheme)])*(1+Table2[Discount rate C])^0.5</f>
        <v>64.867752867176492</v>
      </c>
      <c r="AO45" s="17">
        <f>Table2[[#This Row],[Asset growth C with benefit payments deducted]]/(1+Table2[Compounded CPI])</f>
        <v>39.999734139577036</v>
      </c>
      <c r="AP45" s="19">
        <f>Table2[[#This Row],[Asset growth C with benefit payments deducted]]/(1+Table2[Compounded discount rate C])</f>
        <v>25.853328500801087</v>
      </c>
      <c r="AQ45" s="11">
        <f>Table2[CPI]+2.56%</f>
        <v>5.2000000000000005E-2</v>
      </c>
      <c r="AR45" s="18">
        <f t="shared" si="12"/>
        <v>1.3486558365898347</v>
      </c>
      <c r="AS45" s="17">
        <f>Table2[[#This Row],[Annual benefit payments (closed scheme)]]/((1+AR44)*(1+Table2[[#This Row],[Discount rate D]])^0.5)+AS44</f>
        <v>35.402652025845519</v>
      </c>
      <c r="AT45" s="16">
        <f>AT44*(1+Table2[Discount rate D])</f>
        <v>140.91935019539008</v>
      </c>
      <c r="AU45" s="17">
        <f>Table2[[#This Row],[Asset growth D]]/(1+Table2[Compounded CPI])</f>
        <v>86.89581947565479</v>
      </c>
      <c r="AV45" s="17">
        <f>(AV44*((1+Table2[Discount rate D])^0.5)-Table2[Annual benefit payments (closed scheme)])*(1+Table2[Discount rate D])^0.5</f>
        <v>57.770704884129088</v>
      </c>
      <c r="AW45" s="17">
        <f>Table2[[#This Row],[Asset growth D with benefit payments deducted]]/(1+Table2[Compounded CPI])</f>
        <v>35.623445152366529</v>
      </c>
      <c r="AX45" s="19">
        <f>Table2[[#This Row],[Asset growth D with benefit payments deducted]]/(1+Table2[Compounded discount rate D])</f>
        <v>24.597347974154491</v>
      </c>
      <c r="AY45" s="11">
        <f>Table2[CPI]+4%</f>
        <v>6.6400000000000001E-2</v>
      </c>
      <c r="AZ45" s="18">
        <f t="shared" si="13"/>
        <v>1.7216507508773087</v>
      </c>
      <c r="BA45" s="17">
        <f>Table2[[#This Row],[Annual benefit payments (closed scheme)]]/((1+AZ44)*(1+Table2[[#This Row],[Discount rate E]])^0.5)+BA44</f>
        <v>33.759945742457198</v>
      </c>
      <c r="BB45" s="17">
        <f>BB44*(1+Table2[Discount rate E])</f>
        <v>163.29904505263855</v>
      </c>
      <c r="BC45" s="16">
        <f>Table2[[#This Row],[Asset growth E]]/(1+Table2[Compounded CPI])</f>
        <v>100.69592514985283</v>
      </c>
      <c r="BD45" s="17">
        <f>(BD44*((1+Table2[Discount rate E])^0.5)-Table2[Annual benefit payments (closed scheme)])*(1+Table2[Discount rate E])^0.5</f>
        <v>71.416263373102723</v>
      </c>
      <c r="BE45" s="17">
        <f>Table2[[#This Row],[Asset growth E with benefit payments deducted]]/(1+Table2[Compounded CPI])</f>
        <v>44.037775657426792</v>
      </c>
      <c r="BF45" s="19">
        <f>Table2[[#This Row],[Asset growth E with benefit payments deducted]]/(1+Table2[Compounded discount rate E])</f>
        <v>26.240054257542816</v>
      </c>
      <c r="BG45" s="11">
        <f>Table2[[#This Row],[Long-dated forward gilt yields]]+0.75%</f>
        <v>3.0960000000000001E-2</v>
      </c>
      <c r="BH45" s="11">
        <f t="shared" si="14"/>
        <v>0.71978294546092902</v>
      </c>
      <c r="BI45" s="17">
        <f>((Table2[[#This Row],[Annual benefit payments (closed scheme)]])*1.005^(Table2[[#This Row],[Year]]-2018))/((1+BH44)*(1+Table2[[#This Row],[Discount rate F]])^0.5)+BI44</f>
        <v>41.940095983271071</v>
      </c>
      <c r="BJ45" s="17">
        <f>BJ44*(1+Table2[Discount rate F])</f>
        <v>141.61293812579967</v>
      </c>
      <c r="BK45" s="17">
        <f>Table2[[#This Row],[Asset growth F, under the assumption of full-funding at Year 0]]/(1+Table2[[#This Row],[Compounded CPI]])</f>
        <v>87.323510147715069</v>
      </c>
      <c r="BL45" s="17">
        <f>(BL44*((1+Table2[Discount rate F])^0.5)-Table2[Annual benefit payments (closed scheme)]*1.005^(Table2[Year]-2018))*(1+Table2[Discount rate F])^0.5</f>
        <v>69.485076322775711</v>
      </c>
      <c r="BM45" s="17">
        <f>Table2[[#This Row],[Asset growth F with benefit payments deducted]]/(1+Table2[Compounded CPI])</f>
        <v>42.846937911820817</v>
      </c>
      <c r="BN45" s="19">
        <f>Table2[[#This Row],[Asset growth F with benefit payments deducted]]/(1+Table2[Compounded discount rate F])</f>
        <v>40.403398874357727</v>
      </c>
      <c r="BO45" s="18">
        <f>(1+BO44)*(1+Table2[Discount rate A2])-1</f>
        <v>4.3400000000000105E-2</v>
      </c>
      <c r="BP45" s="17">
        <f>Table2[[#This Row],[Annual benefit payments (ongoing scheme)]]/((1+BO44)*(1+Table2[[#This Row],[Discount rate A2]])^0.5)+BP44</f>
        <v>3.9159268915021639</v>
      </c>
      <c r="BQ45" s="17">
        <f>(BQ44*((1+Table2[Discount rate A2])^0.5)-Table2[Annual benefit payments (ongoing scheme)])*(1+Table2[Discount rate A2])^0.5</f>
        <v>113.3061931833967</v>
      </c>
      <c r="BR45" s="18">
        <f>(1+BR44)*(1+Table2[Discount rate B])-1</f>
        <v>5.4400000000000004E-2</v>
      </c>
      <c r="BS45" s="17">
        <f>Table2[[#This Row],[Annual benefit payments (ongoing scheme)]]/((1+BR44)*(1+Table2[[#This Row],[Discount rate B]])^0.5)+BS44</f>
        <v>3.8954469356580992</v>
      </c>
      <c r="BT45" s="18">
        <f>(1+BT44)*(1+Table2[Discount rate E])-1</f>
        <v>6.6400000000000015E-2</v>
      </c>
      <c r="BU45" s="17">
        <f>Table2[[#This Row],[Annual benefit payments (ongoing scheme)]]/((1+BT44)*(1+Table2[[#This Row],[Discount rate E]])^0.5)+BU44</f>
        <v>3.8734675599176551</v>
      </c>
      <c r="BV45" s="18">
        <f>Table2[CPI]+0.75%+0.75%</f>
        <v>4.1399999999999999E-2</v>
      </c>
      <c r="BW45" s="18">
        <f>(1+BW44)*(1+Table2[Self-sufficiency discount rate, from 2037])-1</f>
        <v>4.1400000000000103E-2</v>
      </c>
      <c r="BX45" s="17">
        <f>(Table2[[#This Row],[Annual benefit payments (ongoing scheme)]]*1.005^(Table2[[#This Row],[Year]]-2038))/((1+BW44)*(1+Table2[[#This Row],[Self-sufficiency discount rate, from 2037]])^0.5)+BX44</f>
        <v>3.9196853402908154</v>
      </c>
      <c r="BY45" s="17">
        <f>(BY44*((1+Table2[Self-sufficiency discount rate, from 2037])^0.5)-Table2[Annual benefit payments (ongoing scheme)]*1.005^(Table2[Year]-2038))*(1+Table2[Self-sufficiency discount rate, from 2037])^0.5</f>
        <v>129.269852728101</v>
      </c>
      <c r="BZ45" s="17">
        <f>(BZ44*((1+Table2[Discount rate B])^0.5)-Table2[Annual benefit payments (ongoing scheme)])*(1+Table2[Discount rate B])^0.5</f>
        <v>94.492687108000695</v>
      </c>
      <c r="CA45" s="17">
        <f>(CA44*((1+Table2[Discount rate A2])^0.5)+Table2[Net cashflow (ongoing scheme)])*(1+Table2[Discount rate A2])^0.5</f>
        <v>112.96086403162811</v>
      </c>
      <c r="CB45" s="17">
        <f>Table2[[#This Row],[Asset growth, ongoing scheme, with November de-risking, net of contributions and payments]]/(1+Table2[Compounded discount rate A2])</f>
        <v>60.887276388313047</v>
      </c>
      <c r="CC45" s="17">
        <f>Table2[[#This Row],[Asset growth, ongoing scheme, with November de-risking, net of contributions and payments]]/(1+Table2[Compounded CPI])</f>
        <v>69.655635192018138</v>
      </c>
      <c r="CD45" s="17">
        <f>(CD44*((1+Table2[Discount rate A1])^0.5)+Table2[Net cashflow (ongoing scheme)])*(1+Table2[Discount rate A1])^0.5</f>
        <v>118.95271691041933</v>
      </c>
      <c r="CE45" s="17">
        <f>Table2[[#This Row],[Asset growth, ongoing scheme, with September de-risking, net of contributions and payments]]/(1+Table2[Compounded discount rate A1])</f>
        <v>60.898696049782323</v>
      </c>
      <c r="CF45" s="17">
        <f>Table2[[#This Row],[Asset growth, ongoing scheme, with September de-risking, net of contributions and payments]]/(1+Table2[Compounded CPI])</f>
        <v>73.350422070883255</v>
      </c>
      <c r="CG45" s="17">
        <f>(CG44*((1+Table2[Discount rate B])^0.5)+Table2[Net cashflow (ongoing scheme)])*(1+Table2[Discount rate B])^0.5</f>
        <v>126.15921032494592</v>
      </c>
      <c r="CH45" s="17">
        <f>Table2[[#This Row],[Asset growth, ongoing scheme, no de-risking, net of contributions and payments]]/(1+Table2[Compounded discount rate B])</f>
        <v>60.978225989075597</v>
      </c>
      <c r="CI45" s="17">
        <f>Table2[[#This Row],[Asset growth, ongoing scheme, no de-risking, net of contributions and payments]]/(1+Table2[Compounded CPI])</f>
        <v>77.794198954135467</v>
      </c>
      <c r="CJ45" s="17">
        <f>(CJ44*((1+Table2[Discount rate E])^0.5)+Table2[Net cashflow (ongoing scheme)])*(1+Table2[Discount rate E])^0.5</f>
        <v>166.1144648225997</v>
      </c>
      <c r="CK45" s="17">
        <f>Table2[[#This Row],[Asset growth, ongoing scheme, best-estimates, no de-risking, net of contributions and payments ]]/(1+Table2[Compounded discount rate E])</f>
        <v>61.03445299476931</v>
      </c>
      <c r="CL45" s="17">
        <f>Table2[[#This Row],[Asset growth, ongoing scheme, best-estimates, no de-risking, net of contributions and payments ]]/(1+Table2[Compounded CPI])</f>
        <v>102.432011838725</v>
      </c>
      <c r="CM45" s="9">
        <v>2.64E-2</v>
      </c>
      <c r="CN45" s="11">
        <f>(1+Table2[[#This Row],[CPI]])*(1+CN44)-1</f>
        <v>0.62170460035618658</v>
      </c>
      <c r="CO45" s="11">
        <f>'Gilt yields'!B27</f>
        <v>2.3460000000000002E-2</v>
      </c>
      <c r="CP45" s="11">
        <f t="shared" si="15"/>
        <v>4.6399999999999997E-2</v>
      </c>
      <c r="CQ45" s="26">
        <f>(1+Table2[[#This Row],[Salary growth]])*(1+CQ44)-1</f>
        <v>1.3653258747139021</v>
      </c>
      <c r="CR45" s="15">
        <f t="shared" si="5"/>
        <v>16.217046003561865</v>
      </c>
      <c r="CS45" s="17">
        <f t="shared" si="6"/>
        <v>21.082159804630429</v>
      </c>
      <c r="CT45" s="17">
        <f>CT44*(1+Table2[[#This Row],[Salary growth]])</f>
        <v>23.653258747139009</v>
      </c>
      <c r="CU45" s="19">
        <f t="shared" si="7"/>
        <v>30.74923637128073</v>
      </c>
      <c r="CV45" s="112">
        <f>('Cash flows as at 31032017'!B30)/1000000000</f>
        <v>3.1093073850000001</v>
      </c>
      <c r="CW45" s="113">
        <v>0</v>
      </c>
      <c r="CX45" s="113">
        <f>Table2[[#This Row],[Annual contributions (closed scheme)]]-Table2[[#This Row],[Annual benefit payments (closed scheme)]]</f>
        <v>-3.1093073850000001</v>
      </c>
      <c r="CY45" s="113">
        <v>4</v>
      </c>
      <c r="CZ45" s="113">
        <v>0</v>
      </c>
      <c r="DA45" s="113">
        <v>-4</v>
      </c>
      <c r="DB45" s="17"/>
      <c r="DC45" s="84"/>
      <c r="DD45" s="84"/>
      <c r="DE45" s="84"/>
      <c r="DF45" s="84"/>
      <c r="DG45" s="84"/>
      <c r="DH45" s="84"/>
      <c r="DI45" s="84"/>
      <c r="DJ45" s="84"/>
      <c r="DK45" s="84"/>
      <c r="DL45" s="84"/>
      <c r="DM45" s="84"/>
      <c r="DN45" s="84"/>
      <c r="DO45" s="84"/>
      <c r="DP45" s="84"/>
      <c r="DQ45" s="84"/>
      <c r="DR45" s="84"/>
      <c r="DS45" s="84"/>
      <c r="DT45" s="84"/>
      <c r="DU45" s="84"/>
      <c r="DV45" s="84"/>
      <c r="DW45" s="84"/>
      <c r="DX45" s="84"/>
    </row>
    <row r="46" spans="1:131" x14ac:dyDescent="0.2">
      <c r="A46" s="8">
        <v>2039</v>
      </c>
      <c r="B46" s="50"/>
      <c r="C46" s="50"/>
      <c r="D46" s="50"/>
      <c r="E46" s="35">
        <v>6.0999999999999999E-2</v>
      </c>
      <c r="F46" s="16">
        <f>F45*(1+Table2[[#This Row],[2008 discount rate]])</f>
        <v>211.26060139242696</v>
      </c>
      <c r="G46" s="18">
        <v>6.0999999999999999E-2</v>
      </c>
      <c r="H46" s="16">
        <f>H45*(1+Table2[[#This Row],[2011 discount rate]])</f>
        <v>173.60578086852777</v>
      </c>
      <c r="I46" s="18">
        <v>5.1999999999999998E-2</v>
      </c>
      <c r="J46" s="16">
        <f>J45*(1+Table2[[#This Row],[2014 discount rate]])</f>
        <v>148.08420657041614</v>
      </c>
      <c r="K46" s="9">
        <v>4.2200000000000001E-2</v>
      </c>
      <c r="L46" s="18">
        <f t="shared" si="9"/>
        <v>1.0357171763201021</v>
      </c>
      <c r="M46" s="17">
        <f>Table2[[#This Row],[Annual benefit payments (closed scheme)]]/((1+L45)*(1+Table2[[#This Row],[Discount rate A1]])^0.5)+M45</f>
        <v>40.810469864502309</v>
      </c>
      <c r="N46" s="17">
        <f>N45*(1+Table2[Discount rate A1])</f>
        <v>132.16398826632397</v>
      </c>
      <c r="O46" s="17">
        <f>Table2[[#This Row],[Asset growth A1, under the assumption of full-funding at Year 0]]/(1+Table2[[#This Row],[Compounded CPI]])</f>
        <v>79.493714280563182</v>
      </c>
      <c r="P46" s="17">
        <f>(P45*((1+Table2[Discount rate A1])^0.5)-Table2[Annual benefit payments (closed scheme)])*(1+Table2[Discount rate A1])^0.5</f>
        <v>49.085413789462706</v>
      </c>
      <c r="Q46" s="17">
        <f>Table2[[#This Row],[Asset growth A1 with benefit payments deducted]]/(1+Table2[Compounded CPI])</f>
        <v>29.523790181481747</v>
      </c>
      <c r="R46" s="17">
        <f>Table2[[#This Row],[Asset growth A1 with benefit payments deducted]]/(1+Table2[Compounded discount rate A1])</f>
        <v>24.112098851665028</v>
      </c>
      <c r="S46" s="9">
        <v>4.2200000000000001E-2</v>
      </c>
      <c r="T46" s="18">
        <f t="shared" si="8"/>
        <v>0.93353717684701643</v>
      </c>
      <c r="U46" s="17">
        <f>Table2[[#This Row],[Annual benefit payments (closed scheme)]]/((1+T45)*(1+Table2[[#This Row],[Discount rate A2]])^0.5)+U45</f>
        <v>42.1249755411922</v>
      </c>
      <c r="V46" s="17">
        <f>V45*(1+Table2[Discount rate A2])</f>
        <v>130.53562007212912</v>
      </c>
      <c r="W46" s="17">
        <f>Table2[[#This Row],[Asset growth A2, under the assumption of full-funding at Year 0]]/(1+Table2[Compounded CPI])</f>
        <v>78.514286845973075</v>
      </c>
      <c r="X46" s="17">
        <f>(X45*((1+Table2[Discount rate A2])^0.5)-Table2[Annual benefit payments (closed scheme)])*(1+Table2[Discount rate A2])^0.5</f>
        <v>49.085413789462748</v>
      </c>
      <c r="Y46" s="17">
        <f>Table2[[#This Row],[Asset growth A2 with benefit payments deducted]]/(1+Table2[[#This Row],[Compounded CPI]])</f>
        <v>29.523790181481772</v>
      </c>
      <c r="Z46" s="19">
        <f>Table2[[#This Row],[Asset growth A2 with benefit payments deducted]]/(1+Table2[Compounded discount rate A2])</f>
        <v>25.386330491718514</v>
      </c>
      <c r="AA46" s="35">
        <f t="shared" si="16"/>
        <v>5.3199999999999997E-2</v>
      </c>
      <c r="AB46" s="18">
        <f t="shared" si="10"/>
        <v>1.178988944972541</v>
      </c>
      <c r="AC46" s="17">
        <f>Table2[[#This Row],[Annual benefit payments (closed scheme)]]/((1+AB45)*(1+Table2[[#This Row],[Discount rate B]])^0.5)+AC45</f>
        <v>40.373887200525843</v>
      </c>
      <c r="AD46" s="16">
        <f>AD45*(1+Table2[Discount rate B])</f>
        <v>130.73933669835247</v>
      </c>
      <c r="AE46" s="16">
        <f>Table2[[#This Row],[Asset growth B]]/(1+Table2[Compounded CPI])</f>
        <v>78.63681788859391</v>
      </c>
      <c r="AF46" s="17">
        <f>(AF45*((1+Table2[Discount rate B])^0.5)-Table2[Annual benefit payments (closed scheme)])*(1+Table2[Discount rate B])^0.5</f>
        <v>42.765082822838266</v>
      </c>
      <c r="AG46" s="17">
        <f>Table2[[#This Row],[Asset growth B with benefit payments deducted]]/(1+Table2[Compounded CPI])</f>
        <v>25.722250967887511</v>
      </c>
      <c r="AH46" s="19">
        <f>Table2[[#This Row],[Asset growth B with benefit payments deducted]]/(1+Table2[Compounded discount rate B])</f>
        <v>19.626112799474154</v>
      </c>
      <c r="AI46" s="11">
        <f>Table2[CPI]+2.56%</f>
        <v>5.0799999999999998E-2</v>
      </c>
      <c r="AJ46" s="18">
        <f t="shared" si="11"/>
        <v>1.6365283955880949</v>
      </c>
      <c r="AK46" s="17">
        <f>Table2[[#This Row],[Annual benefit payments (closed scheme)]]/((1+AJ45)*(1+Table2[[#This Row],[Discount rate C]])^0.5)+AK45</f>
        <v>35.368710896188361</v>
      </c>
      <c r="AL46" s="17">
        <f>AL45*(1+Table2[Discount rate C])</f>
        <v>158.19170373528573</v>
      </c>
      <c r="AM46" s="17">
        <f>Table2[[#This Row],[Asset growth C]]/(1+Table2[Compounded CPI])</f>
        <v>95.148809166895717</v>
      </c>
      <c r="AN46" s="17">
        <f>(AN45*((1+Table2[Discount rate C])^0.5)-Table2[Annual benefit payments (closed scheme)])*(1+Table2[Discount rate C])^0.5</f>
        <v>64.941093142138953</v>
      </c>
      <c r="AO46" s="17">
        <f>Table2[[#This Row],[Asset growth C with benefit payments deducted]]/(1+Table2[Compounded CPI])</f>
        <v>39.060630441220134</v>
      </c>
      <c r="AP46" s="19">
        <f>Table2[[#This Row],[Asset growth C with benefit payments deducted]]/(1+Table2[Compounded discount rate C])</f>
        <v>24.631289103811611</v>
      </c>
      <c r="AQ46" s="11">
        <f>Table2[CPI]+2.56%</f>
        <v>5.0799999999999998E-2</v>
      </c>
      <c r="AR46" s="18">
        <f t="shared" si="12"/>
        <v>1.4679675530885983</v>
      </c>
      <c r="AS46" s="17">
        <f>Table2[[#This Row],[Annual benefit payments (closed scheme)]]/((1+AR45)*(1+Table2[[#This Row],[Discount rate D]])^0.5)+AS45</f>
        <v>36.708156049453095</v>
      </c>
      <c r="AT46" s="16">
        <f>AT45*(1+Table2[Discount rate D])</f>
        <v>148.07805318531589</v>
      </c>
      <c r="AU46" s="17">
        <f>Table2[[#This Row],[Asset growth D]]/(1+Table2[Compounded CPI])</f>
        <v>89.065672166424164</v>
      </c>
      <c r="AV46" s="17">
        <f>(AV45*((1+Table2[Discount rate D])^0.5)-Table2[Annual benefit payments (closed scheme)])*(1+Table2[Discount rate D])^0.5</f>
        <v>57.483515121552735</v>
      </c>
      <c r="AW46" s="17">
        <f>Table2[[#This Row],[Asset growth D with benefit payments deducted]]/(1+Table2[Compounded CPI])</f>
        <v>34.575062290848685</v>
      </c>
      <c r="AX46" s="19">
        <f>Table2[[#This Row],[Asset growth D with benefit payments deducted]]/(1+Table2[Compounded discount rate D])</f>
        <v>23.291843950546912</v>
      </c>
      <c r="AY46" s="11">
        <f>Table2[CPI]+4%</f>
        <v>6.5200000000000008E-2</v>
      </c>
      <c r="AZ46" s="18">
        <f t="shared" si="13"/>
        <v>1.8991023798345088</v>
      </c>
      <c r="BA46" s="17">
        <f>Table2[[#This Row],[Annual benefit payments (closed scheme)]]/((1+AZ45)*(1+Table2[[#This Row],[Discount rate E]])^0.5)+BA45</f>
        <v>34.878893099171265</v>
      </c>
      <c r="BB46" s="17">
        <f>BB45*(1+Table2[Discount rate E])</f>
        <v>173.94614279007058</v>
      </c>
      <c r="BC46" s="16">
        <f>Table2[[#This Row],[Asset growth E]]/(1+Table2[Compounded CPI])</f>
        <v>104.6247556278026</v>
      </c>
      <c r="BD46" s="17">
        <f>(BD45*((1+Table2[Discount rate E])^0.5)-Table2[Annual benefit payments (closed scheme)])*(1+Table2[Discount rate E])^0.5</f>
        <v>72.828660800269745</v>
      </c>
      <c r="BE46" s="17">
        <f>Table2[[#This Row],[Asset growth E with benefit payments deducted]]/(1+Table2[Compounded CPI])</f>
        <v>43.804827843318556</v>
      </c>
      <c r="BF46" s="19">
        <f>Table2[[#This Row],[Asset growth E with benefit payments deducted]]/(1+Table2[Compounded discount rate E])</f>
        <v>25.121106900828753</v>
      </c>
      <c r="BG46" s="11">
        <f>Table2[[#This Row],[Long-dated forward gilt yields]]+0.75%</f>
        <v>2.9899999999999999E-2</v>
      </c>
      <c r="BH46" s="11">
        <f t="shared" si="14"/>
        <v>0.77120445553021089</v>
      </c>
      <c r="BI46" s="17">
        <f>((Table2[[#This Row],[Annual benefit payments (closed scheme)]])*1.005^(Table2[[#This Row],[Year]]-2018))/((1+BH45)*(1+Table2[[#This Row],[Discount rate F]])^0.5)+BI45</f>
        <v>43.939837016889072</v>
      </c>
      <c r="BJ46" s="17">
        <f>BJ45*(1+Table2[Discount rate F])</f>
        <v>145.84716497576107</v>
      </c>
      <c r="BK46" s="17">
        <f>Table2[[#This Row],[Asset growth F, under the assumption of full-funding at Year 0]]/(1+Table2[[#This Row],[Compounded CPI]])</f>
        <v>87.723842275782047</v>
      </c>
      <c r="BL46" s="17">
        <f>(BL45*((1+Table2[Discount rate F])^0.5)-Table2[Annual benefit payments (closed scheme)]*1.005^(Table2[Year]-2018))*(1+Table2[Discount rate F])^0.5</f>
        <v>68.020729876175892</v>
      </c>
      <c r="BM46" s="17">
        <f>Table2[[#This Row],[Asset growth F with benefit payments deducted]]/(1+Table2[Compounded CPI])</f>
        <v>40.91296378735175</v>
      </c>
      <c r="BN46" s="19">
        <f>Table2[[#This Row],[Asset growth F with benefit payments deducted]]/(1+Table2[Compounded discount rate F])</f>
        <v>38.403657840739712</v>
      </c>
      <c r="BO46" s="18">
        <f>(1+BO45)*(1+Table2[Discount rate A2])-1</f>
        <v>8.7431480000000228E-2</v>
      </c>
      <c r="BP46" s="17">
        <f>Table2[[#This Row],[Annual benefit payments (ongoing scheme)]]/((1+BO45)*(1+Table2[[#This Row],[Discount rate A2]])^0.5)+BP45</f>
        <v>7.7650117861979595</v>
      </c>
      <c r="BQ46" s="17">
        <f>(BQ45*((1+Table2[Discount rate A2])^0.5)-Table2[Annual benefit payments (ongoing scheme)])*(1+Table2[Discount rate A2])^0.5</f>
        <v>113.90209845205136</v>
      </c>
      <c r="BR46" s="18">
        <f>(1+BR45)*(1+Table2[Discount rate B])-1</f>
        <v>0.11049407999999983</v>
      </c>
      <c r="BS46" s="17">
        <f>Table2[[#This Row],[Annual benefit payments (ongoing scheme)]]/((1+BR45)*(1+Table2[[#This Row],[Discount rate B]])^0.5)+BS45</f>
        <v>7.6844332293076247</v>
      </c>
      <c r="BT46" s="18">
        <f>(1+BT45)*(1+Table2[Discount rate E])-1</f>
        <v>0.13592928000000004</v>
      </c>
      <c r="BU46" s="17">
        <f>Table2[[#This Row],[Annual benefit payments (ongoing scheme)]]/((1+BT45)*(1+Table2[[#This Row],[Discount rate E]])^0.5)+BU45</f>
        <v>7.5986550979662724</v>
      </c>
      <c r="BV46" s="18">
        <f>Table2[CPI]+0.75%+0.75%</f>
        <v>4.02E-2</v>
      </c>
      <c r="BW46" s="18">
        <f>(1+BW45)*(1+Table2[Self-sufficiency discount rate, from 2037])-1</f>
        <v>8.3264280000000079E-2</v>
      </c>
      <c r="BX46" s="17">
        <f>(Table2[[#This Row],[Annual benefit payments (ongoing scheme)]]*1.005^(Table2[[#This Row],[Year]]-2038))/((1+BW45)*(1+Table2[[#This Row],[Self-sufficiency discount rate, from 2037]])^0.5)+BX45</f>
        <v>7.7991689414630994</v>
      </c>
      <c r="BY46" s="17">
        <f>(BY45*((1+Table2[Self-sufficiency discount rate, from 2037])^0.5)-Table2[Annual benefit payments (ongoing scheme)]*1.005^(Table2[Year]-2038))*(1+Table2[Self-sufficiency discount rate, from 2037])^0.5</f>
        <v>130.26399479777496</v>
      </c>
      <c r="BZ46" s="17">
        <f>(BZ45*((1+Table2[Discount rate B])^0.5)-Table2[Annual benefit payments (ongoing scheme)])*(1+Table2[Discount rate B])^0.5</f>
        <v>95.312051213847369</v>
      </c>
      <c r="CA46" s="17">
        <f>(CA45*((1+Table2[Discount rate A2])^0.5)+Table2[Net cashflow (ongoing scheme)])*(1+Table2[Discount rate A2])^0.5</f>
        <v>113.54219641007813</v>
      </c>
      <c r="CB46" s="17">
        <f>Table2[[#This Row],[Asset growth, ongoing scheme, with November de-risking, net of contributions and payments]]/(1+Table2[Compounded discount rate A2])</f>
        <v>58.722530794690648</v>
      </c>
      <c r="CC46" s="17">
        <f>Table2[[#This Row],[Asset growth, ongoing scheme, with November de-risking, net of contributions and payments]]/(1+Table2[Compounded CPI])</f>
        <v>68.29311856133036</v>
      </c>
      <c r="CD46" s="17">
        <f>(CD45*((1+Table2[Discount rate A1])^0.5)+Table2[Net cashflow (ongoing scheme)])*(1+Table2[Discount rate A1])^0.5</f>
        <v>119.78690548035435</v>
      </c>
      <c r="CE46" s="17">
        <f>Table2[[#This Row],[Asset growth, ongoing scheme, with September de-risking, net of contributions and payments]]/(1+Table2[Compounded discount rate A1])</f>
        <v>58.842606858035722</v>
      </c>
      <c r="CF46" s="17">
        <f>Table2[[#This Row],[Asset growth, ongoing scheme, with September de-risking, net of contributions and payments]]/(1+Table2[Compounded CPI])</f>
        <v>72.049172877710788</v>
      </c>
      <c r="CG46" s="17">
        <f>(CG45*((1+Table2[Discount rate B])^0.5)+Table2[Net cashflow (ongoing scheme)])*(1+Table2[Discount rate B])^0.5</f>
        <v>128.66323346593407</v>
      </c>
      <c r="CH46" s="17">
        <f>Table2[[#This Row],[Asset growth, ongoing scheme, no de-risking, net of contributions and payments]]/(1+Table2[Compounded discount rate B])</f>
        <v>59.047217179688559</v>
      </c>
      <c r="CI46" s="17">
        <f>Table2[[#This Row],[Asset growth, ongoing scheme, no de-risking, net of contributions and payments]]/(1+Table2[Compounded CPI])</f>
        <v>77.388087736457038</v>
      </c>
      <c r="CJ46" s="17">
        <f>(CJ45*((1+Table2[Discount rate E])^0.5)+Table2[Net cashflow (ongoing scheme)])*(1+Table2[Discount rate E])^0.5</f>
        <v>172.71357833107268</v>
      </c>
      <c r="CK46" s="17">
        <f>Table2[[#This Row],[Asset growth, ongoing scheme, best-estimates, no de-risking, net of contributions and payments ]]/(1+Table2[Compounded discount rate E])</f>
        <v>59.574846177364662</v>
      </c>
      <c r="CL46" s="17">
        <f>Table2[[#This Row],[Asset growth, ongoing scheme, best-estimates, no de-risking, net of contributions and payments ]]/(1+Table2[Compounded CPI])</f>
        <v>103.88339538117843</v>
      </c>
      <c r="CM46" s="9">
        <v>2.52E-2</v>
      </c>
      <c r="CN46" s="11">
        <f>(1+Table2[[#This Row],[CPI]])*(1+CN45)-1</f>
        <v>0.6625715562851624</v>
      </c>
      <c r="CO46" s="11">
        <f>'Gilt yields'!B28</f>
        <v>2.24E-2</v>
      </c>
      <c r="CP46" s="11">
        <f t="shared" si="15"/>
        <v>4.5200000000000004E-2</v>
      </c>
      <c r="CQ46" s="26">
        <f>(1+Table2[[#This Row],[Salary growth]])*(1+CQ45)-1</f>
        <v>1.4722386042509701</v>
      </c>
      <c r="CR46" s="15">
        <f t="shared" si="5"/>
        <v>16.625715562851621</v>
      </c>
      <c r="CS46" s="17">
        <f t="shared" si="6"/>
        <v>21.613430231707113</v>
      </c>
      <c r="CT46" s="17">
        <f>CT45*(1+Table2[[#This Row],[Salary growth]])</f>
        <v>24.72238604250969</v>
      </c>
      <c r="CU46" s="19">
        <f t="shared" si="7"/>
        <v>32.139101855262616</v>
      </c>
      <c r="CV46" s="112">
        <f>('Cash flows as at 31032017'!B31)/1000000000</f>
        <v>3.143095872</v>
      </c>
      <c r="CW46" s="113">
        <v>0</v>
      </c>
      <c r="CX46" s="113">
        <f>Table2[[#This Row],[Annual contributions (closed scheme)]]-Table2[[#This Row],[Annual benefit payments (closed scheme)]]</f>
        <v>-3.143095872</v>
      </c>
      <c r="CY46" s="113">
        <v>4.0999999999999996</v>
      </c>
      <c r="CZ46" s="113">
        <v>0</v>
      </c>
      <c r="DA46" s="113">
        <v>-4.0999999999999996</v>
      </c>
      <c r="DB46" s="17"/>
      <c r="DC46" s="84"/>
      <c r="DD46" s="84"/>
      <c r="DE46" s="84"/>
      <c r="DF46" s="84"/>
      <c r="DG46" s="84"/>
      <c r="DH46" s="84"/>
      <c r="DI46" s="84"/>
      <c r="DJ46" s="84"/>
      <c r="DK46" s="84"/>
      <c r="DL46" s="84"/>
      <c r="DM46" s="84"/>
      <c r="DN46" s="84"/>
      <c r="DO46" s="84"/>
      <c r="DP46" s="84"/>
      <c r="DQ46" s="84"/>
      <c r="DR46" s="84"/>
      <c r="DS46" s="84"/>
      <c r="DT46" s="84"/>
      <c r="DU46" s="84"/>
      <c r="DV46" s="84"/>
      <c r="DW46" s="84"/>
      <c r="DX46" s="84"/>
      <c r="DY46" s="84"/>
    </row>
    <row r="47" spans="1:131" x14ac:dyDescent="0.2">
      <c r="A47" s="8">
        <v>2040</v>
      </c>
      <c r="B47" s="50"/>
      <c r="C47" s="50"/>
      <c r="D47" s="50"/>
      <c r="E47" s="35">
        <v>6.0999999999999999E-2</v>
      </c>
      <c r="F47" s="16">
        <f>F46*(1+Table2[[#This Row],[2008 discount rate]])</f>
        <v>224.14749807736499</v>
      </c>
      <c r="G47" s="18">
        <v>6.0999999999999999E-2</v>
      </c>
      <c r="H47" s="16">
        <f>H46*(1+Table2[[#This Row],[2011 discount rate]])</f>
        <v>184.19573350150796</v>
      </c>
      <c r="I47" s="18">
        <v>5.1999999999999998E-2</v>
      </c>
      <c r="J47" s="16">
        <f>J46*(1+Table2[[#This Row],[2014 discount rate]])</f>
        <v>155.78458531207778</v>
      </c>
      <c r="K47" s="9">
        <v>4.0899999999999999E-2</v>
      </c>
      <c r="L47" s="18">
        <f t="shared" si="9"/>
        <v>1.1189780088315939</v>
      </c>
      <c r="M47" s="17">
        <f>Table2[[#This Row],[Annual benefit payments (closed scheme)]]/((1+L46)*(1+Table2[[#This Row],[Discount rate A1]])^0.5)+M46</f>
        <v>42.334318821334591</v>
      </c>
      <c r="N47" s="17">
        <f>N46*(1+Table2[Discount rate A1])</f>
        <v>137.56949538641661</v>
      </c>
      <c r="O47" s="17">
        <f>Table2[[#This Row],[Asset growth A1, under the assumption of full-funding at Year 0]]/(1+Table2[[#This Row],[Compounded CPI]])</f>
        <v>80.813563038029315</v>
      </c>
      <c r="P47" s="17">
        <f>(P46*((1+Table2[Discount rate A1])^0.5)-Table2[Annual benefit payments (closed scheme)])*(1+Table2[Discount rate A1])^0.5</f>
        <v>47.864004785143152</v>
      </c>
      <c r="Q47" s="17">
        <f>Table2[[#This Row],[Asset growth A1 with benefit payments deducted]]/(1+Table2[Compounded CPI])</f>
        <v>28.117140046867025</v>
      </c>
      <c r="R47" s="17">
        <f>Table2[[#This Row],[Asset growth A1 with benefit payments deducted]]/(1+Table2[Compounded discount rate A1])</f>
        <v>22.588249894832746</v>
      </c>
      <c r="S47" s="9">
        <v>4.0900000000000006E-2</v>
      </c>
      <c r="T47" s="18">
        <f t="shared" si="8"/>
        <v>1.0126188473800593</v>
      </c>
      <c r="U47" s="17">
        <f>Table2[[#This Row],[Annual benefit payments (closed scheme)]]/((1+T46)*(1+Table2[[#This Row],[Discount rate A2]])^0.5)+U46</f>
        <v>43.729354051565359</v>
      </c>
      <c r="V47" s="17">
        <f>V46*(1+Table2[Discount rate A2])</f>
        <v>135.87452693307918</v>
      </c>
      <c r="W47" s="17">
        <f>Table2[[#This Row],[Asset growth A2, under the assumption of full-funding at Year 0]]/(1+Table2[Compounded CPI])</f>
        <v>79.817873989621418</v>
      </c>
      <c r="X47" s="17">
        <f>(X46*((1+Table2[Discount rate A2])^0.5)-Table2[Annual benefit payments (closed scheme)])*(1+Table2[Discount rate A2])^0.5</f>
        <v>47.864004785143194</v>
      </c>
      <c r="Y47" s="17">
        <f>Table2[[#This Row],[Asset growth A2 with benefit payments deducted]]/(1+Table2[[#This Row],[Compounded CPI]])</f>
        <v>28.11714004686705</v>
      </c>
      <c r="Z47" s="19">
        <f>Table2[[#This Row],[Asset growth A2 with benefit payments deducted]]/(1+Table2[Compounded discount rate A2])</f>
        <v>23.781951981345351</v>
      </c>
      <c r="AA47" s="35">
        <f t="shared" si="16"/>
        <v>5.1900000000000002E-2</v>
      </c>
      <c r="AB47" s="18">
        <f t="shared" si="10"/>
        <v>1.292078471216616</v>
      </c>
      <c r="AC47" s="17">
        <f>Table2[[#This Row],[Annual benefit payments (closed scheme)]]/((1+AB46)*(1+Table2[[#This Row],[Discount rate B]])^0.5)+AC46</f>
        <v>41.790077492382707</v>
      </c>
      <c r="AD47" s="16">
        <f>AD46*(1+Table2[Discount rate B])</f>
        <v>137.52470827299697</v>
      </c>
      <c r="AE47" s="16">
        <f>Table2[[#This Row],[Asset growth B]]/(1+Table2[Compounded CPI])</f>
        <v>80.787253381201225</v>
      </c>
      <c r="AF47" s="17">
        <f>(AF46*((1+Table2[Discount rate B])^0.5)-Table2[Annual benefit payments (closed scheme)])*(1+Table2[Discount rate B])^0.5</f>
        <v>41.738571342232497</v>
      </c>
      <c r="AG47" s="17">
        <f>Table2[[#This Row],[Asset growth B with benefit payments deducted]]/(1+Table2[Compounded CPI])</f>
        <v>24.518827061248626</v>
      </c>
      <c r="AH47" s="19">
        <f>Table2[[#This Row],[Asset growth B with benefit payments deducted]]/(1+Table2[Compounded discount rate B])</f>
        <v>18.209922507617296</v>
      </c>
      <c r="AI47" s="11">
        <f>Table2[CPI]+2.56%</f>
        <v>4.9500000000000002E-2</v>
      </c>
      <c r="AJ47" s="18">
        <f t="shared" si="11"/>
        <v>1.7670365511697059</v>
      </c>
      <c r="AK47" s="17">
        <f>Table2[[#This Row],[Annual benefit payments (closed scheme)]]/((1+AJ46)*(1+Table2[[#This Row],[Discount rate C]])^0.5)+AK46</f>
        <v>36.540475008787908</v>
      </c>
      <c r="AL47" s="17">
        <f>AL46*(1+Table2[Discount rate C])</f>
        <v>166.0221930701824</v>
      </c>
      <c r="AM47" s="17">
        <f>Table2[[#This Row],[Asset growth C]]/(1+Table2[Compounded CPI])</f>
        <v>97.527761715652957</v>
      </c>
      <c r="AN47" s="17">
        <f>(AN46*((1+Table2[Discount rate C])^0.5)-Table2[Annual benefit payments (closed scheme)])*(1+Table2[Discount rate C])^0.5</f>
        <v>64.913363123762934</v>
      </c>
      <c r="AO47" s="17">
        <f>Table2[[#This Row],[Asset growth C with benefit payments deducted]]/(1+Table2[Compounded CPI])</f>
        <v>38.132582721755576</v>
      </c>
      <c r="AP47" s="19">
        <f>Table2[[#This Row],[Asset growth C with benefit payments deducted]]/(1+Table2[Compounded discount rate C])</f>
        <v>23.459524991212056</v>
      </c>
      <c r="AQ47" s="11">
        <f>Table2[CPI]+2.56%</f>
        <v>4.9500000000000002E-2</v>
      </c>
      <c r="AR47" s="18">
        <f t="shared" si="12"/>
        <v>1.5901319469664843</v>
      </c>
      <c r="AS47" s="17">
        <f>Table2[[#This Row],[Annual benefit payments (closed scheme)]]/((1+AR46)*(1+Table2[[#This Row],[Discount rate D]])^0.5)+AS46</f>
        <v>37.95995101407226</v>
      </c>
      <c r="AT47" s="16">
        <f>AT46*(1+Table2[Discount rate D])</f>
        <v>155.40791681798905</v>
      </c>
      <c r="AU47" s="17">
        <f>Table2[[#This Row],[Asset growth D]]/(1+Table2[Compounded CPI])</f>
        <v>91.292531437310458</v>
      </c>
      <c r="AV47" s="17">
        <f>(AV46*((1+Table2[Discount rate D])^0.5)-Table2[Annual benefit payments (closed scheme)])*(1+Table2[Discount rate D])^0.5</f>
        <v>57.086634991157716</v>
      </c>
      <c r="AW47" s="17">
        <f>Table2[[#This Row],[Asset growth D with benefit payments deducted]]/(1+Table2[Compounded CPI])</f>
        <v>33.534864415461186</v>
      </c>
      <c r="AX47" s="19">
        <f>Table2[[#This Row],[Asset growth D with benefit payments deducted]]/(1+Table2[Compounded discount rate D])</f>
        <v>22.040048985927744</v>
      </c>
      <c r="AY47" s="11">
        <f>Table2[CPI]+4%</f>
        <v>6.3899999999999998E-2</v>
      </c>
      <c r="AZ47" s="18">
        <f t="shared" si="13"/>
        <v>2.0843550219059339</v>
      </c>
      <c r="BA47" s="17">
        <f>Table2[[#This Row],[Annual benefit payments (closed scheme)]]/((1+AZ46)*(1+Table2[[#This Row],[Discount rate E]])^0.5)+BA46</f>
        <v>35.937293292396731</v>
      </c>
      <c r="BB47" s="17">
        <f>BB46*(1+Table2[Discount rate E])</f>
        <v>185.06130131435611</v>
      </c>
      <c r="BC47" s="16">
        <f>Table2[[#This Row],[Asset growth E]]/(1+Table2[Compounded CPI])</f>
        <v>108.71205929526243</v>
      </c>
      <c r="BD47" s="17">
        <f>(BD46*((1+Table2[Discount rate E])^0.5)-Table2[Annual benefit payments (closed scheme)])*(1+Table2[Discount rate E])^0.5</f>
        <v>74.217930274245788</v>
      </c>
      <c r="BE47" s="17">
        <f>Table2[[#This Row],[Asset growth E with benefit payments deducted]]/(1+Table2[Compounded CPI])</f>
        <v>43.598439973357934</v>
      </c>
      <c r="BF47" s="19">
        <f>Table2[[#This Row],[Asset growth E with benefit payments deducted]]/(1+Table2[Compounded discount rate E])</f>
        <v>24.062706707603283</v>
      </c>
      <c r="BG47" s="11">
        <f>Table2[[#This Row],[Long-dated forward gilt yields]]+0.75%</f>
        <v>2.869E-2</v>
      </c>
      <c r="BH47" s="11">
        <f t="shared" si="14"/>
        <v>0.82202031135937292</v>
      </c>
      <c r="BI47" s="17">
        <f>((Table2[[#This Row],[Annual benefit payments (closed scheme)]])*1.005^(Table2[[#This Row],[Year]]-2018))/((1+BH46)*(1+Table2[[#This Row],[Discount rate F]])^0.5)+BI46</f>
        <v>45.905940039939878</v>
      </c>
      <c r="BJ47" s="17">
        <f>BJ46*(1+Table2[Discount rate F])</f>
        <v>150.03152013891568</v>
      </c>
      <c r="BK47" s="17">
        <f>Table2[[#This Row],[Asset growth F, under the assumption of full-funding at Year 0]]/(1+Table2[[#This Row],[Compounded CPI]])</f>
        <v>88.134231185344518</v>
      </c>
      <c r="BL47" s="17">
        <f>(BL46*((1+Table2[Discount rate F])^0.5)-Table2[Annual benefit payments (closed scheme)]*1.005^(Table2[Year]-2018))*(1+Table2[Discount rate F])^0.5</f>
        <v>66.38996497409974</v>
      </c>
      <c r="BM47" s="17">
        <f>Table2[[#This Row],[Asset growth F with benefit payments deducted]]/(1+Table2[Compounded CPI])</f>
        <v>38.999994907713528</v>
      </c>
      <c r="BN47" s="19">
        <f>Table2[[#This Row],[Asset growth F with benefit payments deducted]]/(1+Table2[Compounded discount rate F])</f>
        <v>36.437554817688898</v>
      </c>
      <c r="BO47" s="18">
        <f>(1+BO46)*(1+Table2[Discount rate A2])-1</f>
        <v>0.13190742753200024</v>
      </c>
      <c r="BP47" s="17">
        <f>Table2[[#This Row],[Annual benefit payments (ongoing scheme)]]/((1+BO46)*(1+Table2[[#This Row],[Discount rate A2]])^0.5)+BP46</f>
        <v>11.523642423804912</v>
      </c>
      <c r="BQ47" s="17">
        <f>(BQ46*((1+Table2[Discount rate A2])^0.5)-Table2[Annual benefit payments (ongoing scheme)])*(1+Table2[Discount rate A2])^0.5</f>
        <v>114.3062723426836</v>
      </c>
      <c r="BR47" s="18">
        <f>(1+BR46)*(1+Table2[Discount rate B])-1</f>
        <v>0.16812872275199986</v>
      </c>
      <c r="BS47" s="17">
        <f>Table2[[#This Row],[Annual benefit payments (ongoing scheme)]]/((1+BR46)*(1+Table2[[#This Row],[Discount rate B]])^0.5)+BS46</f>
        <v>11.345710164722226</v>
      </c>
      <c r="BT47" s="18">
        <f>(1+BT46)*(1+Table2[Discount rate E])-1</f>
        <v>0.20851516099200018</v>
      </c>
      <c r="BU47" s="17">
        <f>Table2[[#This Row],[Annual benefit payments (ongoing scheme)]]/((1+BT46)*(1+Table2[[#This Row],[Discount rate E]])^0.5)+BU46</f>
        <v>11.157707286359551</v>
      </c>
      <c r="BV47" s="18">
        <f>Table2[CPI]+0.75%+0.75%</f>
        <v>3.8899999999999997E-2</v>
      </c>
      <c r="BW47" s="18">
        <f>(1+BW46)*(1+Table2[Self-sufficiency discount rate, from 2037])-1</f>
        <v>0.1254032604919999</v>
      </c>
      <c r="BX47" s="17">
        <f>(Table2[[#This Row],[Annual benefit payments (ongoing scheme)]]*1.005^(Table2[[#This Row],[Year]]-2038))/((1+BW46)*(1+Table2[[#This Row],[Self-sufficiency discount rate, from 2037]])^0.5)+BX46</f>
        <v>11.613750304219593</v>
      </c>
      <c r="BY47" s="17">
        <f>(BY46*((1+Table2[Self-sufficiency discount rate, from 2037])^0.5)-Table2[Annual benefit payments (ongoing scheme)]*1.005^(Table2[Year]-2038))*(1+Table2[Self-sufficiency discount rate, from 2037])^0.5</f>
        <v>131.03832189235021</v>
      </c>
      <c r="BZ47" s="17">
        <f>(BZ46*((1+Table2[Discount rate B])^0.5)-Table2[Annual benefit payments (ongoing scheme)])*(1+Table2[Discount rate B])^0.5</f>
        <v>95.981903921638846</v>
      </c>
      <c r="CA47" s="17">
        <f>(CA46*((1+Table2[Discount rate A2])^0.5)+Table2[Net cashflow (ongoing scheme)])*(1+Table2[Discount rate A2])^0.5</f>
        <v>113.93165030719365</v>
      </c>
      <c r="CB47" s="17">
        <f>Table2[[#This Row],[Asset growth, ongoing scheme, with November de-risking, net of contributions and payments]]/(1+Table2[Compounded discount rate A2])</f>
        <v>56.608657151106868</v>
      </c>
      <c r="CC47" s="17">
        <f>Table2[[#This Row],[Asset growth, ongoing scheme, with November de-risking, net of contributions and payments]]/(1+Table2[Compounded CPI])</f>
        <v>66.927792227957909</v>
      </c>
      <c r="CD47" s="17">
        <f>(CD46*((1+Table2[Discount rate A1])^0.5)+Table2[Net cashflow (ongoing scheme)])*(1+Table2[Discount rate A1])^0.5</f>
        <v>120.43176797844417</v>
      </c>
      <c r="CE47" s="17">
        <f>Table2[[#This Row],[Asset growth, ongoing scheme, with September de-risking, net of contributions and payments]]/(1+Table2[Compounded discount rate A1])</f>
        <v>56.834836169371265</v>
      </c>
      <c r="CF47" s="17">
        <f>Table2[[#This Row],[Asset growth, ongoing scheme, with September de-risking, net of contributions and payments]]/(1+Table2[Compounded CPI])</f>
        <v>70.746209004909176</v>
      </c>
      <c r="CG47" s="17">
        <f>(CG46*((1+Table2[Discount rate B])^0.5)+Table2[Net cashflow (ongoing scheme)])*(1+Table2[Discount rate B])^0.5</f>
        <v>131.06401253260884</v>
      </c>
      <c r="CH47" s="17">
        <f>Table2[[#This Row],[Asset growth, ongoing scheme, no de-risking, net of contributions and payments]]/(1+Table2[Compounded discount rate B])</f>
        <v>57.181293825006421</v>
      </c>
      <c r="CI47" s="17">
        <f>Table2[[#This Row],[Asset growth, ongoing scheme, no de-risking, net of contributions and payments]]/(1+Table2[Compounded CPI])</f>
        <v>76.991994548428508</v>
      </c>
      <c r="CJ47" s="17">
        <f>(CJ46*((1+Table2[Discount rate E])^0.5)+Table2[Net cashflow (ongoing scheme)])*(1+Table2[Discount rate E])^0.5</f>
        <v>179.44880745799321</v>
      </c>
      <c r="CK47" s="17">
        <f>Table2[[#This Row],[Asset growth, ongoing scheme, best-estimates, no de-risking, net of contributions and payments ]]/(1+Table2[Compounded discount rate E])</f>
        <v>58.180334683750296</v>
      </c>
      <c r="CL47" s="17">
        <f>Table2[[#This Row],[Asset growth, ongoing scheme, best-estimates, no de-risking, net of contributions and payments ]]/(1+Table2[Compounded CPI])</f>
        <v>105.41506656596789</v>
      </c>
      <c r="CM47" s="9">
        <v>2.3900000000000001E-2</v>
      </c>
      <c r="CN47" s="11">
        <f>(1+Table2[[#This Row],[CPI]])*(1+CN46)-1</f>
        <v>0.70230701648037774</v>
      </c>
      <c r="CO47" s="11">
        <f>'Gilt yields'!B29</f>
        <v>2.1190000000000001E-2</v>
      </c>
      <c r="CP47" s="11">
        <f t="shared" si="15"/>
        <v>4.3900000000000002E-2</v>
      </c>
      <c r="CQ47" s="26">
        <f>(1+Table2[[#This Row],[Salary growth]])*(1+CQ46)-1</f>
        <v>1.5807698789775877</v>
      </c>
      <c r="CR47" s="15">
        <f t="shared" si="5"/>
        <v>17.023070164803777</v>
      </c>
      <c r="CS47" s="17">
        <f t="shared" si="6"/>
        <v>22.129991214244914</v>
      </c>
      <c r="CT47" s="17">
        <f>CT46*(1+Table2[[#This Row],[Salary growth]])</f>
        <v>25.807698789775866</v>
      </c>
      <c r="CU47" s="19">
        <f t="shared" si="7"/>
        <v>33.550008426708644</v>
      </c>
      <c r="CV47" s="112">
        <f>('Cash flows as at 31032017'!B32)/1000000000</f>
        <v>3.164928239</v>
      </c>
      <c r="CW47" s="113">
        <v>0</v>
      </c>
      <c r="CX47" s="113">
        <f>Table2[[#This Row],[Annual contributions (closed scheme)]]-Table2[[#This Row],[Annual benefit payments (closed scheme)]]</f>
        <v>-3.164928239</v>
      </c>
      <c r="CY47" s="113">
        <v>4.17</v>
      </c>
      <c r="CZ47" s="113">
        <v>0</v>
      </c>
      <c r="DA47" s="113">
        <v>-4.17</v>
      </c>
      <c r="DB47" s="17"/>
      <c r="DC47" s="84"/>
      <c r="DD47" s="84"/>
      <c r="DE47" s="84"/>
      <c r="DF47" s="84"/>
      <c r="DG47" s="84"/>
      <c r="DH47" s="84"/>
      <c r="DI47" s="84"/>
      <c r="DJ47" s="84"/>
      <c r="DK47" s="84"/>
      <c r="DL47" s="84"/>
      <c r="DM47" s="84"/>
      <c r="DN47" s="84"/>
      <c r="DO47" s="84"/>
      <c r="DP47" s="84"/>
      <c r="DQ47" s="84"/>
      <c r="DR47" s="84"/>
      <c r="DS47" s="84"/>
      <c r="DT47" s="84"/>
      <c r="DU47" s="84"/>
      <c r="DV47" s="84"/>
      <c r="DW47" s="84"/>
      <c r="DX47" s="84"/>
      <c r="DY47" s="84"/>
      <c r="DZ47" s="84"/>
    </row>
    <row r="48" spans="1:131" x14ac:dyDescent="0.2">
      <c r="A48" s="8">
        <v>2041</v>
      </c>
      <c r="B48" s="50"/>
      <c r="C48" s="50"/>
      <c r="D48" s="50"/>
      <c r="E48" s="35">
        <v>6.0999999999999999E-2</v>
      </c>
      <c r="F48" s="16">
        <f>F47*(1+Table2[[#This Row],[2008 discount rate]])</f>
        <v>237.82049546008423</v>
      </c>
      <c r="G48" s="18">
        <v>6.0999999999999999E-2</v>
      </c>
      <c r="H48" s="16">
        <f>H47*(1+Table2[[#This Row],[2011 discount rate]])</f>
        <v>195.43167324509994</v>
      </c>
      <c r="I48" s="18">
        <v>5.1999999999999998E-2</v>
      </c>
      <c r="J48" s="16">
        <f>J47*(1+Table2[[#This Row],[2014 discount rate]])</f>
        <v>163.88538374830583</v>
      </c>
      <c r="K48" s="9">
        <v>3.9399999999999998E-2</v>
      </c>
      <c r="L48" s="18">
        <f t="shared" si="9"/>
        <v>1.2024657423795588</v>
      </c>
      <c r="M48" s="17">
        <f>Table2[[#This Row],[Annual benefit payments (closed scheme)]]/((1+L47)*(1+Table2[[#This Row],[Discount rate A1]])^0.5)+M47</f>
        <v>43.804311926177135</v>
      </c>
      <c r="N48" s="17">
        <f>N47*(1+Table2[Discount rate A1])</f>
        <v>142.98973350464144</v>
      </c>
      <c r="O48" s="17">
        <f>Table2[[#This Row],[Asset growth A1, under the assumption of full-funding at Year 0]]/(1+Table2[[#This Row],[Compounded CPI]])</f>
        <v>82.15729403533615</v>
      </c>
      <c r="P48" s="17">
        <f>(P47*((1+Table2[Discount rate A1])^0.5)-Table2[Annual benefit payments (closed scheme)])*(1+Table2[Discount rate A1])^0.5</f>
        <v>46.512237118727938</v>
      </c>
      <c r="Q48" s="17">
        <f>Table2[[#This Row],[Asset growth A1 with benefit payments deducted]]/(1+Table2[Compounded CPI])</f>
        <v>26.724432919378561</v>
      </c>
      <c r="R48" s="17">
        <f>Table2[[#This Row],[Asset growth A1 with benefit payments deducted]]/(1+Table2[Compounded discount rate A1])</f>
        <v>21.118256789990205</v>
      </c>
      <c r="S48" s="9">
        <v>3.9400000000000004E-2</v>
      </c>
      <c r="T48" s="18">
        <f t="shared" si="8"/>
        <v>1.0919160299668338</v>
      </c>
      <c r="U48" s="17">
        <f>Table2[[#This Row],[Annual benefit payments (closed scheme)]]/((1+T47)*(1+Table2[[#This Row],[Discount rate A2]])^0.5)+U47</f>
        <v>45.277030635410455</v>
      </c>
      <c r="V48" s="17">
        <f>V47*(1+Table2[Discount rate A2])</f>
        <v>141.22798329424251</v>
      </c>
      <c r="W48" s="17">
        <f>Table2[[#This Row],[Asset growth A2, under the assumption of full-funding at Year 0]]/(1+Table2[Compounded CPI])</f>
        <v>81.145049124425384</v>
      </c>
      <c r="X48" s="17">
        <f>(X47*((1+Table2[Discount rate A2])^0.5)-Table2[Annual benefit payments (closed scheme)])*(1+Table2[Discount rate A2])^0.5</f>
        <v>46.512237118727981</v>
      </c>
      <c r="Y48" s="17">
        <f>Table2[[#This Row],[Asset growth A2 with benefit payments deducted]]/(1+Table2[[#This Row],[Compounded CPI]])</f>
        <v>26.724432919378586</v>
      </c>
      <c r="Z48" s="19">
        <f>Table2[[#This Row],[Asset growth A2 with benefit payments deducted]]/(1+Table2[Compounded discount rate A2])</f>
        <v>22.234275397500255</v>
      </c>
      <c r="AA48" s="35">
        <f t="shared" si="16"/>
        <v>5.04E-2</v>
      </c>
      <c r="AB48" s="18">
        <f t="shared" si="10"/>
        <v>1.4075992261659334</v>
      </c>
      <c r="AC48" s="17">
        <f>Table2[[#This Row],[Annual benefit payments (closed scheme)]]/((1+AB47)*(1+Table2[[#This Row],[Discount rate B]])^0.5)+AC47</f>
        <v>43.141920518397789</v>
      </c>
      <c r="AD48" s="16">
        <f>AD47*(1+Table2[Discount rate B])</f>
        <v>144.45595356995602</v>
      </c>
      <c r="AE48" s="16">
        <f>Table2[[#This Row],[Asset growth B]]/(1+Table2[Compounded CPI])</f>
        <v>82.999736846257605</v>
      </c>
      <c r="AF48" s="17">
        <f>(AF47*((1+Table2[Discount rate B])^0.5)-Table2[Annual benefit payments (closed scheme)])*(1+Table2[Discount rate B])^0.5</f>
        <v>40.587499114549281</v>
      </c>
      <c r="AG48" s="17">
        <f>Table2[[#This Row],[Asset growth B with benefit payments deducted]]/(1+Table2[Compounded CPI])</f>
        <v>23.320269345104634</v>
      </c>
      <c r="AH48" s="19">
        <f>Table2[[#This Row],[Asset growth B with benefit payments deducted]]/(1+Table2[Compounded discount rate B])</f>
        <v>16.858079481602211</v>
      </c>
      <c r="AI48" s="11">
        <f>Table2[CPI]+2.56%</f>
        <v>4.8000000000000001E-2</v>
      </c>
      <c r="AJ48" s="18">
        <f t="shared" si="11"/>
        <v>1.8998543056258521</v>
      </c>
      <c r="AK48" s="17">
        <f>Table2[[#This Row],[Annual benefit payments (closed scheme)]]/((1+AJ47)*(1+Table2[[#This Row],[Discount rate C]])^0.5)+AK47</f>
        <v>37.661557490187668</v>
      </c>
      <c r="AL48" s="17">
        <f>AL47*(1+Table2[Discount rate C])</f>
        <v>173.99125833755116</v>
      </c>
      <c r="AM48" s="17">
        <f>Table2[[#This Row],[Asset growth C]]/(1+Table2[Compounded CPI])</f>
        <v>99.969771398674013</v>
      </c>
      <c r="AN48" s="17">
        <f>(AN47*((1+Table2[Discount rate C])^0.5)-Table2[Annual benefit payments (closed scheme)])*(1+Table2[Discount rate C])^0.5</f>
        <v>64.778228693054729</v>
      </c>
      <c r="AO48" s="17">
        <f>Table2[[#This Row],[Asset growth C with benefit payments deducted]]/(1+Table2[Compounded CPI])</f>
        <v>37.219483185139261</v>
      </c>
      <c r="AP48" s="19">
        <f>Table2[[#This Row],[Asset growth C with benefit payments deducted]]/(1+Table2[Compounded discount rate C])</f>
        <v>22.338442509812289</v>
      </c>
      <c r="AQ48" s="11">
        <f>Table2[CPI]+2.56%</f>
        <v>4.8000000000000001E-2</v>
      </c>
      <c r="AR48" s="18">
        <f t="shared" si="12"/>
        <v>1.7144582804208754</v>
      </c>
      <c r="AS48" s="17">
        <f>Table2[[#This Row],[Annual benefit payments (closed scheme)]]/((1+AR47)*(1+Table2[[#This Row],[Discount rate D]])^0.5)+AS47</f>
        <v>39.157602819626902</v>
      </c>
      <c r="AT48" s="16">
        <f>AT47*(1+Table2[Discount rate D])</f>
        <v>162.86749682525252</v>
      </c>
      <c r="AU48" s="17">
        <f>Table2[[#This Row],[Asset growth D]]/(1+Table2[Compounded CPI])</f>
        <v>93.578416418526359</v>
      </c>
      <c r="AV48" s="17">
        <f>(AV47*((1+Table2[Discount rate D])^0.5)-Table2[Annual benefit payments (closed scheme)])*(1+Table2[Discount rate D])^0.5</f>
        <v>56.575817610084464</v>
      </c>
      <c r="AW48" s="17">
        <f>Table2[[#This Row],[Asset growth D with benefit payments deducted]]/(1+Table2[Compounded CPI])</f>
        <v>32.50664204175456</v>
      </c>
      <c r="AX48" s="19">
        <f>Table2[[#This Row],[Asset growth D with benefit payments deducted]]/(1+Table2[Compounded discount rate D])</f>
        <v>20.842397180373098</v>
      </c>
      <c r="AY48" s="11">
        <f>Table2[CPI]+4%</f>
        <v>6.2399999999999997E-2</v>
      </c>
      <c r="AZ48" s="18">
        <f t="shared" si="13"/>
        <v>2.2768187752728641</v>
      </c>
      <c r="BA48" s="17">
        <f>Table2[[#This Row],[Annual benefit payments (closed scheme)]]/((1+AZ47)*(1+Table2[[#This Row],[Discount rate E]])^0.5)+BA47</f>
        <v>36.936199497868174</v>
      </c>
      <c r="BB48" s="17">
        <f>BB47*(1+Table2[Discount rate E])</f>
        <v>196.60912651637193</v>
      </c>
      <c r="BC48" s="16">
        <f>Table2[[#This Row],[Asset growth E]]/(1+Table2[Compounded CPI])</f>
        <v>112.96526975282356</v>
      </c>
      <c r="BD48" s="17">
        <f>(BD47*((1+Table2[Discount rate E])^0.5)-Table2[Annual benefit payments (closed scheme)])*(1+Table2[Discount rate E])^0.5</f>
        <v>75.575894514533346</v>
      </c>
      <c r="BE48" s="17">
        <f>Table2[[#This Row],[Asset growth E with benefit payments deducted]]/(1+Table2[Compounded CPI])</f>
        <v>43.423474087477175</v>
      </c>
      <c r="BF48" s="19">
        <f>Table2[[#This Row],[Asset growth E with benefit payments deducted]]/(1+Table2[Compounded discount rate E])</f>
        <v>23.063800502131848</v>
      </c>
      <c r="BG48" s="11">
        <f>Table2[[#This Row],[Long-dated forward gilt yields]]+0.75%</f>
        <v>2.7349999999999999E-2</v>
      </c>
      <c r="BH48" s="11">
        <f t="shared" si="14"/>
        <v>0.87185256687505164</v>
      </c>
      <c r="BI48" s="17">
        <f>((Table2[[#This Row],[Annual benefit payments (closed scheme)]])*1.005^(Table2[[#This Row],[Year]]-2018))/((1+BH47)*(1+Table2[[#This Row],[Discount rate F]])^0.5)+BI47</f>
        <v>47.834530868540561</v>
      </c>
      <c r="BJ48" s="17">
        <f>BJ47*(1+Table2[Discount rate F])</f>
        <v>154.13488221471502</v>
      </c>
      <c r="BK48" s="17">
        <f>Table2[[#This Row],[Asset growth F, under the assumption of full-funding at Year 0]]/(1+Table2[[#This Row],[Compounded CPI]])</f>
        <v>88.560937410273553</v>
      </c>
      <c r="BL48" s="17">
        <f>(BL47*((1+Table2[Discount rate F])^0.5)-Table2[Annual benefit payments (closed scheme)]*1.005^(Table2[Year]-2018))*(1+Table2[Discount rate F])^0.5</f>
        <v>64.595692823173508</v>
      </c>
      <c r="BM48" s="17">
        <f>Table2[[#This Row],[Asset growth F with benefit payments deducted]]/(1+Table2[Compounded CPI])</f>
        <v>37.114603955237484</v>
      </c>
      <c r="BN48" s="19">
        <f>Table2[[#This Row],[Asset growth F with benefit payments deducted]]/(1+Table2[Compounded discount rate F])</f>
        <v>34.508963989088222</v>
      </c>
      <c r="BO48" s="18">
        <f>(1+BO47)*(1+Table2[Discount rate A2])-1</f>
        <v>0.17650458017676107</v>
      </c>
      <c r="BP48" s="17">
        <f>Table2[[#This Row],[Annual benefit payments (ongoing scheme)]]/((1+BO47)*(1+Table2[[#This Row],[Discount rate A2]])^0.5)+BP47</f>
        <v>15.267173828655636</v>
      </c>
      <c r="BQ48" s="17">
        <f>(BQ47*((1+Table2[Discount rate A2])^0.5)-Table2[Annual benefit payments (ongoing scheme)])*(1+Table2[Discount rate A2])^0.5</f>
        <v>114.40565762914291</v>
      </c>
      <c r="BR48" s="18">
        <f>(1+BR47)*(1+Table2[Discount rate B])-1</f>
        <v>0.22700241037870073</v>
      </c>
      <c r="BS48" s="17">
        <f>Table2[[#This Row],[Annual benefit payments (ongoing scheme)]]/((1+BR47)*(1+Table2[[#This Row],[Discount rate B]])^0.5)+BS47</f>
        <v>14.954118584151267</v>
      </c>
      <c r="BT48" s="18">
        <f>(1+BT47)*(1+Table2[Discount rate E])-1</f>
        <v>0.2839265070379009</v>
      </c>
      <c r="BU48" s="17">
        <f>Table2[[#This Row],[Annual benefit payments (ongoing scheme)]]/((1+BT47)*(1+Table2[[#This Row],[Discount rate E]])^0.5)+BU47</f>
        <v>14.625775353767057</v>
      </c>
      <c r="BV48" s="18">
        <f>Table2[CPI]+0.75%+0.75%</f>
        <v>3.7400000000000003E-2</v>
      </c>
      <c r="BW48" s="18">
        <f>(1+BW47)*(1+Table2[Self-sufficiency discount rate, from 2037])-1</f>
        <v>0.16749334243440073</v>
      </c>
      <c r="BX48" s="17">
        <f>(Table2[[#This Row],[Annual benefit payments (ongoing scheme)]]*1.005^(Table2[[#This Row],[Year]]-2038))/((1+BW47)*(1+Table2[[#This Row],[Self-sufficiency discount rate, from 2037]])^0.5)+BX47</f>
        <v>15.439359839163746</v>
      </c>
      <c r="BY48" s="17">
        <f>(BY47*((1+Table2[Self-sufficiency discount rate, from 2037])^0.5)-Table2[Annual benefit payments (ongoing scheme)]*1.005^(Table2[Year]-2038))*(1+Table2[Self-sufficiency discount rate, from 2037])^0.5</f>
        <v>131.47278146832326</v>
      </c>
      <c r="BZ48" s="17">
        <f>(BZ47*((1+Table2[Discount rate B])^0.5)-Table2[Annual benefit payments (ongoing scheme)])*(1+Table2[Discount rate B])^0.5</f>
        <v>96.391866051019207</v>
      </c>
      <c r="CA48" s="17">
        <f>(CA47*((1+Table2[Discount rate A2])^0.5)+Table2[Net cashflow (ongoing scheme)])*(1+Table2[Discount rate A2])^0.5</f>
        <v>114.01627548545466</v>
      </c>
      <c r="CB48" s="17">
        <f>Table2[[#This Row],[Asset growth, ongoing scheme, with November de-risking, net of contributions and payments]]/(1+Table2[Compounded discount rate A2])</f>
        <v>54.503275395457592</v>
      </c>
      <c r="CC48" s="17">
        <f>Table2[[#This Row],[Asset growth, ongoing scheme, with November de-risking, net of contributions and payments]]/(1+Table2[Compounded CPI])</f>
        <v>65.510078523003372</v>
      </c>
      <c r="CD48" s="17">
        <f>(CD47*((1+Table2[Discount rate A1])^0.5)+Table2[Net cashflow (ongoing scheme)])*(1+Table2[Discount rate A1])^0.5</f>
        <v>120.77249779295245</v>
      </c>
      <c r="CE48" s="17">
        <f>Table2[[#This Row],[Asset growth, ongoing scheme, with September de-risking, net of contributions and payments]]/(1+Table2[Compounded discount rate A1])</f>
        <v>54.835131130107399</v>
      </c>
      <c r="CF48" s="17">
        <f>Table2[[#This Row],[Asset growth, ongoing scheme, with September de-risking, net of contributions and payments]]/(1+Table2[Compounded CPI])</f>
        <v>69.391986189242758</v>
      </c>
      <c r="CG48" s="17">
        <f>(CG47*((1+Table2[Discount rate B])^0.5)+Table2[Net cashflow (ongoing scheme)])*(1+Table2[Discount rate B])^0.5</f>
        <v>133.24211293598208</v>
      </c>
      <c r="CH48" s="17">
        <f>Table2[[#This Row],[Asset growth, ongoing scheme, no de-risking, net of contributions and payments]]/(1+Table2[Compounded discount rate B])</f>
        <v>55.342314238972492</v>
      </c>
      <c r="CI48" s="17">
        <f>Table2[[#This Row],[Asset growth, ongoing scheme, no de-risking, net of contributions and payments]]/(1+Table2[Compounded CPI])</f>
        <v>76.556625304960178</v>
      </c>
      <c r="CJ48" s="17">
        <f>(CJ47*((1+Table2[Discount rate E])^0.5)+Table2[Net cashflow (ongoing scheme)])*(1+Table2[Discount rate E])^0.5</f>
        <v>186.19366852341585</v>
      </c>
      <c r="CK48" s="17">
        <f>Table2[[#This Row],[Asset growth, ongoing scheme, best-estimates, no de-risking, net of contributions and payments ]]/(1+Table2[Compounded discount rate E])</f>
        <v>56.821472682117218</v>
      </c>
      <c r="CL48" s="17">
        <f>Table2[[#This Row],[Asset growth, ongoing scheme, best-estimates, no de-risking, net of contributions and payments ]]/(1+Table2[Compounded CPI])</f>
        <v>106.98088315480106</v>
      </c>
      <c r="CM48" s="9">
        <v>2.24E-2</v>
      </c>
      <c r="CN48" s="11">
        <f>(1+Table2[[#This Row],[CPI]])*(1+CN47)-1</f>
        <v>0.74043869364953818</v>
      </c>
      <c r="CO48" s="11">
        <f>'Gilt yields'!B30</f>
        <v>1.985E-2</v>
      </c>
      <c r="CP48" s="11">
        <f t="shared" si="15"/>
        <v>4.24E-2</v>
      </c>
      <c r="CQ48" s="26">
        <f>(1+Table2[[#This Row],[Salary growth]])*(1+CQ47)-1</f>
        <v>1.6901945218462373</v>
      </c>
      <c r="CR48" s="15">
        <f t="shared" si="5"/>
        <v>17.404386936495381</v>
      </c>
      <c r="CS48" s="17">
        <f t="shared" si="6"/>
        <v>22.625703017444</v>
      </c>
      <c r="CT48" s="17">
        <f>CT47*(1+Table2[[#This Row],[Salary growth]])</f>
        <v>26.901945218462362</v>
      </c>
      <c r="CU48" s="19">
        <f t="shared" si="7"/>
        <v>34.972528784001092</v>
      </c>
      <c r="CV48" s="112">
        <f>('Cash flows as at 31032017'!B33)/1000000000</f>
        <v>3.1756534529999998</v>
      </c>
      <c r="CW48" s="113">
        <v>0</v>
      </c>
      <c r="CX48" s="113">
        <f>Table2[[#This Row],[Annual contributions (closed scheme)]]-Table2[[#This Row],[Annual benefit payments (closed scheme)]]</f>
        <v>-3.1756534529999998</v>
      </c>
      <c r="CY48" s="113">
        <v>4.32</v>
      </c>
      <c r="CZ48" s="113">
        <v>0</v>
      </c>
      <c r="DA48" s="113">
        <v>-4.32</v>
      </c>
      <c r="DB48" s="17"/>
      <c r="DC48" s="84"/>
      <c r="DD48" s="84"/>
      <c r="DE48" s="84"/>
      <c r="DF48" s="84"/>
      <c r="DG48" s="84"/>
      <c r="DH48" s="84"/>
      <c r="DI48" s="84"/>
      <c r="DJ48" s="84"/>
      <c r="DK48" s="84"/>
      <c r="DL48" s="84"/>
      <c r="DM48" s="84"/>
      <c r="DN48" s="84"/>
      <c r="DO48" s="84"/>
      <c r="DP48" s="84"/>
      <c r="DQ48" s="84"/>
      <c r="DR48" s="84"/>
      <c r="DS48" s="84"/>
      <c r="DT48" s="84"/>
      <c r="DU48" s="84"/>
      <c r="DV48" s="84"/>
      <c r="DW48" s="84"/>
      <c r="DX48" s="84"/>
      <c r="DY48" s="84"/>
      <c r="DZ48" s="84"/>
      <c r="EA48" s="84"/>
    </row>
    <row r="49" spans="1:147" x14ac:dyDescent="0.2">
      <c r="A49" s="8">
        <v>2042</v>
      </c>
      <c r="B49" s="50"/>
      <c r="C49" s="50"/>
      <c r="D49" s="50"/>
      <c r="E49" s="35">
        <v>6.0999999999999999E-2</v>
      </c>
      <c r="F49" s="16">
        <f>F48*(1+Table2[[#This Row],[2008 discount rate]])</f>
        <v>252.32754568314937</v>
      </c>
      <c r="G49" s="18">
        <v>6.0999999999999999E-2</v>
      </c>
      <c r="H49" s="16">
        <f>H48*(1+Table2[[#This Row],[2011 discount rate]])</f>
        <v>207.35300531305103</v>
      </c>
      <c r="I49" s="18">
        <v>5.1999999999999998E-2</v>
      </c>
      <c r="J49" s="16">
        <f>J48*(1+Table2[[#This Row],[2014 discount rate]])</f>
        <v>172.40742370321775</v>
      </c>
      <c r="K49" s="9">
        <v>3.78E-2</v>
      </c>
      <c r="L49" s="18">
        <f t="shared" si="9"/>
        <v>1.2857189474415063</v>
      </c>
      <c r="M49" s="17">
        <f>Table2[[#This Row],[Annual benefit payments (closed scheme)]]/((1+L48)*(1+Table2[[#This Row],[Discount rate A1]])^0.5)+M48</f>
        <v>45.227255530912061</v>
      </c>
      <c r="N49" s="17">
        <f>N48*(1+Table2[Discount rate A1])</f>
        <v>148.39474543111689</v>
      </c>
      <c r="O49" s="17">
        <f>Table2[[#This Row],[Asset growth A1, under the assumption of full-funding at Year 0]]/(1+Table2[[#This Row],[Compounded CPI]])</f>
        <v>83.525509159357227</v>
      </c>
      <c r="P49" s="17">
        <f>(P48*((1+Table2[Discount rate A1])^0.5)-Table2[Annual benefit payments (closed scheme)])*(1+Table2[Discount rate A1])^0.5</f>
        <v>45.01795052333253</v>
      </c>
      <c r="Q49" s="17">
        <f>Table2[[#This Row],[Asset growth A1 with benefit payments deducted]]/(1+Table2[Compounded CPI])</f>
        <v>25.338816599254304</v>
      </c>
      <c r="R49" s="17">
        <f>Table2[[#This Row],[Asset growth A1 with benefit payments deducted]]/(1+Table2[Compounded discount rate A1])</f>
        <v>19.695313185255284</v>
      </c>
      <c r="S49" s="9">
        <v>3.78E-2</v>
      </c>
      <c r="T49" s="18">
        <f t="shared" si="8"/>
        <v>1.1709904558995801</v>
      </c>
      <c r="U49" s="17">
        <f>Table2[[#This Row],[Annual benefit payments (closed scheme)]]/((1+T48)*(1+Table2[[#This Row],[Discount rate A2]])^0.5)+U48</f>
        <v>46.775171334115477</v>
      </c>
      <c r="V49" s="17">
        <f>V48*(1+Table2[Discount rate A2])</f>
        <v>146.56640106276487</v>
      </c>
      <c r="W49" s="17">
        <f>Table2[[#This Row],[Asset growth A2, under the assumption of full-funding at Year 0]]/(1+Table2[Compounded CPI])</f>
        <v>82.496406721521012</v>
      </c>
      <c r="X49" s="17">
        <f>(X48*((1+Table2[Discount rate A2])^0.5)-Table2[Annual benefit payments (closed scheme)])*(1+Table2[Discount rate A2])^0.5</f>
        <v>45.017950523332573</v>
      </c>
      <c r="Y49" s="17">
        <f>Table2[[#This Row],[Asset growth A2 with benefit payments deducted]]/(1+Table2[[#This Row],[Compounded CPI]])</f>
        <v>25.338816599254329</v>
      </c>
      <c r="Z49" s="19">
        <f>Table2[[#This Row],[Asset growth A2 with benefit payments deducted]]/(1+Table2[Compounded discount rate A2])</f>
        <v>20.736134698795237</v>
      </c>
      <c r="AA49" s="35">
        <f t="shared" si="16"/>
        <v>4.8799999999999996E-2</v>
      </c>
      <c r="AB49" s="18">
        <f t="shared" si="10"/>
        <v>1.525090068402831</v>
      </c>
      <c r="AC49" s="17">
        <f>Table2[[#This Row],[Annual benefit payments (closed scheme)]]/((1+AB48)*(1+Table2[[#This Row],[Discount rate B]])^0.5)+AC48</f>
        <v>44.43678151359638</v>
      </c>
      <c r="AD49" s="16">
        <f>AD48*(1+Table2[Discount rate B])</f>
        <v>151.50540410416988</v>
      </c>
      <c r="AE49" s="16">
        <f>Table2[[#This Row],[Asset growth B]]/(1+Table2[Compounded CPI])</f>
        <v>85.276375396115768</v>
      </c>
      <c r="AF49" s="17">
        <f>(AF48*((1+Table2[Discount rate B])^0.5)-Table2[Annual benefit payments (closed scheme)])*(1+Table2[Discount rate B])^0.5</f>
        <v>39.29852843240112</v>
      </c>
      <c r="AG49" s="17">
        <f>Table2[[#This Row],[Asset growth B with benefit payments deducted]]/(1+Table2[Compounded CPI])</f>
        <v>22.119581033638728</v>
      </c>
      <c r="AH49" s="19">
        <f>Table2[[#This Row],[Asset growth B with benefit payments deducted]]/(1+Table2[Compounded discount rate B])</f>
        <v>15.56321848640362</v>
      </c>
      <c r="AI49" s="11">
        <f>Table2[CPI]+2.56%</f>
        <v>4.6399999999999997E-2</v>
      </c>
      <c r="AJ49" s="18">
        <f t="shared" si="11"/>
        <v>2.0344075454068915</v>
      </c>
      <c r="AK49" s="17">
        <f>Table2[[#This Row],[Annual benefit payments (closed scheme)]]/((1+AJ48)*(1+Table2[[#This Row],[Discount rate C]])^0.5)+AK48</f>
        <v>38.737845839677469</v>
      </c>
      <c r="AL49" s="17">
        <f>AL48*(1+Table2[Discount rate C])</f>
        <v>182.06445272441354</v>
      </c>
      <c r="AM49" s="17">
        <f>Table2[[#This Row],[Asset growth C]]/(1+Table2[Compounded CPI])</f>
        <v>102.47685030522383</v>
      </c>
      <c r="AN49" s="17">
        <f>(AN48*((1+Table2[Discount rate C])^0.5)-Table2[Annual benefit payments (closed scheme)])*(1+Table2[Discount rate C])^0.5</f>
        <v>64.518041015687089</v>
      </c>
      <c r="AO49" s="17">
        <f>Table2[[#This Row],[Asset growth C with benefit payments deducted]]/(1+Table2[Compounded CPI])</f>
        <v>36.314643150899322</v>
      </c>
      <c r="AP49" s="19">
        <f>Table2[[#This Row],[Asset growth C with benefit payments deducted]]/(1+Table2[Compounded discount rate C])</f>
        <v>21.262154160322488</v>
      </c>
      <c r="AQ49" s="11">
        <f>Table2[CPI]+2.56%</f>
        <v>4.6399999999999997E-2</v>
      </c>
      <c r="AR49" s="18">
        <f t="shared" si="12"/>
        <v>1.840409144632404</v>
      </c>
      <c r="AS49" s="17">
        <f>Table2[[#This Row],[Annual benefit payments (closed scheme)]]/((1+AR48)*(1+Table2[[#This Row],[Discount rate D]])^0.5)+AS48</f>
        <v>40.307401078408404</v>
      </c>
      <c r="AT49" s="16">
        <f>AT48*(1+Table2[Discount rate D])</f>
        <v>170.42454867794424</v>
      </c>
      <c r="AU49" s="17">
        <f>Table2[[#This Row],[Asset growth D]]/(1+Table2[Compounded CPI])</f>
        <v>95.925210560683766</v>
      </c>
      <c r="AV49" s="17">
        <f>(AV48*((1+Table2[Discount rate D])^0.5)-Table2[Annual benefit payments (closed scheme)])*(1+Table2[Discount rate D])^0.5</f>
        <v>55.935038058466994</v>
      </c>
      <c r="AW49" s="17">
        <f>Table2[[#This Row],[Asset growth D with benefit payments deducted]]/(1+Table2[Compounded CPI])</f>
        <v>31.483611634012803</v>
      </c>
      <c r="AX49" s="19">
        <f>Table2[[#This Row],[Asset growth D with benefit payments deducted]]/(1+Table2[Compounded discount rate D])</f>
        <v>19.6925989215916</v>
      </c>
      <c r="AY49" s="11">
        <f>Table2[CPI]+4%</f>
        <v>6.08E-2</v>
      </c>
      <c r="AZ49" s="18">
        <f t="shared" si="13"/>
        <v>2.4760493568094541</v>
      </c>
      <c r="BA49" s="17">
        <f>Table2[[#This Row],[Annual benefit payments (closed scheme)]]/((1+AZ48)*(1+Table2[[#This Row],[Discount rate E]])^0.5)+BA48</f>
        <v>37.88218505192242</v>
      </c>
      <c r="BB49" s="17">
        <f>BB48*(1+Table2[Discount rate E])</f>
        <v>208.56296140856733</v>
      </c>
      <c r="BC49" s="16">
        <f>Table2[[#This Row],[Asset growth E]]/(1+Table2[Compounded CPI])</f>
        <v>117.39180853624141</v>
      </c>
      <c r="BD49" s="17">
        <f>(BD48*((1+Table2[Discount rate E])^0.5)-Table2[Annual benefit payments (closed scheme)])*(1+Table2[Discount rate E])^0.5</f>
        <v>76.882616424295691</v>
      </c>
      <c r="BE49" s="17">
        <f>Table2[[#This Row],[Asset growth E with benefit payments deducted]]/(1+Table2[Compounded CPI])</f>
        <v>43.274171627079056</v>
      </c>
      <c r="BF49" s="19">
        <f>Table2[[#This Row],[Asset growth E with benefit payments deducted]]/(1+Table2[Compounded discount rate E])</f>
        <v>22.117814948077605</v>
      </c>
      <c r="BG49" s="11">
        <f>Table2[[#This Row],[Long-dated forward gilt yields]]+0.75%</f>
        <v>2.5899999999999999E-2</v>
      </c>
      <c r="BH49" s="11">
        <f t="shared" si="14"/>
        <v>0.92033354835711556</v>
      </c>
      <c r="BI49" s="17">
        <f>((Table2[[#This Row],[Annual benefit payments (closed scheme)]])*1.005^(Table2[[#This Row],[Year]]-2018))/((1+BH48)*(1+Table2[[#This Row],[Discount rate F]])^0.5)+BI48</f>
        <v>49.732613045873137</v>
      </c>
      <c r="BJ49" s="17">
        <f>BJ48*(1+Table2[Discount rate F])</f>
        <v>158.12697566407616</v>
      </c>
      <c r="BK49" s="17">
        <f>Table2[[#This Row],[Asset growth F, under the assumption of full-funding at Year 0]]/(1+Table2[[#This Row],[Compounded CPI]])</f>
        <v>89.003395071708127</v>
      </c>
      <c r="BL49" s="17">
        <f>(BL48*((1+Table2[Discount rate F])^0.5)-Table2[Annual benefit payments (closed scheme)]*1.005^(Table2[Year]-2018))*(1+Table2[Discount rate F])^0.5</f>
        <v>62.623770384623221</v>
      </c>
      <c r="BM49" s="17">
        <f>Table2[[#This Row],[Asset growth F with benefit payments deducted]]/(1+Table2[Compounded CPI])</f>
        <v>35.248433437842664</v>
      </c>
      <c r="BN49" s="19">
        <f>Table2[[#This Row],[Asset growth F with benefit payments deducted]]/(1+Table2[Compounded discount rate F])</f>
        <v>32.610881811755632</v>
      </c>
      <c r="BO49" s="18">
        <f>(1+BO48)*(1+Table2[Discount rate A2])-1</f>
        <v>0.22097645330744276</v>
      </c>
      <c r="BP49" s="17">
        <f>Table2[[#This Row],[Annual benefit payments (ongoing scheme)]]/((1+BO48)*(1+Table2[[#This Row],[Discount rate A2]])^0.5)+BP48</f>
        <v>19.05513394320694</v>
      </c>
      <c r="BQ49" s="17">
        <f>(BQ48*((1+Table2[Discount rate A2])^0.5)-Table2[Annual benefit payments (ongoing scheme)])*(1+Table2[Discount rate A2])^0.5</f>
        <v>114.10518138158962</v>
      </c>
      <c r="BR49" s="18">
        <f>(1+BR48)*(1+Table2[Discount rate B])-1</f>
        <v>0.28688012800518137</v>
      </c>
      <c r="BS49" s="17">
        <f>Table2[[#This Row],[Annual benefit payments (ongoing scheme)]]/((1+BR48)*(1+Table2[[#This Row],[Discount rate B]])^0.5)+BS48</f>
        <v>18.567086439355272</v>
      </c>
      <c r="BT49" s="18">
        <f>(1+BT48)*(1+Table2[Discount rate E])-1</f>
        <v>0.36198923866580524</v>
      </c>
      <c r="BU49" s="17">
        <f>Table2[[#This Row],[Annual benefit payments (ongoing scheme)]]/((1+BT48)*(1+Table2[[#This Row],[Discount rate E]])^0.5)+BU48</f>
        <v>18.058973997125918</v>
      </c>
      <c r="BV49" s="18">
        <f>Table2[CPI]+0.75%+0.75%</f>
        <v>3.5799999999999998E-2</v>
      </c>
      <c r="BW49" s="18">
        <f>(1+BW48)*(1+Table2[Self-sufficiency discount rate, from 2037])-1</f>
        <v>0.20928960409355235</v>
      </c>
      <c r="BX49" s="17">
        <f>(Table2[[#This Row],[Annual benefit payments (ongoing scheme)]]*1.005^(Table2[[#This Row],[Year]]-2038))/((1+BW48)*(1+Table2[[#This Row],[Self-sufficiency discount rate, from 2037]])^0.5)+BX48</f>
        <v>19.337233278518944</v>
      </c>
      <c r="BY49" s="17">
        <f>(BY48*((1+Table2[Self-sufficiency discount rate, from 2037])^0.5)-Table2[Annual benefit payments (ongoing scheme)]*1.005^(Table2[Year]-2038))*(1+Table2[Self-sufficiency discount rate, from 2037])^0.5</f>
        <v>131.46584921660462</v>
      </c>
      <c r="BZ49" s="17">
        <f>(BZ48*((1+Table2[Discount rate B])^0.5)-Table2[Annual benefit payments (ongoing scheme)])*(1+Table2[Discount rate B])^0.5</f>
        <v>96.446332578325382</v>
      </c>
      <c r="CA49" s="17">
        <f>(CA48*((1+Table2[Discount rate A2])^0.5)+Table2[Net cashflow (ongoing scheme)])*(1+Table2[Discount rate A2])^0.5</f>
        <v>113.70108059286994</v>
      </c>
      <c r="CB49" s="17">
        <f>Table2[[#This Row],[Asset growth, ongoing scheme, with November de-risking, net of contributions and payments]]/(1+Table2[Compounded discount rate A2])</f>
        <v>52.372906699747013</v>
      </c>
      <c r="CC49" s="17">
        <f>Table2[[#This Row],[Asset growth, ongoing scheme, with November de-risking, net of contributions and payments]]/(1+Table2[Compounded CPI])</f>
        <v>63.997822974782764</v>
      </c>
      <c r="CD49" s="17">
        <f>(CD48*((1+Table2[Discount rate A1])^0.5)+Table2[Net cashflow (ongoing scheme)])*(1+Table2[Discount rate A1])^0.5</f>
        <v>120.71268810359116</v>
      </c>
      <c r="CE49" s="17">
        <f>Table2[[#This Row],[Asset growth, ongoing scheme, with September de-risking, net of contributions and payments]]/(1+Table2[Compounded discount rate A1])</f>
        <v>52.811693335573715</v>
      </c>
      <c r="CF49" s="17">
        <f>Table2[[#This Row],[Asset growth, ongoing scheme, with September de-risking, net of contributions and payments]]/(1+Table2[Compounded CPI])</f>
        <v>67.944378398003025</v>
      </c>
      <c r="CG49" s="17">
        <f>(CG48*((1+Table2[Discount rate B])^0.5)+Table2[Net cashflow (ongoing scheme)])*(1+Table2[Discount rate B])^0.5</f>
        <v>135.09487151127445</v>
      </c>
      <c r="CH49" s="17">
        <f>Table2[[#This Row],[Asset growth, ongoing scheme, no de-risking, net of contributions and payments]]/(1+Table2[Compounded discount rate B])</f>
        <v>53.501010994322513</v>
      </c>
      <c r="CI49" s="17">
        <f>Table2[[#This Row],[Asset growth, ongoing scheme, no de-risking, net of contributions and payments]]/(1+Table2[Compounded CPI])</f>
        <v>76.039538293726054</v>
      </c>
      <c r="CJ49" s="17">
        <f>(CJ48*((1+Table2[Discount rate E])^0.5)+Table2[Net cashflow (ongoing scheme)])*(1+Table2[Discount rate E])^0.5</f>
        <v>192.83826396318273</v>
      </c>
      <c r="CK49" s="17">
        <f>Table2[[#This Row],[Asset growth, ongoing scheme, best-estimates, no de-risking, net of contributions and payments ]]/(1+Table2[Compounded discount rate E])</f>
        <v>55.476273254123846</v>
      </c>
      <c r="CL49" s="17">
        <f>Table2[[#This Row],[Asset growth, ongoing scheme, best-estimates, no de-risking, net of contributions and payments ]]/(1+Table2[Compounded CPI])</f>
        <v>108.54100080253858</v>
      </c>
      <c r="CM49" s="9">
        <v>2.0799999999999999E-2</v>
      </c>
      <c r="CN49" s="11">
        <f>(1+Table2[[#This Row],[CPI]])*(1+CN48)-1</f>
        <v>0.77663981847744856</v>
      </c>
      <c r="CO49" s="11">
        <f>'Gilt yields'!B31</f>
        <v>1.84E-2</v>
      </c>
      <c r="CP49" s="11">
        <f t="shared" si="15"/>
        <v>4.0800000000000003E-2</v>
      </c>
      <c r="CQ49" s="26">
        <f>(1+Table2[[#This Row],[Salary growth]])*(1+CQ48)-1</f>
        <v>1.7999544583375635</v>
      </c>
      <c r="CR49" s="15">
        <f t="shared" si="5"/>
        <v>17.766398184774484</v>
      </c>
      <c r="CS49" s="17">
        <f t="shared" si="6"/>
        <v>23.096317640206834</v>
      </c>
      <c r="CT49" s="17">
        <f>CT48*(1+Table2[[#This Row],[Salary growth]])</f>
        <v>27.999544583375627</v>
      </c>
      <c r="CU49" s="19">
        <f t="shared" si="7"/>
        <v>36.399407958388338</v>
      </c>
      <c r="CV49" s="112">
        <f>('Cash flows as at 31032017'!B34)/1000000000</f>
        <v>3.1926674410000002</v>
      </c>
      <c r="CW49" s="113">
        <v>0</v>
      </c>
      <c r="CX49" s="113">
        <f>Table2[[#This Row],[Annual contributions (closed scheme)]]-Table2[[#This Row],[Annual benefit payments (closed scheme)]]</f>
        <v>-3.1926674410000002</v>
      </c>
      <c r="CY49" s="113">
        <v>4.54</v>
      </c>
      <c r="CZ49" s="113">
        <v>0</v>
      </c>
      <c r="DA49" s="113">
        <v>-4.54</v>
      </c>
      <c r="DB49" s="17"/>
      <c r="DC49" s="84"/>
      <c r="DD49" s="84"/>
      <c r="DE49" s="84"/>
      <c r="DF49" s="84"/>
      <c r="DG49" s="84"/>
      <c r="DH49" s="84"/>
      <c r="DI49" s="84"/>
      <c r="DJ49" s="84"/>
      <c r="DK49" s="84"/>
      <c r="DL49" s="84"/>
      <c r="DM49" s="84"/>
      <c r="DN49" s="84"/>
      <c r="DO49" s="84"/>
      <c r="DP49" s="84"/>
      <c r="DQ49" s="84"/>
      <c r="DR49" s="84"/>
      <c r="DS49" s="84"/>
      <c r="DT49" s="84"/>
      <c r="DU49" s="84"/>
      <c r="DV49" s="84"/>
      <c r="DW49" s="84"/>
      <c r="DX49" s="84"/>
      <c r="DY49" s="84"/>
      <c r="DZ49" s="84"/>
      <c r="EA49" s="84"/>
      <c r="EB49" s="84"/>
    </row>
    <row r="50" spans="1:147" x14ac:dyDescent="0.2">
      <c r="A50" s="8">
        <v>2043</v>
      </c>
      <c r="B50" s="50"/>
      <c r="C50" s="50"/>
      <c r="D50" s="50"/>
      <c r="E50" s="35">
        <v>6.0999999999999999E-2</v>
      </c>
      <c r="F50" s="16">
        <f>F49*(1+Table2[[#This Row],[2008 discount rate]])</f>
        <v>267.71952596982146</v>
      </c>
      <c r="G50" s="18">
        <v>6.0999999999999999E-2</v>
      </c>
      <c r="H50" s="16">
        <f>H49*(1+Table2[[#This Row],[2011 discount rate]])</f>
        <v>220.00153863714712</v>
      </c>
      <c r="I50" s="18">
        <v>5.1999999999999998E-2</v>
      </c>
      <c r="J50" s="16">
        <f>J49*(1+Table2[[#This Row],[2014 discount rate]])</f>
        <v>181.37260973578506</v>
      </c>
      <c r="K50" s="9">
        <v>3.61E-2</v>
      </c>
      <c r="L50" s="18">
        <f t="shared" si="9"/>
        <v>1.3682334014441446</v>
      </c>
      <c r="M50" s="17">
        <f>Table2[[#This Row],[Annual benefit payments (closed scheme)]]/((1+L49)*(1+Table2[[#This Row],[Discount rate A1]])^0.5)+M49</f>
        <v>46.59336206329511</v>
      </c>
      <c r="N50" s="17">
        <f>N49*(1+Table2[Discount rate A1])</f>
        <v>153.75179574118022</v>
      </c>
      <c r="O50" s="17">
        <f>Table2[[#This Row],[Asset growth A1, under the assumption of full-funding at Year 0]]/(1+Table2[[#This Row],[Compounded CPI]])</f>
        <v>84.918830379756685</v>
      </c>
      <c r="P50" s="17">
        <f>(P49*((1+Table2[Discount rate A1])^0.5)-Table2[Annual benefit payments (closed scheme)])*(1+Table2[Discount rate A1])^0.5</f>
        <v>43.407839417304253</v>
      </c>
      <c r="Q50" s="17">
        <f>Table2[[#This Row],[Asset growth A1 with benefit payments deducted]]/(1+Table2[Compounded CPI])</f>
        <v>23.974633498491851</v>
      </c>
      <c r="R50" s="17">
        <f>Table2[[#This Row],[Asset growth A1 with benefit payments deducted]]/(1+Table2[Compounded discount rate A1])</f>
        <v>18.329206652872234</v>
      </c>
      <c r="S50" s="9">
        <v>3.61E-2</v>
      </c>
      <c r="T50" s="18">
        <f t="shared" si="8"/>
        <v>1.2493632113575548</v>
      </c>
      <c r="U50" s="17">
        <f>Table2[[#This Row],[Annual benefit payments (closed scheme)]]/((1+T49)*(1+Table2[[#This Row],[Discount rate A2]])^0.5)+U49</f>
        <v>48.213471339906008</v>
      </c>
      <c r="V50" s="17">
        <f>V49*(1+Table2[Discount rate A2])</f>
        <v>151.85744814113067</v>
      </c>
      <c r="W50" s="17">
        <f>Table2[[#This Row],[Asset growth A2, under the assumption of full-funding at Year 0]]/(1+Table2[Compounded CPI])</f>
        <v>83.872561087398608</v>
      </c>
      <c r="X50" s="17">
        <f>(X49*((1+Table2[Discount rate A2])^0.5)-Table2[Annual benefit payments (closed scheme)])*(1+Table2[Discount rate A2])^0.5</f>
        <v>43.407839417304302</v>
      </c>
      <c r="Y50" s="17">
        <f>Table2[[#This Row],[Asset growth A2 with benefit payments deducted]]/(1+Table2[[#This Row],[Compounded CPI]])</f>
        <v>23.974633498491876</v>
      </c>
      <c r="Z50" s="19">
        <f>Table2[[#This Row],[Asset growth A2 with benefit payments deducted]]/(1+Table2[Compounded discount rate A2])</f>
        <v>19.29783469300471</v>
      </c>
      <c r="AA50" s="35">
        <f t="shared" si="16"/>
        <v>4.7099999999999996E-2</v>
      </c>
      <c r="AB50" s="18">
        <f t="shared" si="10"/>
        <v>1.6440218106246043</v>
      </c>
      <c r="AC50" s="17">
        <f>Table2[[#This Row],[Annual benefit payments (closed scheme)]]/((1+AB49)*(1+Table2[[#This Row],[Discount rate B]])^0.5)+AC49</f>
        <v>45.666872623335259</v>
      </c>
      <c r="AD50" s="16">
        <f>AD49*(1+Table2[Discount rate B])</f>
        <v>158.64130863747627</v>
      </c>
      <c r="AE50" s="16">
        <f>Table2[[#This Row],[Asset growth B]]/(1+Table2[Compounded CPI])</f>
        <v>87.61936284689709</v>
      </c>
      <c r="AF50" s="17">
        <f>(AF49*((1+Table2[Discount rate B])^0.5)-Table2[Annual benefit payments (closed scheme)])*(1+Table2[Discount rate B])^0.5</f>
        <v>37.897101398362189</v>
      </c>
      <c r="AG50" s="17">
        <f>Table2[[#This Row],[Asset growth B with benefit payments deducted]]/(1+Table2[Compounded CPI])</f>
        <v>20.930991472446365</v>
      </c>
      <c r="AH50" s="19">
        <f>Table2[[#This Row],[Asset growth B with benefit payments deducted]]/(1+Table2[Compounded discount rate B])</f>
        <v>14.33312737666474</v>
      </c>
      <c r="AI50" s="11">
        <f>Table2[CPI]+2.56%</f>
        <v>4.4700000000000004E-2</v>
      </c>
      <c r="AJ50" s="18">
        <f t="shared" si="11"/>
        <v>2.1700455626865796</v>
      </c>
      <c r="AK50" s="17">
        <f>Table2[[#This Row],[Annual benefit payments (closed scheme)]]/((1+AJ49)*(1+Table2[[#This Row],[Discount rate C]])^0.5)+AK49</f>
        <v>39.76264444641977</v>
      </c>
      <c r="AL50" s="17">
        <f>AL49*(1+Table2[Discount rate C])</f>
        <v>190.20273376119482</v>
      </c>
      <c r="AM50" s="17">
        <f>Table2[[#This Row],[Asset growth C]]/(1+Table2[Compounded CPI])</f>
        <v>105.05108970058615</v>
      </c>
      <c r="AN50" s="17">
        <f>(AN49*((1+Table2[Discount rate C])^0.5)-Table2[Annual benefit payments (closed scheme)])*(1+Table2[Discount rate C])^0.5</f>
        <v>64.153339173137482</v>
      </c>
      <c r="AO50" s="17">
        <f>Table2[[#This Row],[Asset growth C with benefit payments deducted]]/(1+Table2[Compounded CPI])</f>
        <v>35.432604226030115</v>
      </c>
      <c r="AP50" s="19">
        <f>Table2[[#This Row],[Asset growth C with benefit payments deducted]]/(1+Table2[Compounded discount rate C])</f>
        <v>20.237355553580187</v>
      </c>
      <c r="AQ50" s="11">
        <f>Table2[CPI]+2.56%</f>
        <v>4.4700000000000004E-2</v>
      </c>
      <c r="AR50" s="18">
        <f t="shared" si="12"/>
        <v>1.9673754333974722</v>
      </c>
      <c r="AS50" s="17">
        <f>Table2[[#This Row],[Annual benefit payments (closed scheme)]]/((1+AR49)*(1+Table2[[#This Row],[Discount rate D]])^0.5)+AS49</f>
        <v>41.402192872998178</v>
      </c>
      <c r="AT50" s="16">
        <f>AT49*(1+Table2[Discount rate D])</f>
        <v>178.04252600384834</v>
      </c>
      <c r="AU50" s="17">
        <f>Table2[[#This Row],[Asset growth D]]/(1+Table2[Compounded CPI])</f>
        <v>98.334871428462691</v>
      </c>
      <c r="AV50" s="17">
        <f>(AV49*((1+Table2[Discount rate D])^0.5)-Table2[Annual benefit payments (closed scheme)])*(1+Table2[Discount rate D])^0.5</f>
        <v>55.186675983729643</v>
      </c>
      <c r="AW50" s="17">
        <f>Table2[[#This Row],[Asset growth D with benefit payments deducted]]/(1+Table2[Compounded CPI])</f>
        <v>30.480216211417861</v>
      </c>
      <c r="AX50" s="19">
        <f>Table2[[#This Row],[Asset growth D with benefit payments deducted]]/(1+Table2[Compounded discount rate D])</f>
        <v>18.597807127001825</v>
      </c>
      <c r="AY50" s="11">
        <f>Table2[CPI]+4%</f>
        <v>5.91E-2</v>
      </c>
      <c r="AZ50" s="18">
        <f t="shared" si="13"/>
        <v>2.6814838737968927</v>
      </c>
      <c r="BA50" s="17">
        <f>Table2[[#This Row],[Annual benefit payments (closed scheme)]]/((1+AZ49)*(1+Table2[[#This Row],[Discount rate E]])^0.5)+BA49</f>
        <v>38.77067765149453</v>
      </c>
      <c r="BB50" s="17">
        <f>BB49*(1+Table2[Discount rate E])</f>
        <v>220.88903242781365</v>
      </c>
      <c r="BC50" s="16">
        <f>Table2[[#This Row],[Asset growth E]]/(1+Table2[Compounded CPI])</f>
        <v>121.9994744585745</v>
      </c>
      <c r="BD50" s="17">
        <f>(BD49*((1+Table2[Discount rate E])^0.5)-Table2[Annual benefit payments (closed scheme)])*(1+Table2[Discount rate E])^0.5</f>
        <v>78.155407877658945</v>
      </c>
      <c r="BE50" s="17">
        <f>Table2[[#This Row],[Asset growth E with benefit payments deducted]]/(1+Table2[Compounded CPI])</f>
        <v>43.166102827155662</v>
      </c>
      <c r="BF50" s="19">
        <f>Table2[[#This Row],[Asset growth E with benefit payments deducted]]/(1+Table2[Compounded discount rate E])</f>
        <v>21.229322348505491</v>
      </c>
      <c r="BG50" s="11">
        <f>Table2[[#This Row],[Long-dated forward gilt yields]]+0.75%</f>
        <v>2.4410000000000001E-2</v>
      </c>
      <c r="BH50" s="11">
        <f t="shared" si="14"/>
        <v>0.96720889027251289</v>
      </c>
      <c r="BI50" s="17">
        <f>((Table2[[#This Row],[Annual benefit payments (closed scheme)]])*1.005^(Table2[[#This Row],[Year]]-2018))/((1+BH49)*(1+Table2[[#This Row],[Discount rate F]])^0.5)+BI49</f>
        <v>51.585061803617542</v>
      </c>
      <c r="BJ50" s="17">
        <f>BJ49*(1+Table2[Discount rate F])</f>
        <v>161.98685514003625</v>
      </c>
      <c r="BK50" s="17">
        <f>Table2[[#This Row],[Asset growth F, under the assumption of full-funding at Year 0]]/(1+Table2[[#This Row],[Compounded CPI]])</f>
        <v>89.467145466989038</v>
      </c>
      <c r="BL50" s="17">
        <f>(BL49*((1+Table2[Discount rate F])^0.5)-Table2[Annual benefit payments (closed scheme)]*1.005^(Table2[Year]-2018))*(1+Table2[Discount rate F])^0.5</f>
        <v>60.508262954702822</v>
      </c>
      <c r="BM50" s="17">
        <f>Table2[[#This Row],[Asset growth F with benefit payments deducted]]/(1+Table2[Compounded CPI])</f>
        <v>33.419388005547084</v>
      </c>
      <c r="BN50" s="19">
        <f>Table2[[#This Row],[Asset growth F with benefit payments deducted]]/(1+Table2[Compounded discount rate F])</f>
        <v>30.758433054011235</v>
      </c>
      <c r="BO50" s="18">
        <f>(1+BO49)*(1+Table2[Discount rate A2])-1</f>
        <v>0.26505370327184141</v>
      </c>
      <c r="BP50" s="17">
        <f>Table2[[#This Row],[Annual benefit payments (ongoing scheme)]]/((1+BO49)*(1+Table2[[#This Row],[Discount rate A2]])^0.5)+BP49</f>
        <v>22.708117584818062</v>
      </c>
      <c r="BQ50" s="17">
        <f>(BQ49*((1+Table2[Discount rate A2])^0.5)-Table2[Annual benefit payments (ongoing scheme)])*(1+Table2[Discount rate A2])^0.5</f>
        <v>113.60315794565339</v>
      </c>
      <c r="BR50" s="18">
        <f>(1+BR49)*(1+Table2[Discount rate B])-1</f>
        <v>0.34749218203422538</v>
      </c>
      <c r="BS50" s="17">
        <f>Table2[[#This Row],[Annual benefit payments (ongoing scheme)]]/((1+BR49)*(1+Table2[[#This Row],[Discount rate B]])^0.5)+BS49</f>
        <v>22.014740472163822</v>
      </c>
      <c r="BT50" s="18">
        <f>(1+BT49)*(1+Table2[Discount rate E])-1</f>
        <v>0.44248280267095419</v>
      </c>
      <c r="BU50" s="17">
        <f>Table2[[#This Row],[Annual benefit payments (ongoing scheme)]]/((1+BT49)*(1+Table2[[#This Row],[Discount rate E]])^0.5)+BU49</f>
        <v>21.297994467219223</v>
      </c>
      <c r="BV50" s="18">
        <f>Table2[CPI]+0.75%+0.75%</f>
        <v>3.4099999999999998E-2</v>
      </c>
      <c r="BW50" s="18">
        <f>(1+BW49)*(1+Table2[Self-sufficiency discount rate, from 2037])-1</f>
        <v>0.2505263795931425</v>
      </c>
      <c r="BX50" s="17">
        <f>(Table2[[#This Row],[Annual benefit payments (ongoing scheme)]]*1.005^(Table2[[#This Row],[Year]]-2038))/((1+BW49)*(1+Table2[[#This Row],[Self-sufficiency discount rate, from 2037]])^0.5)+BX49</f>
        <v>23.122309009458071</v>
      </c>
      <c r="BY50" s="17">
        <f>(BY49*((1+Table2[Self-sufficiency discount rate, from 2037])^0.5)-Table2[Annual benefit payments (ongoing scheme)]*1.005^(Table2[Year]-2038))*(1+Table2[Self-sufficiency discount rate, from 2037])^0.5</f>
        <v>131.21549762459367</v>
      </c>
      <c r="BZ50" s="17">
        <f>(BZ49*((1+Table2[Discount rate B])^0.5)-Table2[Annual benefit payments (ongoing scheme)])*(1+Table2[Discount rate B])^0.5</f>
        <v>96.343267987196214</v>
      </c>
      <c r="CA50" s="17">
        <f>(CA49*((1+Table2[Discount rate A2])^0.5)+Table2[Net cashflow (ongoing scheme)])*(1+Table2[Discount rate A2])^0.5</f>
        <v>113.18446911846092</v>
      </c>
      <c r="CB50" s="17">
        <f>Table2[[#This Row],[Asset growth, ongoing scheme, with November de-risking, net of contributions and payments]]/(1+Table2[Compounded discount rate A2])</f>
        <v>50.31844948248748</v>
      </c>
      <c r="CC50" s="17">
        <f>Table2[[#This Row],[Asset growth, ongoing scheme, with November de-risking, net of contributions and payments]]/(1+Table2[Compounded CPI])</f>
        <v>62.513043755749059</v>
      </c>
      <c r="CD50" s="17">
        <f>(CD49*((1+Table2[Discount rate A1])^0.5)+Table2[Net cashflow (ongoing scheme)])*(1+Table2[Discount rate A1])^0.5</f>
        <v>120.44919566031919</v>
      </c>
      <c r="CE50" s="17">
        <f>Table2[[#This Row],[Asset growth, ongoing scheme, with September de-risking, net of contributions and payments]]/(1+Table2[Compounded discount rate A1])</f>
        <v>50.860356748143779</v>
      </c>
      <c r="CF50" s="17">
        <f>Table2[[#This Row],[Asset growth, ongoing scheme, with September de-risking, net of contributions and payments]]/(1+Table2[Compounded CPI])</f>
        <v>66.525433191524272</v>
      </c>
      <c r="CG50" s="17">
        <f>(CG49*((1+Table2[Discount rate B])^0.5)+Table2[Net cashflow (ongoing scheme)])*(1+Table2[Discount rate B])^0.5</f>
        <v>136.8121531038872</v>
      </c>
      <c r="CH50" s="17">
        <f>Table2[[#This Row],[Asset growth, ongoing scheme, no de-risking, net of contributions and payments]]/(1+Table2[Compounded discount rate B])</f>
        <v>51.743957842604821</v>
      </c>
      <c r="CI50" s="17">
        <f>Table2[[#This Row],[Asset growth, ongoing scheme, no de-risking, net of contributions and payments]]/(1+Table2[Compounded CPI])</f>
        <v>75.562876955762292</v>
      </c>
      <c r="CJ50" s="17">
        <f>(CJ49*((1+Table2[Discount rate E])^0.5)+Table2[Net cashflow (ongoing scheme)])*(1+Table2[Discount rate E])^0.5</f>
        <v>199.56277403779805</v>
      </c>
      <c r="CK50" s="17">
        <f>Table2[[#This Row],[Asset growth, ongoing scheme, best-estimates, no de-risking, net of contributions and payments ]]/(1+Table2[Compounded discount rate E])</f>
        <v>54.207156917946591</v>
      </c>
      <c r="CL50" s="17">
        <f>Table2[[#This Row],[Asset growth, ongoing scheme, best-estimates, no de-risking, net of contributions and payments ]]/(1+Table2[Compounded CPI])</f>
        <v>110.22074426471605</v>
      </c>
      <c r="CM50" s="9">
        <v>1.9099999999999999E-2</v>
      </c>
      <c r="CN50" s="11">
        <f>(1+Table2[[#This Row],[CPI]])*(1+CN49)-1</f>
        <v>0.81057363901036772</v>
      </c>
      <c r="CO50" s="11">
        <f>'Gilt yields'!B32</f>
        <v>1.6910000000000001E-2</v>
      </c>
      <c r="CP50" s="11">
        <f t="shared" si="15"/>
        <v>3.9099999999999996E-2</v>
      </c>
      <c r="CQ50" s="26">
        <f>(1+Table2[[#This Row],[Salary growth]])*(1+CQ49)-1</f>
        <v>1.9094326776585619</v>
      </c>
      <c r="CR50" s="15">
        <f t="shared" si="5"/>
        <v>18.105736390103676</v>
      </c>
      <c r="CS50" s="17">
        <f t="shared" si="6"/>
        <v>23.537457307134783</v>
      </c>
      <c r="CT50" s="17">
        <f>CT49*(1+Table2[[#This Row],[Salary growth]])</f>
        <v>29.094326776585611</v>
      </c>
      <c r="CU50" s="19">
        <f t="shared" si="7"/>
        <v>37.822624809561319</v>
      </c>
      <c r="CV50" s="112">
        <f>('Cash flows as at 31032017'!B35)/1000000000</f>
        <v>3.178397667</v>
      </c>
      <c r="CW50" s="113">
        <v>0</v>
      </c>
      <c r="CX50" s="113">
        <f>Table2[[#This Row],[Annual contributions (closed scheme)]]-Table2[[#This Row],[Annual benefit payments (closed scheme)]]</f>
        <v>-3.178397667</v>
      </c>
      <c r="CY50" s="113">
        <v>4.54</v>
      </c>
      <c r="CZ50" s="113">
        <v>0</v>
      </c>
      <c r="DA50" s="113">
        <v>-4.54</v>
      </c>
      <c r="DB50" s="17"/>
      <c r="DC50" s="84"/>
      <c r="DD50" s="84"/>
      <c r="DE50" s="84"/>
      <c r="DF50" s="84"/>
      <c r="DG50" s="84"/>
      <c r="DH50" s="84"/>
      <c r="DI50" s="84"/>
      <c r="DJ50" s="84"/>
      <c r="DK50" s="84"/>
      <c r="DL50" s="84"/>
      <c r="DM50" s="84"/>
      <c r="DN50" s="84"/>
      <c r="DO50" s="84"/>
      <c r="DP50" s="84"/>
      <c r="DQ50" s="84"/>
      <c r="DR50" s="84"/>
      <c r="DS50" s="84"/>
      <c r="DT50" s="84"/>
      <c r="DU50" s="84"/>
      <c r="DV50" s="84"/>
      <c r="DW50" s="84"/>
      <c r="DX50" s="84"/>
      <c r="DY50" s="84"/>
      <c r="DZ50" s="84"/>
      <c r="EA50" s="84"/>
      <c r="EB50" s="84"/>
      <c r="EC50" s="84"/>
    </row>
    <row r="51" spans="1:147" x14ac:dyDescent="0.2">
      <c r="A51" s="8">
        <v>2044</v>
      </c>
      <c r="B51" s="50"/>
      <c r="C51" s="50"/>
      <c r="D51" s="50"/>
      <c r="E51" s="35">
        <v>6.0999999999999999E-2</v>
      </c>
      <c r="F51" s="16">
        <f>F50*(1+Table2[[#This Row],[2008 discount rate]])</f>
        <v>284.05041705398054</v>
      </c>
      <c r="G51" s="18">
        <v>6.0999999999999999E-2</v>
      </c>
      <c r="H51" s="16">
        <f>H50*(1+Table2[[#This Row],[2011 discount rate]])</f>
        <v>233.4216324940131</v>
      </c>
      <c r="I51" s="18">
        <v>5.1999999999999998E-2</v>
      </c>
      <c r="J51" s="16">
        <f>J50*(1+Table2[[#This Row],[2014 discount rate]])</f>
        <v>190.8039854420459</v>
      </c>
      <c r="K51" s="9">
        <v>3.4599999999999999E-2</v>
      </c>
      <c r="L51" s="18">
        <f t="shared" si="9"/>
        <v>1.4501742771341117</v>
      </c>
      <c r="M51" s="17">
        <f>Table2[[#This Row],[Annual benefit payments (closed scheme)]]/((1+L50)*(1+Table2[[#This Row],[Discount rate A1]])^0.5)+M50</f>
        <v>47.906376163624003</v>
      </c>
      <c r="N51" s="17">
        <f>N50*(1+Table2[Discount rate A1])</f>
        <v>159.07160787382506</v>
      </c>
      <c r="O51" s="17">
        <f>Table2[[#This Row],[Asset growth A1, under the assumption of full-funding at Year 0]]/(1+Table2[[#This Row],[Compounded CPI]])</f>
        <v>86.337482223758116</v>
      </c>
      <c r="P51" s="17">
        <f>(P50*((1+Table2[Discount rate A1])^0.5)-Table2[Annual benefit payments (closed scheme)])*(1+Table2[Discount rate A1])^0.5</f>
        <v>41.692637287002746</v>
      </c>
      <c r="Q51" s="17">
        <f>Table2[[#This Row],[Asset growth A1 with benefit payments deducted]]/(1+Table2[Compounded CPI])</f>
        <v>22.629037191120943</v>
      </c>
      <c r="R51" s="17">
        <f>Table2[[#This Row],[Asset growth A1 with benefit payments deducted]]/(1+Table2[Compounded discount rate A1])</f>
        <v>17.016192552543345</v>
      </c>
      <c r="S51" s="9">
        <v>3.4600000000000006E-2</v>
      </c>
      <c r="T51" s="18">
        <f t="shared" si="8"/>
        <v>1.3271911784705259</v>
      </c>
      <c r="U51" s="17">
        <f>Table2[[#This Row],[Annual benefit payments (closed scheme)]]/((1+T50)*(1+Table2[[#This Row],[Discount rate A2]])^0.5)+U50</f>
        <v>49.595873182909976</v>
      </c>
      <c r="V51" s="17">
        <f>V50*(1+Table2[Discount rate A2])</f>
        <v>157.11171584681378</v>
      </c>
      <c r="W51" s="17">
        <f>Table2[[#This Row],[Asset growth A2, under the assumption of full-funding at Year 0]]/(1+Table2[Compounded CPI])</f>
        <v>85.273733982923147</v>
      </c>
      <c r="X51" s="17">
        <f>(X50*((1+Table2[Discount rate A2])^0.5)-Table2[Annual benefit payments (closed scheme)])*(1+Table2[Discount rate A2])^0.5</f>
        <v>41.692637287002796</v>
      </c>
      <c r="Y51" s="17">
        <f>Table2[[#This Row],[Asset growth A2 with benefit payments deducted]]/(1+Table2[[#This Row],[Compounded CPI]])</f>
        <v>22.629037191120972</v>
      </c>
      <c r="Z51" s="19">
        <f>Table2[[#This Row],[Asset growth A2 with benefit payments deducted]]/(1+Table2[Compounded discount rate A2])</f>
        <v>17.915432850000741</v>
      </c>
      <c r="AA51" s="35">
        <f t="shared" si="16"/>
        <v>4.5600000000000002E-2</v>
      </c>
      <c r="AB51" s="18">
        <f t="shared" si="10"/>
        <v>1.7645892051890866</v>
      </c>
      <c r="AC51" s="17">
        <f>Table2[[#This Row],[Annual benefit payments (closed scheme)]]/((1+AB50)*(1+Table2[[#This Row],[Discount rate B]])^0.5)+AC50</f>
        <v>46.836728358367559</v>
      </c>
      <c r="AD51" s="16">
        <f>AD50*(1+Table2[Discount rate B])</f>
        <v>165.87535231134521</v>
      </c>
      <c r="AE51" s="16">
        <f>Table2[[#This Row],[Asset growth B]]/(1+Table2[Compounded CPI])</f>
        <v>90.030272988124608</v>
      </c>
      <c r="AF51" s="17">
        <f>(AF50*((1+Table2[Discount rate B])^0.5)-Table2[Annual benefit payments (closed scheme)])*(1+Table2[Discount rate B])^0.5</f>
        <v>36.391038685428654</v>
      </c>
      <c r="AG51" s="17">
        <f>Table2[[#This Row],[Asset growth B with benefit payments deducted]]/(1+Table2[Compounded CPI])</f>
        <v>19.751548988550116</v>
      </c>
      <c r="AH51" s="19">
        <f>Table2[[#This Row],[Asset growth B with benefit payments deducted]]/(1+Table2[Compounded discount rate B])</f>
        <v>13.163271641632434</v>
      </c>
      <c r="AI51" s="11">
        <f>Table2[CPI]+2.56%</f>
        <v>4.3200000000000002E-2</v>
      </c>
      <c r="AJ51" s="18">
        <f t="shared" si="11"/>
        <v>2.3069915309946394</v>
      </c>
      <c r="AK51" s="17">
        <f>Table2[[#This Row],[Annual benefit payments (closed scheme)]]/((1+AJ50)*(1+Table2[[#This Row],[Discount rate C]])^0.5)+AK50</f>
        <v>40.739501092454191</v>
      </c>
      <c r="AL51" s="17">
        <f>AL50*(1+Table2[Discount rate C])</f>
        <v>198.41949185967843</v>
      </c>
      <c r="AM51" s="17">
        <f>Table2[[#This Row],[Asset growth C]]/(1+Table2[Compounded CPI])</f>
        <v>107.69388441003484</v>
      </c>
      <c r="AN51" s="17">
        <f>(AN50*((1+Table2[Discount rate C])^0.5)-Table2[Annual benefit payments (closed scheme)])*(1+Table2[Discount rate C])^0.5</f>
        <v>63.694306769985339</v>
      </c>
      <c r="AO51" s="17">
        <f>Table2[[#This Row],[Asset growth C with benefit payments deducted]]/(1+Table2[Compounded CPI])</f>
        <v>34.570632383813916</v>
      </c>
      <c r="AP51" s="19">
        <f>Table2[[#This Row],[Asset growth C with benefit payments deducted]]/(1+Table2[Compounded discount rate C])</f>
        <v>19.260498907545763</v>
      </c>
      <c r="AQ51" s="11">
        <f>Table2[CPI]+2.56%</f>
        <v>4.3200000000000002E-2</v>
      </c>
      <c r="AR51" s="18">
        <f t="shared" si="12"/>
        <v>2.0955660521202426</v>
      </c>
      <c r="AS51" s="17">
        <f>Table2[[#This Row],[Annual benefit payments (closed scheme)]]/((1+AR50)*(1+Table2[[#This Row],[Discount rate D]])^0.5)+AS50</f>
        <v>42.445768297020884</v>
      </c>
      <c r="AT51" s="16">
        <f>AT50*(1+Table2[Discount rate D])</f>
        <v>185.73396312721457</v>
      </c>
      <c r="AU51" s="17">
        <f>Table2[[#This Row],[Asset growth D]]/(1+Table2[Compounded CPI])</f>
        <v>100.80870467194602</v>
      </c>
      <c r="AV51" s="17">
        <f>(AV50*((1+Table2[Discount rate D])^0.5)-Table2[Annual benefit payments (closed scheme)])*(1+Table2[Discount rate D])^0.5</f>
        <v>54.340283730795086</v>
      </c>
      <c r="AW51" s="17">
        <f>Table2[[#This Row],[Asset growth D with benefit payments deducted]]/(1+Table2[Compounded CPI])</f>
        <v>29.49365599147557</v>
      </c>
      <c r="AX51" s="19">
        <f>Table2[[#This Row],[Asset growth D with benefit payments deducted]]/(1+Table2[Compounded discount rate D])</f>
        <v>17.554231702979123</v>
      </c>
      <c r="AY51" s="11">
        <f>Table2[CPI]+4%</f>
        <v>5.7599999999999998E-2</v>
      </c>
      <c r="AZ51" s="18">
        <f t="shared" si="13"/>
        <v>2.8935373449275938</v>
      </c>
      <c r="BA51" s="17">
        <f>Table2[[#This Row],[Annual benefit payments (closed scheme)]]/((1+AZ50)*(1+Table2[[#This Row],[Discount rate E]])^0.5)+BA50</f>
        <v>39.606081565282736</v>
      </c>
      <c r="BB51" s="17">
        <f>BB50*(1+Table2[Discount rate E])</f>
        <v>233.61224069565574</v>
      </c>
      <c r="BC51" s="16">
        <f>Table2[[#This Row],[Asset growth E]]/(1+Table2[Compounded CPI])</f>
        <v>126.79505128477633</v>
      </c>
      <c r="BD51" s="17">
        <f>(BD50*((1+Table2[Discount rate E])^0.5)-Table2[Annual benefit payments (closed scheme)])*(1+Table2[Discount rate E])^0.5</f>
        <v>79.404483034979066</v>
      </c>
      <c r="BE51" s="17">
        <f>Table2[[#This Row],[Asset growth E with benefit payments deducted]]/(1+Table2[Compounded CPI])</f>
        <v>43.097465563792049</v>
      </c>
      <c r="BF51" s="19">
        <f>Table2[[#This Row],[Asset growth E with benefit payments deducted]]/(1+Table2[Compounded discount rate E])</f>
        <v>20.393918434717289</v>
      </c>
      <c r="BG51" s="11">
        <f>Table2[[#This Row],[Long-dated forward gilt yields]]+0.75%</f>
        <v>2.2890000000000001E-2</v>
      </c>
      <c r="BH51" s="11">
        <f t="shared" si="14"/>
        <v>1.0122383017708509</v>
      </c>
      <c r="BI51" s="17">
        <f>((Table2[[#This Row],[Annual benefit payments (closed scheme)]])*1.005^(Table2[[#This Row],[Year]]-2018))/((1+BH50)*(1+Table2[[#This Row],[Discount rate F]])^0.5)+BI50</f>
        <v>53.394870996654362</v>
      </c>
      <c r="BJ51" s="17">
        <f>BJ50*(1+Table2[Discount rate F])</f>
        <v>165.6947342541917</v>
      </c>
      <c r="BK51" s="17">
        <f>Table2[[#This Row],[Asset growth F, under the assumption of full-funding at Year 0]]/(1+Table2[[#This Row],[Compounded CPI]])</f>
        <v>89.932240985385619</v>
      </c>
      <c r="BL51" s="17">
        <f>(BL50*((1+Table2[Discount rate F])^0.5)-Table2[Annual benefit payments (closed scheme)]*1.005^(Table2[Year]-2018))*(1+Table2[Discount rate F])^0.5</f>
        <v>58.251529716610278</v>
      </c>
      <c r="BM51" s="17">
        <f>Table2[[#This Row],[Asset growth F with benefit payments deducted]]/(1+Table2[Compounded CPI])</f>
        <v>31.616518363250403</v>
      </c>
      <c r="BN51" s="19">
        <f>Table2[[#This Row],[Asset growth F with benefit payments deducted]]/(1+Table2[Compounded discount rate F])</f>
        <v>28.948623860974408</v>
      </c>
      <c r="BO51" s="18">
        <f>(1+BO50)*(1+Table2[Discount rate A2])-1</f>
        <v>0.3088245614050471</v>
      </c>
      <c r="BP51" s="17">
        <f>Table2[[#This Row],[Annual benefit payments (ongoing scheme)]]/((1+BO50)*(1+Table2[[#This Row],[Discount rate A2]])^0.5)+BP50</f>
        <v>26.321864663100609</v>
      </c>
      <c r="BQ51" s="17">
        <f>(BQ50*((1+Table2[Discount rate A2])^0.5)-Table2[Annual benefit payments (ongoing scheme)])*(1+Table2[Discount rate A2])^0.5</f>
        <v>112.80406627581108</v>
      </c>
      <c r="BR51" s="18">
        <f>(1+BR50)*(1+Table2[Discount rate B])-1</f>
        <v>0.40893782553498625</v>
      </c>
      <c r="BS51" s="17">
        <f>Table2[[#This Row],[Annual benefit payments (ongoing scheme)]]/((1+BR50)*(1+Table2[[#This Row],[Discount rate B]])^0.5)+BS50</f>
        <v>25.389508386984787</v>
      </c>
      <c r="BT51" s="18">
        <f>(1+BT50)*(1+Table2[Discount rate E])-1</f>
        <v>0.52556981210480136</v>
      </c>
      <c r="BU51" s="17">
        <f>Table2[[#This Row],[Annual benefit payments (ongoing scheme)]]/((1+BT50)*(1+Table2[[#This Row],[Discount rate E]])^0.5)+BU50</f>
        <v>24.43259055795739</v>
      </c>
      <c r="BV51" s="18">
        <f>Table2[CPI]+0.75%+0.75%</f>
        <v>3.2600000000000004E-2</v>
      </c>
      <c r="BW51" s="18">
        <f>(1+BW50)*(1+Table2[Self-sufficiency discount rate, from 2037])-1</f>
        <v>0.29129353956787885</v>
      </c>
      <c r="BX51" s="17">
        <f>(Table2[[#This Row],[Annual benefit payments (ongoing scheme)]]*1.005^(Table2[[#This Row],[Year]]-2038))/((1+BW50)*(1+Table2[[#This Row],[Self-sufficiency discount rate, from 2037]])^0.5)+BX50</f>
        <v>26.892734870558058</v>
      </c>
      <c r="BY51" s="17">
        <f>(BY50*((1+Table2[Self-sufficiency discount rate, from 2037])^0.5)-Table2[Annual benefit payments (ongoing scheme)]*1.005^(Table2[Year]-2038))*(1+Table2[Self-sufficiency discount rate, from 2037])^0.5</f>
        <v>130.62439629129733</v>
      </c>
      <c r="BZ51" s="17">
        <f>(BZ50*((1+Table2[Discount rate B])^0.5)-Table2[Annual benefit payments (ongoing scheme)])*(1+Table2[Discount rate B])^0.5</f>
        <v>95.981682839819271</v>
      </c>
      <c r="CA51" s="17">
        <f>(CA50*((1+Table2[Discount rate A2])^0.5)+Table2[Net cashflow (ongoing scheme)])*(1+Table2[Discount rate A2])^0.5</f>
        <v>112.37089081519775</v>
      </c>
      <c r="CB51" s="17">
        <f>Table2[[#This Row],[Asset growth, ongoing scheme, with November de-risking, net of contributions and payments]]/(1+Table2[Compounded discount rate A2])</f>
        <v>48.28605911485537</v>
      </c>
      <c r="CC51" s="17">
        <f>Table2[[#This Row],[Asset growth, ongoing scheme, with November de-risking, net of contributions and payments]]/(1+Table2[Compounded CPI])</f>
        <v>60.990266697501688</v>
      </c>
      <c r="CD51" s="17">
        <f>(CD50*((1+Table2[Discount rate A1])^0.5)+Table2[Net cashflow (ongoing scheme)])*(1+Table2[Discount rate A1])^0.5</f>
        <v>119.88697689540433</v>
      </c>
      <c r="CE51" s="17">
        <f>Table2[[#This Row],[Asset growth, ongoing scheme, with September de-risking, net of contributions and payments]]/(1+Table2[Compounded discount rate A1])</f>
        <v>48.929979395438018</v>
      </c>
      <c r="CF51" s="17">
        <f>Table2[[#This Row],[Asset growth, ongoing scheme, with September de-risking, net of contributions and payments]]/(1+Table2[Compounded CPI])</f>
        <v>65.069687010250348</v>
      </c>
      <c r="CG51" s="17">
        <f>(CG50*((1+Table2[Discount rate B])^0.5)+Table2[Net cashflow (ongoing scheme)])*(1+Table2[Discount rate B])^0.5</f>
        <v>138.29594911783136</v>
      </c>
      <c r="CH51" s="17">
        <f>Table2[[#This Row],[Asset growth, ongoing scheme, no de-risking, net of contributions and payments]]/(1+Table2[Compounded discount rate B])</f>
        <v>50.024050176515274</v>
      </c>
      <c r="CI51" s="17">
        <f>Table2[[#This Row],[Asset growth, ongoing scheme, no de-risking, net of contributions and payments]]/(1+Table2[Compounded CPI])</f>
        <v>75.061314889388541</v>
      </c>
      <c r="CJ51" s="17">
        <f>(CJ50*((1+Table2[Discount rate E])^0.5)+Table2[Net cashflow (ongoing scheme)])*(1+Table2[Discount rate E])^0.5</f>
        <v>206.27554465320335</v>
      </c>
      <c r="CK51" s="17">
        <f>Table2[[#This Row],[Asset growth, ongoing scheme, best-estimates, no de-risking, net of contributions and payments ]]/(1+Table2[Compounded discount rate E])</f>
        <v>52.978956249625838</v>
      </c>
      <c r="CL51" s="17">
        <f>Table2[[#This Row],[Asset growth, ongoing scheme, best-estimates, no de-risking, net of contributions and payments ]]/(1+Table2[Compounded CPI])</f>
        <v>111.95782457808711</v>
      </c>
      <c r="CM51" s="9">
        <v>1.7600000000000001E-2</v>
      </c>
      <c r="CN51" s="11">
        <f>(1+Table2[[#This Row],[CPI]])*(1+CN50)-1</f>
        <v>0.84243973505695036</v>
      </c>
      <c r="CO51" s="11">
        <f>'Gilt yields'!B33</f>
        <v>1.5389999999999999E-2</v>
      </c>
      <c r="CP51" s="11">
        <f t="shared" si="15"/>
        <v>3.7600000000000001E-2</v>
      </c>
      <c r="CQ51" s="26">
        <f>(1+Table2[[#This Row],[Salary growth]])*(1+CQ50)-1</f>
        <v>2.018827346338524</v>
      </c>
      <c r="CR51" s="15">
        <f t="shared" si="5"/>
        <v>18.424397350569503</v>
      </c>
      <c r="CS51" s="17">
        <f t="shared" si="6"/>
        <v>23.951716555740358</v>
      </c>
      <c r="CT51" s="17">
        <f>CT50*(1+Table2[[#This Row],[Salary growth]])</f>
        <v>30.188273463385233</v>
      </c>
      <c r="CU51" s="19">
        <f t="shared" si="7"/>
        <v>39.244755502400828</v>
      </c>
      <c r="CV51" s="112">
        <f>('Cash flows as at 31032017'!B36)/1000000000</f>
        <v>3.162861167</v>
      </c>
      <c r="CW51" s="113">
        <v>0</v>
      </c>
      <c r="CX51" s="113">
        <f>Table2[[#This Row],[Annual contributions (closed scheme)]]-Table2[[#This Row],[Annual benefit payments (closed scheme)]]</f>
        <v>-3.162861167</v>
      </c>
      <c r="CY51" s="113">
        <v>4.6500000000000004</v>
      </c>
      <c r="CZ51" s="113">
        <v>0</v>
      </c>
      <c r="DA51" s="113">
        <v>-4.6500000000000004</v>
      </c>
      <c r="DB51" s="17"/>
      <c r="DC51" s="84"/>
      <c r="DD51" s="84"/>
      <c r="DE51" s="84"/>
      <c r="DF51" s="84"/>
      <c r="DG51" s="84"/>
      <c r="DH51" s="84"/>
      <c r="DI51" s="84"/>
      <c r="DJ51" s="84"/>
      <c r="DK51" s="84"/>
      <c r="DL51" s="84"/>
      <c r="DM51" s="84"/>
      <c r="DN51" s="84"/>
      <c r="DO51" s="84"/>
      <c r="DP51" s="84"/>
      <c r="DQ51" s="84"/>
      <c r="DR51" s="84"/>
      <c r="DS51" s="84"/>
      <c r="DT51" s="84"/>
      <c r="DU51" s="84"/>
      <c r="DV51" s="84"/>
      <c r="DW51" s="84"/>
      <c r="DX51" s="84"/>
      <c r="DY51" s="84"/>
      <c r="DZ51" s="84"/>
      <c r="EA51" s="84"/>
      <c r="EB51" s="84"/>
      <c r="EC51" s="84"/>
      <c r="ED51" s="84"/>
    </row>
    <row r="52" spans="1:147" x14ac:dyDescent="0.2">
      <c r="A52" s="8">
        <v>2045</v>
      </c>
      <c r="B52" s="50"/>
      <c r="C52" s="50"/>
      <c r="D52" s="50"/>
      <c r="E52" s="35">
        <v>6.0999999999999999E-2</v>
      </c>
      <c r="F52" s="16">
        <f>F51*(1+Table2[[#This Row],[2008 discount rate]])</f>
        <v>301.37749249427333</v>
      </c>
      <c r="G52" s="18">
        <v>6.0999999999999999E-2</v>
      </c>
      <c r="H52" s="16">
        <f>H51*(1+Table2[[#This Row],[2011 discount rate]])</f>
        <v>247.66035207614789</v>
      </c>
      <c r="I52" s="18">
        <v>5.1999999999999998E-2</v>
      </c>
      <c r="J52" s="16">
        <f>J51*(1+Table2[[#This Row],[2014 discount rate]])</f>
        <v>200.7257926850323</v>
      </c>
      <c r="K52" s="9">
        <v>3.3099999999999997E-2</v>
      </c>
      <c r="L52" s="18">
        <f t="shared" si="9"/>
        <v>1.5312750457072508</v>
      </c>
      <c r="M52" s="17">
        <f>Table2[[#This Row],[Annual benefit payments (closed scheme)]]/((1+L51)*(1+Table2[[#This Row],[Discount rate A1]])^0.5)+M51</f>
        <v>49.164879192132673</v>
      </c>
      <c r="N52" s="17">
        <f>N51*(1+Table2[Discount rate A1])</f>
        <v>164.33687809444865</v>
      </c>
      <c r="O52" s="17">
        <f>Table2[[#This Row],[Asset growth A1, under the assumption of full-funding at Year 0]]/(1+Table2[[#This Row],[Compounded CPI]])</f>
        <v>87.781963276611052</v>
      </c>
      <c r="P52" s="17">
        <f>(P51*((1+Table2[Discount rate A1])^0.5)-Table2[Annual benefit payments (closed scheme)])*(1+Table2[Discount rate A1])^0.5</f>
        <v>39.887046270191519</v>
      </c>
      <c r="Q52" s="17">
        <f>Table2[[#This Row],[Asset growth A1 with benefit payments deducted]]/(1+Table2[Compounded CPI])</f>
        <v>21.3060103824664</v>
      </c>
      <c r="R52" s="17">
        <f>Table2[[#This Row],[Asset growth A1 with benefit payments deducted]]/(1+Table2[Compounded discount rate A1])</f>
        <v>15.757689524034667</v>
      </c>
      <c r="S52" s="9">
        <v>3.3100000000000004E-2</v>
      </c>
      <c r="T52" s="18">
        <f t="shared" si="8"/>
        <v>1.4042212064779003</v>
      </c>
      <c r="U52" s="17">
        <f>Table2[[#This Row],[Annual benefit payments (closed scheme)]]/((1+T51)*(1+Table2[[#This Row],[Discount rate A2]])^0.5)+U51</f>
        <v>50.920883253708674</v>
      </c>
      <c r="V52" s="17">
        <f>V51*(1+Table2[Discount rate A2])</f>
        <v>162.3121136413433</v>
      </c>
      <c r="W52" s="17">
        <f>Table2[[#This Row],[Asset growth A2, under the assumption of full-funding at Year 0]]/(1+Table2[Compounded CPI])</f>
        <v>86.700417850366975</v>
      </c>
      <c r="X52" s="17">
        <f>(X51*((1+Table2[Discount rate A2])^0.5)-Table2[Annual benefit payments (closed scheme)])*(1+Table2[Discount rate A2])^0.5</f>
        <v>39.887046270191568</v>
      </c>
      <c r="Y52" s="17">
        <f>Table2[[#This Row],[Asset growth A2 with benefit payments deducted]]/(1+Table2[[#This Row],[Compounded CPI]])</f>
        <v>21.306010382466425</v>
      </c>
      <c r="Z52" s="19">
        <f>Table2[[#This Row],[Asset growth A2 with benefit payments deducted]]/(1+Table2[Compounded discount rate A2])</f>
        <v>16.59042277920204</v>
      </c>
      <c r="AA52" s="35">
        <f t="shared" si="16"/>
        <v>4.41E-2</v>
      </c>
      <c r="AB52" s="18">
        <f t="shared" si="10"/>
        <v>1.8865075891379255</v>
      </c>
      <c r="AC52" s="17">
        <f>Table2[[#This Row],[Annual benefit payments (closed scheme)]]/((1+AB51)*(1+Table2[[#This Row],[Discount rate B]])^0.5)+AC51</f>
        <v>47.946211649521715</v>
      </c>
      <c r="AD52" s="16">
        <f>AD51*(1+Table2[Discount rate B])</f>
        <v>173.19045534827555</v>
      </c>
      <c r="AE52" s="16">
        <f>Table2[[#This Row],[Asset growth B]]/(1+Table2[Compounded CPI])</f>
        <v>92.511178060132764</v>
      </c>
      <c r="AF52" s="17">
        <f>(AF51*((1+Table2[Discount rate B])^0.5)-Table2[Annual benefit payments (closed scheme)])*(1+Table2[Discount rate B])^0.5</f>
        <v>34.793351551517873</v>
      </c>
      <c r="AG52" s="17">
        <f>Table2[[#This Row],[Asset growth B with benefit payments deducted]]/(1+Table2[Compounded CPI])</f>
        <v>18.585169339837503</v>
      </c>
      <c r="AH52" s="19">
        <f>Table2[[#This Row],[Asset growth B with benefit payments deducted]]/(1+Table2[Compounded discount rate B])</f>
        <v>12.05378835047828</v>
      </c>
      <c r="AI52" s="11">
        <f>Table2[CPI]+2.56%</f>
        <v>4.1700000000000001E-2</v>
      </c>
      <c r="AJ52" s="18">
        <f t="shared" si="11"/>
        <v>2.4448930778371163</v>
      </c>
      <c r="AK52" s="17">
        <f>Table2[[#This Row],[Annual benefit payments (closed scheme)]]/((1+AJ51)*(1+Table2[[#This Row],[Discount rate C]])^0.5)+AK51</f>
        <v>41.668078273642962</v>
      </c>
      <c r="AL52" s="17">
        <f>AL51*(1+Table2[Discount rate C])</f>
        <v>206.69358467022704</v>
      </c>
      <c r="AM52" s="17">
        <f>Table2[[#This Row],[Asset growth C]]/(1+Table2[Compounded CPI])</f>
        <v>110.40716404874846</v>
      </c>
      <c r="AN52" s="17">
        <f>(AN51*((1+Table2[Discount rate C])^0.5)-Table2[Annual benefit payments (closed scheme)])*(1+Table2[Discount rate C])^0.5</f>
        <v>63.151510258579037</v>
      </c>
      <c r="AO52" s="17">
        <f>Table2[[#This Row],[Asset growth C with benefit payments deducted]]/(1+Table2[Compounded CPI])</f>
        <v>33.732924822845192</v>
      </c>
      <c r="AP52" s="19">
        <f>Table2[[#This Row],[Asset growth C with benefit payments deducted]]/(1+Table2[Compounded discount rate C])</f>
        <v>18.331921726356992</v>
      </c>
      <c r="AQ52" s="11">
        <f>Table2[CPI]+2.56%</f>
        <v>4.1700000000000001E-2</v>
      </c>
      <c r="AR52" s="18">
        <f t="shared" si="12"/>
        <v>2.2246511564936569</v>
      </c>
      <c r="AS52" s="17">
        <f>Table2[[#This Row],[Annual benefit payments (closed scheme)]]/((1+AR51)*(1+Table2[[#This Row],[Discount rate D]])^0.5)+AS51</f>
        <v>43.437766794989571</v>
      </c>
      <c r="AT52" s="16">
        <f>AT51*(1+Table2[Discount rate D])</f>
        <v>193.47906938961944</v>
      </c>
      <c r="AU52" s="17">
        <f>Table2[[#This Row],[Asset growth D]]/(1+Table2[Compounded CPI])</f>
        <v>103.34851654046469</v>
      </c>
      <c r="AV52" s="17">
        <f>(AV51*((1+Table2[Discount rate D])^0.5)-Table2[Annual benefit payments (closed scheme)])*(1+Table2[Discount rate D])^0.5</f>
        <v>53.407424458654546</v>
      </c>
      <c r="AW52" s="17">
        <f>Table2[[#This Row],[Asset growth D with benefit payments deducted]]/(1+Table2[Compounded CPI])</f>
        <v>28.528037205584237</v>
      </c>
      <c r="AX52" s="19">
        <f>Table2[[#This Row],[Asset growth D with benefit payments deducted]]/(1+Table2[Compounded discount rate D])</f>
        <v>16.562233205010436</v>
      </c>
      <c r="AY52" s="11">
        <f>Table2[CPI]+4%</f>
        <v>5.6099999999999997E-2</v>
      </c>
      <c r="AZ52" s="18">
        <f t="shared" si="13"/>
        <v>3.1119647899780318</v>
      </c>
      <c r="BA52" s="17">
        <f>Table2[[#This Row],[Annual benefit payments (closed scheme)]]/((1+AZ51)*(1+Table2[[#This Row],[Discount rate E]])^0.5)+BA51</f>
        <v>40.389376929059225</v>
      </c>
      <c r="BB52" s="17">
        <f>BB51*(1+Table2[Discount rate E])</f>
        <v>246.71788739868205</v>
      </c>
      <c r="BC52" s="16">
        <f>Table2[[#This Row],[Asset growth E]]/(1+Table2[Compounded CPI])</f>
        <v>131.78649115426856</v>
      </c>
      <c r="BD52" s="17">
        <f>(BD51*((1+Table2[Discount rate E])^0.5)-Table2[Annual benefit payments (closed scheme)])*(1+Table2[Discount rate E])^0.5</f>
        <v>80.638191577239468</v>
      </c>
      <c r="BE52" s="17">
        <f>Table2[[#This Row],[Asset growth E with benefit payments deducted]]/(1+Table2[Compounded CPI])</f>
        <v>43.07358673113724</v>
      </c>
      <c r="BF52" s="19">
        <f>Table2[[#This Row],[Asset growth E with benefit payments deducted]]/(1+Table2[Compounded discount rate E])</f>
        <v>19.610623070940807</v>
      </c>
      <c r="BG52" s="11">
        <f>Table2[[#This Row],[Long-dated forward gilt yields]]+0.75%</f>
        <v>2.1399999999999999E-2</v>
      </c>
      <c r="BH52" s="11">
        <f t="shared" si="14"/>
        <v>1.0553002014287474</v>
      </c>
      <c r="BI52" s="17">
        <f>((Table2[[#This Row],[Annual benefit payments (closed scheme)]])*1.005^(Table2[[#This Row],[Year]]-2018))/((1+BH51)*(1+Table2[[#This Row],[Discount rate F]])^0.5)+BI51</f>
        <v>55.158181324868103</v>
      </c>
      <c r="BJ52" s="17">
        <f>BJ51*(1+Table2[Discount rate F])</f>
        <v>169.24060156723141</v>
      </c>
      <c r="BK52" s="17">
        <f>Table2[[#This Row],[Asset growth F, under the assumption of full-funding at Year 0]]/(1+Table2[[#This Row],[Compounded CPI]])</f>
        <v>90.40132953692833</v>
      </c>
      <c r="BL52" s="17">
        <f>(BL51*((1+Table2[Discount rate F])^0.5)-Table2[Annual benefit payments (closed scheme)]*1.005^(Table2[Year]-2018))*(1+Table2[Discount rate F])^0.5</f>
        <v>55.873980379786659</v>
      </c>
      <c r="BM52" s="17">
        <f>Table2[[#This Row],[Asset growth F with benefit payments deducted]]/(1+Table2[Compounded CPI])</f>
        <v>29.845569361477377</v>
      </c>
      <c r="BN52" s="19">
        <f>Table2[[#This Row],[Asset growth F with benefit payments deducted]]/(1+Table2[Compounded discount rate F])</f>
        <v>27.18531353276067</v>
      </c>
      <c r="BO52" s="18">
        <f>(1+BO51)*(1+Table2[Discount rate A2])-1</f>
        <v>0.35214665438755399</v>
      </c>
      <c r="BP52" s="17">
        <f>Table2[[#This Row],[Annual benefit payments (ongoing scheme)]]/((1+BO51)*(1+Table2[[#This Row],[Discount rate A2]])^0.5)+BP51</f>
        <v>29.967633441883152</v>
      </c>
      <c r="BQ52" s="17">
        <f>(BQ51*((1+Table2[Discount rate A2])^0.5)-Table2[Annual benefit payments (ongoing scheme)])*(1+Table2[Discount rate A2])^0.5</f>
        <v>111.60826681263899</v>
      </c>
      <c r="BR52" s="18">
        <f>(1+BR51)*(1+Table2[Discount rate B])-1</f>
        <v>0.47107198364107927</v>
      </c>
      <c r="BS52" s="17">
        <f>Table2[[#This Row],[Annual benefit payments (ongoing scheme)]]/((1+BR51)*(1+Table2[[#This Row],[Discount rate B]])^0.5)+BS51</f>
        <v>28.758336572655278</v>
      </c>
      <c r="BT52" s="18">
        <f>(1+BT51)*(1+Table2[Discount rate E])-1</f>
        <v>0.61115427856388083</v>
      </c>
      <c r="BU52" s="17">
        <f>Table2[[#This Row],[Annual benefit payments (ongoing scheme)]]/((1+BT51)*(1+Table2[[#This Row],[Discount rate E]])^0.5)+BU51</f>
        <v>27.526140495255003</v>
      </c>
      <c r="BV52" s="18">
        <f>Table2[CPI]+0.75%+0.75%</f>
        <v>3.1099999999999999E-2</v>
      </c>
      <c r="BW52" s="18">
        <f>(1+BW51)*(1+Table2[Self-sufficiency discount rate, from 2037])-1</f>
        <v>0.33145276864843987</v>
      </c>
      <c r="BX52" s="17">
        <f>(Table2[[#This Row],[Annual benefit payments (ongoing scheme)]]*1.005^(Table2[[#This Row],[Year]]-2038))/((1+BW51)*(1+Table2[[#This Row],[Self-sufficiency discount rate, from 2037]])^0.5)+BX51</f>
        <v>30.722999669635385</v>
      </c>
      <c r="BY52" s="17">
        <f>(BY51*((1+Table2[Self-sufficiency discount rate, from 2037])^0.5)-Table2[Annual benefit payments (ongoing scheme)]*1.005^(Table2[Year]-2038))*(1+Table2[Self-sufficiency discount rate, from 2037])^0.5</f>
        <v>129.58699834456849</v>
      </c>
      <c r="BZ52" s="17">
        <f>(BZ51*((1+Table2[Discount rate B])^0.5)-Table2[Annual benefit payments (ongoing scheme)])*(1+Table2[Discount rate B])^0.5</f>
        <v>95.25868629141506</v>
      </c>
      <c r="CA52" s="17">
        <f>(CA51*((1+Table2[Discount rate A2])^0.5)+Table2[Net cashflow (ongoing scheme)])*(1+Table2[Discount rate A2])^0.5</f>
        <v>111.16075324427936</v>
      </c>
      <c r="CB52" s="17">
        <f>Table2[[#This Row],[Asset growth, ongoing scheme, with November de-risking, net of contributions and payments]]/(1+Table2[Compounded discount rate A2])</f>
        <v>46.235659574405787</v>
      </c>
      <c r="CC52" s="17">
        <f>Table2[[#This Row],[Asset growth, ongoing scheme, with November de-risking, net of contributions and payments]]/(1+Table2[Compounded CPI])</f>
        <v>59.377476755288193</v>
      </c>
      <c r="CD52" s="17">
        <f>(CD51*((1+Table2[Discount rate A1])^0.5)+Table2[Net cashflow (ongoing scheme)])*(1+Table2[Discount rate A1])^0.5</f>
        <v>118.92562177374077</v>
      </c>
      <c r="CE52" s="17">
        <f>Table2[[#This Row],[Asset growth, ongoing scheme, with September de-risking, net of contributions and payments]]/(1+Table2[Compounded discount rate A1])</f>
        <v>46.982496815359852</v>
      </c>
      <c r="CF52" s="17">
        <f>Table2[[#This Row],[Asset growth, ongoing scheme, with September de-risking, net of contributions and payments]]/(1+Table2[Compounded CPI])</f>
        <v>63.525148367433296</v>
      </c>
      <c r="CG52" s="17">
        <f>(CG51*((1+Table2[Discount rate B])^0.5)+Table2[Net cashflow (ongoing scheme)])*(1+Table2[Discount rate B])^0.5</f>
        <v>139.43901171228748</v>
      </c>
      <c r="CH52" s="17">
        <f>Table2[[#This Row],[Asset growth, ongoing scheme, no de-risking, net of contributions and payments]]/(1+Table2[Compounded discount rate B])</f>
        <v>48.307169618054552</v>
      </c>
      <c r="CI52" s="17">
        <f>Table2[[#This Row],[Asset growth, ongoing scheme, no de-risking, net of contributions and payments]]/(1+Table2[Compounded CPI])</f>
        <v>74.482552835281325</v>
      </c>
      <c r="CJ52" s="17">
        <f>(CJ51*((1+Table2[Discount rate E])^0.5)+Table2[Net cashflow (ongoing scheme)])*(1+Table2[Discount rate E])^0.5</f>
        <v>212.86341649082001</v>
      </c>
      <c r="CK52" s="17">
        <f>Table2[[#This Row],[Asset growth, ongoing scheme, best-estimates, no de-risking, net of contributions and payments ]]/(1+Table2[Compounded discount rate E])</f>
        <v>51.766838327416039</v>
      </c>
      <c r="CL52" s="17">
        <f>Table2[[#This Row],[Asset growth, ongoing scheme, best-estimates, no de-risking, net of contributions and payments ]]/(1+Table2[Compounded CPI])</f>
        <v>113.70283302200768</v>
      </c>
      <c r="CM52" s="9">
        <v>1.61E-2</v>
      </c>
      <c r="CN52" s="11">
        <f>(1+Table2[[#This Row],[CPI]])*(1+CN51)-1</f>
        <v>0.87210301479136731</v>
      </c>
      <c r="CO52" s="11">
        <f>'Gilt yields'!B34</f>
        <v>1.3899999999999999E-2</v>
      </c>
      <c r="CP52" s="11">
        <f t="shared" si="15"/>
        <v>3.61E-2</v>
      </c>
      <c r="CQ52" s="26">
        <f>(1+Table2[[#This Row],[Salary growth]])*(1+CQ51)-1</f>
        <v>2.1278070135413447</v>
      </c>
      <c r="CR52" s="15">
        <f t="shared" si="5"/>
        <v>18.721030147913673</v>
      </c>
      <c r="CS52" s="17">
        <f t="shared" si="6"/>
        <v>24.337339192287779</v>
      </c>
      <c r="CT52" s="17">
        <f>CT51*(1+Table2[[#This Row],[Salary growth]])</f>
        <v>31.27807013541344</v>
      </c>
      <c r="CU52" s="19">
        <f t="shared" si="7"/>
        <v>40.661491176037501</v>
      </c>
      <c r="CV52" s="112">
        <f>('Cash flows as at 31032017'!B37)/1000000000</f>
        <v>3.134169081</v>
      </c>
      <c r="CW52" s="113">
        <v>0</v>
      </c>
      <c r="CX52" s="113">
        <f>Table2[[#This Row],[Annual contributions (closed scheme)]]-Table2[[#This Row],[Annual benefit payments (closed scheme)]]</f>
        <v>-3.134169081</v>
      </c>
      <c r="CY52" s="113">
        <v>4.8499999999999996</v>
      </c>
      <c r="CZ52" s="113">
        <v>0</v>
      </c>
      <c r="DA52" s="113">
        <v>-4.8499999999999996</v>
      </c>
      <c r="DB52" s="17"/>
      <c r="DC52" s="84"/>
      <c r="DD52" s="84"/>
      <c r="DE52" s="84"/>
      <c r="DF52" s="84"/>
      <c r="DG52" s="84"/>
      <c r="DH52" s="84"/>
      <c r="DI52" s="84"/>
      <c r="DJ52" s="84"/>
      <c r="DK52" s="84"/>
      <c r="DL52" s="84"/>
      <c r="DM52" s="84"/>
      <c r="DN52" s="84"/>
      <c r="DO52" s="84"/>
      <c r="DP52" s="84"/>
      <c r="DQ52" s="84"/>
      <c r="DR52" s="84"/>
      <c r="DS52" s="84"/>
      <c r="DT52" s="84"/>
      <c r="DU52" s="84"/>
      <c r="DV52" s="84"/>
      <c r="DW52" s="84"/>
      <c r="DX52" s="84"/>
      <c r="DY52" s="84"/>
      <c r="DZ52" s="84"/>
      <c r="EA52" s="84"/>
      <c r="EB52" s="84"/>
      <c r="EC52" s="84"/>
      <c r="ED52" s="84"/>
      <c r="EE52" s="84"/>
    </row>
    <row r="53" spans="1:147" x14ac:dyDescent="0.2">
      <c r="A53" s="8">
        <v>2046</v>
      </c>
      <c r="B53" s="50"/>
      <c r="C53" s="50"/>
      <c r="D53" s="50"/>
      <c r="E53" s="35">
        <v>6.0999999999999999E-2</v>
      </c>
      <c r="F53" s="16">
        <f>F52*(1+Table2[[#This Row],[2008 discount rate]])</f>
        <v>319.76151953642398</v>
      </c>
      <c r="G53" s="18">
        <v>6.0999999999999999E-2</v>
      </c>
      <c r="H53" s="16">
        <f>H52*(1+Table2[[#This Row],[2011 discount rate]])</f>
        <v>262.76763355279292</v>
      </c>
      <c r="I53" s="18">
        <v>5.1999999999999998E-2</v>
      </c>
      <c r="J53" s="16">
        <f>J52*(1+Table2[[#This Row],[2014 discount rate]])</f>
        <v>211.163533904654</v>
      </c>
      <c r="K53" s="9">
        <v>3.1699999999999999E-2</v>
      </c>
      <c r="L53" s="18">
        <f t="shared" si="9"/>
        <v>1.6115164646561708</v>
      </c>
      <c r="M53" s="17">
        <f>Table2[[#This Row],[Annual benefit payments (closed scheme)]]/((1+L52)*(1+Table2[[#This Row],[Discount rate A1]])^0.5)+M52</f>
        <v>50.36329557075711</v>
      </c>
      <c r="N53" s="17">
        <f>N52*(1+Table2[Discount rate A1])</f>
        <v>169.54635713004268</v>
      </c>
      <c r="O53" s="17">
        <f>Table2[[#This Row],[Asset growth A1, under the assumption of full-funding at Year 0]]/(1+Table2[[#This Row],[Compounded CPI]])</f>
        <v>89.252637737734929</v>
      </c>
      <c r="P53" s="17">
        <f>(P52*((1+Table2[Discount rate A1])^0.5)-Table2[Annual benefit payments (closed scheme)])*(1+Table2[Discount rate A1])^0.5</f>
        <v>38.021781532665251</v>
      </c>
      <c r="Q53" s="17">
        <f>Table2[[#This Row],[Asset growth A1 with benefit payments deducted]]/(1+Table2[Compounded CPI])</f>
        <v>20.015436195278504</v>
      </c>
      <c r="R53" s="17">
        <f>Table2[[#This Row],[Asset growth A1 with benefit payments deducted]]/(1+Table2[Compounded discount rate A1])</f>
        <v>14.559273145410231</v>
      </c>
      <c r="S53" s="9">
        <v>3.1699999999999999E-2</v>
      </c>
      <c r="T53" s="18">
        <f t="shared" si="8"/>
        <v>1.48043501872325</v>
      </c>
      <c r="U53" s="17">
        <f>Table2[[#This Row],[Annual benefit payments (closed scheme)]]/((1+T52)*(1+Table2[[#This Row],[Discount rate A2]])^0.5)+U52</f>
        <v>52.182631326392418</v>
      </c>
      <c r="V53" s="17">
        <f>V52*(1+Table2[Discount rate A2])</f>
        <v>167.45740764377391</v>
      </c>
      <c r="W53" s="17">
        <f>Table2[[#This Row],[Asset growth A2, under the assumption of full-funding at Year 0]]/(1+Table2[Compounded CPI])</f>
        <v>88.152972401915477</v>
      </c>
      <c r="X53" s="17">
        <f>(X52*((1+Table2[Discount rate A2])^0.5)-Table2[Annual benefit payments (closed scheme)])*(1+Table2[Discount rate A2])^0.5</f>
        <v>38.021781532665301</v>
      </c>
      <c r="Y53" s="17">
        <f>Table2[[#This Row],[Asset growth A2 with benefit payments deducted]]/(1+Table2[[#This Row],[Compounded CPI]])</f>
        <v>20.015436195278529</v>
      </c>
      <c r="Z53" s="19">
        <f>Table2[[#This Row],[Asset growth A2 with benefit payments deducted]]/(1+Table2[Compounded discount rate A2])</f>
        <v>15.328674706518289</v>
      </c>
      <c r="AA53" s="35">
        <f t="shared" si="16"/>
        <v>4.2699999999999995E-2</v>
      </c>
      <c r="AB53" s="18">
        <f t="shared" si="10"/>
        <v>2.0097614631941148</v>
      </c>
      <c r="AC53" s="17">
        <f>Table2[[#This Row],[Annual benefit payments (closed scheme)]]/((1+AB52)*(1+Table2[[#This Row],[Discount rate B]])^0.5)+AC52</f>
        <v>48.991584937120543</v>
      </c>
      <c r="AD53" s="16">
        <f>AD52*(1+Table2[Discount rate B])</f>
        <v>180.5856877916469</v>
      </c>
      <c r="AE53" s="16">
        <f>Table2[[#This Row],[Asset growth B]]/(1+Table2[Compounded CPI])</f>
        <v>95.063965076673341</v>
      </c>
      <c r="AF53" s="17">
        <f>(AF52*((1+Table2[Discount rate B])^0.5)-Table2[Annual benefit payments (closed scheme)])*(1+Table2[Discount rate B])^0.5</f>
        <v>33.132703427100189</v>
      </c>
      <c r="AG53" s="17">
        <f>Table2[[#This Row],[Asset growth B with benefit payments deducted]]/(1+Table2[Compounded CPI])</f>
        <v>17.441726418118279</v>
      </c>
      <c r="AH53" s="19">
        <f>Table2[[#This Row],[Asset growth B with benefit payments deducted]]/(1+Table2[Compounded discount rate B])</f>
        <v>11.00841506287945</v>
      </c>
      <c r="AI53" s="11">
        <f>Table2[CPI]+2.56%</f>
        <v>4.0300000000000002E-2</v>
      </c>
      <c r="AJ53" s="18">
        <f t="shared" si="11"/>
        <v>2.5837222688739523</v>
      </c>
      <c r="AK53" s="17">
        <f>Table2[[#This Row],[Annual benefit payments (closed scheme)]]/((1+AJ52)*(1+Table2[[#This Row],[Discount rate C]])^0.5)+AK52</f>
        <v>42.545015977056572</v>
      </c>
      <c r="AL53" s="17">
        <f>AL52*(1+Table2[Discount rate C])</f>
        <v>215.02333613243718</v>
      </c>
      <c r="AM53" s="17">
        <f>Table2[[#This Row],[Asset growth C]]/(1+Table2[Compounded CPI])</f>
        <v>113.19264093812262</v>
      </c>
      <c r="AN53" s="17">
        <f>(AN52*((1+Table2[Discount rate C])^0.5)-Table2[Annual benefit payments (closed scheme)])*(1+Table2[Discount rate C])^0.5</f>
        <v>62.553814945861262</v>
      </c>
      <c r="AO53" s="17">
        <f>Table2[[#This Row],[Asset growth C with benefit payments deducted]]/(1+Table2[Compounded CPI])</f>
        <v>32.929595651494957</v>
      </c>
      <c r="AP53" s="19">
        <f>Table2[[#This Row],[Asset growth C with benefit payments deducted]]/(1+Table2[Compounded discount rate C])</f>
        <v>17.454984022943385</v>
      </c>
      <c r="AQ53" s="11">
        <f>Table2[CPI]+2.56%</f>
        <v>4.0300000000000002E-2</v>
      </c>
      <c r="AR53" s="18">
        <f t="shared" si="12"/>
        <v>2.3546045981003512</v>
      </c>
      <c r="AS53" s="17">
        <f>Table2[[#This Row],[Annual benefit payments (closed scheme)]]/((1+AR52)*(1+Table2[[#This Row],[Discount rate D]])^0.5)+AS52</f>
        <v>44.374598866917864</v>
      </c>
      <c r="AT53" s="16">
        <f>AT52*(1+Table2[Discount rate D])</f>
        <v>201.2762758860211</v>
      </c>
      <c r="AU53" s="17">
        <f>Table2[[#This Row],[Asset growth D]]/(1+Table2[Compounded CPI])</f>
        <v>105.95590988178321</v>
      </c>
      <c r="AV53" s="17">
        <f>(AV52*((1+Table2[Discount rate D])^0.5)-Table2[Annual benefit payments (closed scheme)])*(1+Table2[Discount rate D])^0.5</f>
        <v>52.417042488199804</v>
      </c>
      <c r="AW53" s="17">
        <f>Table2[[#This Row],[Asset growth D with benefit payments deducted]]/(1+Table2[Compounded CPI])</f>
        <v>27.593393238726083</v>
      </c>
      <c r="AX53" s="19">
        <f>Table2[[#This Row],[Asset growth D with benefit payments deducted]]/(1+Table2[Compounded discount rate D])</f>
        <v>15.625401133082146</v>
      </c>
      <c r="AY53" s="11">
        <f>Table2[CPI]+4%</f>
        <v>5.4699999999999999E-2</v>
      </c>
      <c r="AZ53" s="18">
        <f t="shared" si="13"/>
        <v>3.3368892639898302</v>
      </c>
      <c r="BA53" s="17">
        <f>Table2[[#This Row],[Annual benefit payments (closed scheme)]]/((1+AZ52)*(1+Table2[[#This Row],[Discount rate E]])^0.5)+BA52</f>
        <v>41.119019102948727</v>
      </c>
      <c r="BB53" s="17">
        <f>BB52*(1+Table2[Discount rate E])</f>
        <v>260.21335583938998</v>
      </c>
      <c r="BC53" s="16">
        <f>Table2[[#This Row],[Asset growth E]]/(1+Table2[Compounded CPI])</f>
        <v>136.98158295102698</v>
      </c>
      <c r="BD53" s="17">
        <f>(BD52*((1+Table2[Discount rate E])^0.5)-Table2[Annual benefit payments (closed scheme)])*(1+Table2[Discount rate E])^0.5</f>
        <v>81.884723346018873</v>
      </c>
      <c r="BE53" s="17">
        <f>Table2[[#This Row],[Asset growth E with benefit payments deducted]]/(1+Table2[Compounded CPI])</f>
        <v>43.105777515769788</v>
      </c>
      <c r="BF53" s="19">
        <f>Table2[[#This Row],[Asset growth E with benefit payments deducted]]/(1+Table2[Compounded discount rate E])</f>
        <v>18.880980897051305</v>
      </c>
      <c r="BG53" s="11">
        <f>Table2[[#This Row],[Long-dated forward gilt yields]]+0.75%</f>
        <v>1.9990000000000001E-2</v>
      </c>
      <c r="BH53" s="11">
        <f t="shared" si="14"/>
        <v>1.0963856524553077</v>
      </c>
      <c r="BI53" s="17">
        <f>((Table2[[#This Row],[Annual benefit payments (closed scheme)]])*1.005^(Table2[[#This Row],[Year]]-2018))/((1+BH52)*(1+Table2[[#This Row],[Discount rate F]])^0.5)+BI52</f>
        <v>56.865050739044747</v>
      </c>
      <c r="BJ53" s="17">
        <f>BJ52*(1+Table2[Discount rate F])</f>
        <v>172.62372119256037</v>
      </c>
      <c r="BK53" s="17">
        <f>Table2[[#This Row],[Asset growth F, under the assumption of full-funding at Year 0]]/(1+Table2[[#This Row],[Compounded CPI]])</f>
        <v>90.872624533725769</v>
      </c>
      <c r="BL53" s="17">
        <f>(BL52*((1+Table2[Discount rate F])^0.5)-Table2[Annual benefit payments (closed scheme)]*1.005^(Table2[Year]-2018))*(1+Table2[Discount rate F])^0.5</f>
        <v>53.41264469708387</v>
      </c>
      <c r="BM53" s="17">
        <f>Table2[[#This Row],[Asset growth F with benefit payments deducted]]/(1+Table2[Compounded CPI])</f>
        <v>28.117498414352252</v>
      </c>
      <c r="BN53" s="19">
        <f>Table2[[#This Row],[Asset growth F with benefit payments deducted]]/(1+Table2[Compounded discount rate F])</f>
        <v>25.478444118584026</v>
      </c>
      <c r="BO53" s="18">
        <f>(1+BO52)*(1+Table2[Discount rate A2])-1</f>
        <v>0.39500970333163954</v>
      </c>
      <c r="BP53" s="17">
        <f>Table2[[#This Row],[Annual benefit payments (ongoing scheme)]]/((1+BO52)*(1+Table2[[#This Row],[Discount rate A2]])^0.5)+BP52</f>
        <v>33.506268338791777</v>
      </c>
      <c r="BQ53" s="17">
        <f>(BQ52*((1+Table2[Discount rate A2])^0.5)-Table2[Annual benefit payments (ongoing scheme)])*(1+Table2[Discount rate A2])^0.5</f>
        <v>110.20981885286415</v>
      </c>
      <c r="BR53" s="18">
        <f>(1+BR52)*(1+Table2[Discount rate B])-1</f>
        <v>0.5338867573425532</v>
      </c>
      <c r="BS53" s="17">
        <f>Table2[[#This Row],[Annual benefit payments (ongoing scheme)]]/((1+BR52)*(1+Table2[[#This Row],[Discount rate B]])^0.5)+BS52</f>
        <v>31.993696916588029</v>
      </c>
      <c r="BT53" s="18">
        <f>(1+BT52)*(1+Table2[Discount rate E])-1</f>
        <v>0.69928441760132509</v>
      </c>
      <c r="BU53" s="17">
        <f>Table2[[#This Row],[Annual benefit payments (ongoing scheme)]]/((1+BT52)*(1+Table2[[#This Row],[Discount rate E]])^0.5)+BU52</f>
        <v>30.463348257827029</v>
      </c>
      <c r="BV53" s="18">
        <f>Table2[CPI]+0.75%+0.75%</f>
        <v>2.9699999999999997E-2</v>
      </c>
      <c r="BW53" s="18">
        <f>(1+BW52)*(1+Table2[Self-sufficiency discount rate, from 2037])-1</f>
        <v>0.37099691587729855</v>
      </c>
      <c r="BX53" s="17">
        <f>(Table2[[#This Row],[Annual benefit payments (ongoing scheme)]]*1.005^(Table2[[#This Row],[Year]]-2038))/((1+BW52)*(1+Table2[[#This Row],[Self-sufficiency discount rate, from 2037]])^0.5)+BX52</f>
        <v>34.466549702285967</v>
      </c>
      <c r="BY53" s="17">
        <f>(BY52*((1+Table2[Self-sufficiency discount rate, from 2037])^0.5)-Table2[Annual benefit payments (ongoing scheme)]*1.005^(Table2[Year]-2038))*(1+Table2[Self-sufficiency discount rate, from 2037])^0.5</f>
        <v>128.30333664620588</v>
      </c>
      <c r="BZ53" s="17">
        <f>(BZ52*((1+Table2[Discount rate B])^0.5)-Table2[Annual benefit payments (ongoing scheme)])*(1+Table2[Discount rate B])^0.5</f>
        <v>94.363555809268789</v>
      </c>
      <c r="CA53" s="17">
        <f>(CA52*((1+Table2[Discount rate A2])^0.5)+Table2[Net cashflow (ongoing scheme)])*(1+Table2[Discount rate A2])^0.5</f>
        <v>109.74811910438751</v>
      </c>
      <c r="CB53" s="17">
        <f>Table2[[#This Row],[Asset growth, ongoing scheme, with November de-risking, net of contributions and payments]]/(1+Table2[Compounded discount rate A2])</f>
        <v>44.245512692720318</v>
      </c>
      <c r="CC53" s="17">
        <f>Table2[[#This Row],[Asset growth, ongoing scheme, with November de-risking, net of contributions and payments]]/(1+Table2[Compounded CPI])</f>
        <v>57.773633610474135</v>
      </c>
      <c r="CD53" s="17">
        <f>(CD52*((1+Table2[Discount rate A1])^0.5)+Table2[Net cashflow (ongoing scheme)])*(1+Table2[Discount rate A1])^0.5</f>
        <v>117.75913396623285</v>
      </c>
      <c r="CE53" s="17">
        <f>Table2[[#This Row],[Asset growth, ongoing scheme, with September de-risking, net of contributions and payments]]/(1+Table2[Compounded discount rate A1])</f>
        <v>45.092242595428893</v>
      </c>
      <c r="CF53" s="17">
        <f>Table2[[#This Row],[Asset growth, ongoing scheme, with September de-risking, net of contributions and payments]]/(1+Table2[Compounded CPI])</f>
        <v>61.990794152752741</v>
      </c>
      <c r="CG53" s="17">
        <f>(CG52*((1+Table2[Discount rate B])^0.5)+Table2[Net cashflow (ongoing scheme)])*(1+Table2[Discount rate B])^0.5</f>
        <v>140.43038112561243</v>
      </c>
      <c r="CH53" s="17">
        <f>Table2[[#This Row],[Asset growth, ongoing scheme, no de-risking, net of contributions and payments]]/(1+Table2[Compounded discount rate B])</f>
        <v>46.658309252381891</v>
      </c>
      <c r="CI53" s="17">
        <f>Table2[[#This Row],[Asset growth, ongoing scheme, no de-risking, net of contributions and payments]]/(1+Table2[Compounded CPI])</f>
        <v>73.925398021750937</v>
      </c>
      <c r="CJ53" s="17">
        <f>(CJ52*((1+Table2[Discount rate E])^0.5)+Table2[Net cashflow (ongoing scheme)])*(1+Table2[Discount rate E])^0.5</f>
        <v>219.51589399067151</v>
      </c>
      <c r="CK53" s="17">
        <f>Table2[[#This Row],[Asset growth, ongoing scheme, best-estimates, no de-risking, net of contributions and payments ]]/(1+Table2[Compounded discount rate E])</f>
        <v>50.615978557110388</v>
      </c>
      <c r="CL53" s="17">
        <f>Table2[[#This Row],[Asset growth, ongoing scheme, best-estimates, no de-risking, net of contributions and payments ]]/(1+Table2[Compounded CPI])</f>
        <v>115.5576144228036</v>
      </c>
      <c r="CM53" s="9">
        <v>1.47E-2</v>
      </c>
      <c r="CN53" s="11">
        <f>(1+Table2[[#This Row],[CPI]])*(1+CN52)-1</f>
        <v>0.89962292910880026</v>
      </c>
      <c r="CO53" s="11">
        <f>'Gilt yields'!B35</f>
        <v>1.2489999999999999E-2</v>
      </c>
      <c r="CP53" s="11">
        <f t="shared" si="15"/>
        <v>3.4700000000000002E-2</v>
      </c>
      <c r="CQ53" s="26">
        <f>(1+Table2[[#This Row],[Salary growth]])*(1+CQ52)-1</f>
        <v>2.2363419169112291</v>
      </c>
      <c r="CR53" s="15">
        <f t="shared" si="5"/>
        <v>18.996229291088003</v>
      </c>
      <c r="CS53" s="17">
        <f t="shared" si="6"/>
        <v>24.695098078414407</v>
      </c>
      <c r="CT53" s="17">
        <f>CT52*(1+Table2[[#This Row],[Salary growth]])</f>
        <v>32.363419169112284</v>
      </c>
      <c r="CU53" s="19">
        <f t="shared" si="7"/>
        <v>42.072444919845999</v>
      </c>
      <c r="CV53" s="112">
        <f>('Cash flows as at 31032017'!B38)/1000000000</f>
        <v>3.0812276669999998</v>
      </c>
      <c r="CW53" s="113">
        <v>0</v>
      </c>
      <c r="CX53" s="113">
        <f>Table2[[#This Row],[Annual contributions (closed scheme)]]-Table2[[#This Row],[Annual benefit payments (closed scheme)]]</f>
        <v>-3.0812276669999998</v>
      </c>
      <c r="CY53" s="113">
        <v>4.8600000000000003</v>
      </c>
      <c r="CZ53" s="113">
        <v>0</v>
      </c>
      <c r="DA53" s="113">
        <v>-4.8600000000000003</v>
      </c>
      <c r="DB53" s="17"/>
      <c r="DC53" s="84"/>
      <c r="DD53" s="84"/>
      <c r="DE53" s="84"/>
      <c r="DF53" s="84"/>
      <c r="DG53" s="84"/>
      <c r="DH53" s="84"/>
      <c r="DI53" s="84"/>
      <c r="DJ53" s="84"/>
      <c r="DK53" s="84"/>
      <c r="DL53" s="84"/>
      <c r="DM53" s="84"/>
      <c r="DN53" s="84"/>
      <c r="DO53" s="84"/>
      <c r="DP53" s="84"/>
      <c r="DQ53" s="84"/>
      <c r="DR53" s="84"/>
      <c r="DS53" s="84"/>
      <c r="DT53" s="84"/>
      <c r="DU53" s="84"/>
      <c r="DV53" s="84"/>
      <c r="DW53" s="84"/>
      <c r="DX53" s="84"/>
      <c r="DY53" s="84"/>
      <c r="DZ53" s="84"/>
      <c r="EA53" s="84"/>
      <c r="EB53" s="84"/>
      <c r="EC53" s="84"/>
      <c r="ED53" s="84"/>
      <c r="EE53" s="84"/>
      <c r="EF53" s="84"/>
    </row>
    <row r="54" spans="1:147" x14ac:dyDescent="0.2">
      <c r="A54" s="68">
        <v>2047</v>
      </c>
      <c r="B54" s="69"/>
      <c r="C54" s="69"/>
      <c r="D54" s="69"/>
      <c r="E54" s="70">
        <v>6.0999999999999999E-2</v>
      </c>
      <c r="F54" s="71">
        <f>F53*(1+Table2[[#This Row],[2008 discount rate]])</f>
        <v>339.26697222814585</v>
      </c>
      <c r="G54" s="72">
        <v>6.0999999999999999E-2</v>
      </c>
      <c r="H54" s="71">
        <f>H53*(1+Table2[[#This Row],[2011 discount rate]])</f>
        <v>278.79645919951327</v>
      </c>
      <c r="I54" s="72">
        <v>5.1999999999999998E-2</v>
      </c>
      <c r="J54" s="71">
        <f>J53*(1+Table2[[#This Row],[2014 discount rate]])</f>
        <v>222.14403766769601</v>
      </c>
      <c r="K54" s="73">
        <v>3.0499999999999999E-2</v>
      </c>
      <c r="L54" s="72">
        <f t="shared" si="9"/>
        <v>1.691167716828184</v>
      </c>
      <c r="M54" s="17">
        <f>Table2[[#This Row],[Annual benefit payments (closed scheme)]]/((1+L53)*(1+Table2[[#This Row],[Discount rate A1]])^0.5)+M53</f>
        <v>51.501968247883966</v>
      </c>
      <c r="N54" s="74">
        <f>N53*(1+Table2[Discount rate A1])</f>
        <v>174.71752102250898</v>
      </c>
      <c r="O54" s="74">
        <f>Table2[[#This Row],[Asset growth A1, under the assumption of full-funding at Year 0]]/(1+Table2[[#This Row],[Compounded CPI]])</f>
        <v>90.749721942511925</v>
      </c>
      <c r="P54" s="17">
        <f>(P53*((1+Table2[Discount rate A1])^0.5)-Table2[Annual benefit payments (closed scheme)])*(1+Table2[Discount rate A1])^0.5</f>
        <v>36.117086720693408</v>
      </c>
      <c r="Q54" s="74">
        <f>Table2[[#This Row],[Asset growth A1 with benefit payments deducted]]/(1+Table2[Compounded CPI])</f>
        <v>18.759512830165782</v>
      </c>
      <c r="R54" s="74">
        <f>Table2[[#This Row],[Asset growth A1 with benefit payments deducted]]/(1+Table2[Compounded discount rate A1])</f>
        <v>13.420600468283368</v>
      </c>
      <c r="S54" s="73">
        <v>3.0499999999999999E-2</v>
      </c>
      <c r="T54" s="72">
        <f t="shared" si="8"/>
        <v>1.5560882867943091</v>
      </c>
      <c r="U54" s="17">
        <f>Table2[[#This Row],[Annual benefit payments (closed scheme)]]/((1+T53)*(1+Table2[[#This Row],[Discount rate A2]])^0.5)+U53</f>
        <v>53.381478472850439</v>
      </c>
      <c r="V54" s="74">
        <f>V53*(1+Table2[Discount rate A2])</f>
        <v>172.56485857690902</v>
      </c>
      <c r="W54" s="74">
        <f>Table2[[#This Row],[Asset growth A2, under the assumption of full-funding at Year 0]]/(1+Table2[Compounded CPI])</f>
        <v>89.631611307522348</v>
      </c>
      <c r="X54" s="74">
        <f>(X53*((1+Table2[Discount rate A2])^0.5)-Table2[Annual benefit payments (closed scheme)])*(1+Table2[Discount rate A2])^0.5</f>
        <v>36.117086720693457</v>
      </c>
      <c r="Y54" s="74">
        <f>Table2[[#This Row],[Asset growth A2 with benefit payments deducted]]/(1+Table2[[#This Row],[Compounded CPI]])</f>
        <v>18.759512830165807</v>
      </c>
      <c r="Z54" s="78">
        <f>Table2[[#This Row],[Asset growth A2 with benefit payments deducted]]/(1+Table2[Compounded discount rate A2])</f>
        <v>14.129827560060265</v>
      </c>
      <c r="AA54" s="70">
        <f t="shared" si="16"/>
        <v>4.1499999999999995E-2</v>
      </c>
      <c r="AB54" s="72">
        <f t="shared" si="10"/>
        <v>2.1346665639166709</v>
      </c>
      <c r="AC54" s="17">
        <f>Table2[[#This Row],[Annual benefit payments (closed scheme)]]/((1+AB53)*(1+Table2[[#This Row],[Discount rate B]])^0.5)+AC53</f>
        <v>49.97435960080167</v>
      </c>
      <c r="AD54" s="71">
        <f>AD53*(1+Table2[Discount rate B])</f>
        <v>188.07999383500027</v>
      </c>
      <c r="AE54" s="71">
        <f>Table2[[#This Row],[Asset growth B]]/(1+Table2[Compounded CPI])</f>
        <v>97.690300569664814</v>
      </c>
      <c r="AF54" s="74">
        <f>(AF53*((1+Table2[Discount rate B])^0.5)-Table2[Annual benefit payments (closed scheme)])*(1+Table2[Discount rate B])^0.5</f>
        <v>31.427039741219176</v>
      </c>
      <c r="AG54" s="74">
        <f>Table2[[#This Row],[Asset growth B with benefit payments deducted]]/(1+Table2[Compounded CPI])</f>
        <v>16.323463733350977</v>
      </c>
      <c r="AH54" s="78">
        <f>Table2[[#This Row],[Asset growth B with benefit payments deducted]]/(1+Table2[Compounded discount rate B])</f>
        <v>10.025640399198325</v>
      </c>
      <c r="AI54" s="75">
        <f>Table2[CPI]+2.56%</f>
        <v>3.9100000000000003E-2</v>
      </c>
      <c r="AJ54" s="18">
        <f t="shared" si="11"/>
        <v>2.7238458095869236</v>
      </c>
      <c r="AK54" s="74">
        <f>Table2[[#This Row],[Annual benefit payments (closed scheme)]]/((1+AJ53)*(1+Table2[[#This Row],[Discount rate C]])^0.5)+AK53</f>
        <v>43.371344318099311</v>
      </c>
      <c r="AL54" s="74">
        <f>AL53*(1+Table2[Discount rate C])</f>
        <v>223.43074857521546</v>
      </c>
      <c r="AM54" s="74">
        <f>Table2[[#This Row],[Asset growth C]]/(1+Table2[Compounded CPI])</f>
        <v>116.05177424647577</v>
      </c>
      <c r="AN54" s="74">
        <f>(AN53*((1+Table2[Discount rate C])^0.5)-Table2[Annual benefit payments (closed scheme)])*(1+Table2[Discount rate C])^0.5</f>
        <v>61.922549780109513</v>
      </c>
      <c r="AO54" s="74">
        <f>Table2[[#This Row],[Asset growth C with benefit payments deducted]]/(1+Table2[Compounded CPI])</f>
        <v>32.163083253638504</v>
      </c>
      <c r="AP54" s="19">
        <f>Table2[[#This Row],[Asset growth C with benefit payments deducted]]/(1+Table2[Compounded discount rate C])</f>
        <v>16.628655681900646</v>
      </c>
      <c r="AQ54" s="11">
        <f>Table2[CPI]+2.56%</f>
        <v>3.9100000000000003E-2</v>
      </c>
      <c r="AR54" s="18">
        <f t="shared" si="12"/>
        <v>2.4857696378860745</v>
      </c>
      <c r="AS54" s="17">
        <f>Table2[[#This Row],[Annual benefit payments (closed scheme)]]/((1+AR53)*(1+Table2[[#This Row],[Discount rate D]])^0.5)+AS53</f>
        <v>45.257364984532288</v>
      </c>
      <c r="AT54" s="16">
        <f>AT53*(1+Table2[Discount rate D])</f>
        <v>209.14617827316451</v>
      </c>
      <c r="AU54" s="17">
        <f>Table2[[#This Row],[Asset growth D]]/(1+Table2[Compounded CPI])</f>
        <v>108.63225057539312</v>
      </c>
      <c r="AV54" s="17">
        <f>(AV53*((1+Table2[Discount rate D])^0.5)-Table2[Annual benefit payments (closed scheme)])*(1+Table2[Discount rate D])^0.5</f>
        <v>51.389429519353492</v>
      </c>
      <c r="AW54" s="17">
        <f>Table2[[#This Row],[Asset growth D with benefit payments deducted]]/(1+Table2[Compounded CPI])</f>
        <v>26.692093685697568</v>
      </c>
      <c r="AX54" s="19">
        <f>Table2[[#This Row],[Asset growth D with benefit payments deducted]]/(1+Table2[Compounded discount rate D])</f>
        <v>14.742635015467725</v>
      </c>
      <c r="AY54" s="11">
        <f>Table2[CPI]+4%</f>
        <v>5.3499999999999999E-2</v>
      </c>
      <c r="AZ54" s="18">
        <f t="shared" si="13"/>
        <v>3.5689128396132865</v>
      </c>
      <c r="BA54" s="17">
        <f>Table2[[#This Row],[Annual benefit payments (closed scheme)]]/((1+AZ53)*(1+Table2[[#This Row],[Discount rate E]])^0.5)+BA53</f>
        <v>41.797160197370694</v>
      </c>
      <c r="BB54" s="17">
        <f>BB53*(1+Table2[Discount rate E])</f>
        <v>274.13477037679735</v>
      </c>
      <c r="BC54" s="16">
        <f>Table2[[#This Row],[Asset growth E]]/(1+Table2[Compounded CPI])</f>
        <v>142.38786150854162</v>
      </c>
      <c r="BD54" s="17">
        <f>(BD53*((1+Table2[Discount rate E])^0.5)-Table2[Annual benefit payments (closed scheme)])*(1+Table2[Discount rate E])^0.5</f>
        <v>83.167188491656958</v>
      </c>
      <c r="BE54" s="17">
        <f>Table2[[#This Row],[Asset growth E with benefit payments deducted]]/(1+Table2[Compounded CPI])</f>
        <v>43.197723881315888</v>
      </c>
      <c r="BF54" s="19">
        <f>Table2[[#This Row],[Asset growth E with benefit payments deducted]]/(1+Table2[Compounded discount rate E])</f>
        <v>18.202839802629338</v>
      </c>
      <c r="BG54" s="11">
        <f>Table2[[#This Row],[Long-dated forward gilt yields]]+0.75%</f>
        <v>1.8709999999999997E-2</v>
      </c>
      <c r="BH54" s="75">
        <f t="shared" si="14"/>
        <v>1.1356090280127464</v>
      </c>
      <c r="BI54" s="17">
        <f>((Table2[[#This Row],[Annual benefit payments (closed scheme)]])*1.005^(Table2[[#This Row],[Year]]-2018))/((1+BH53)*(1+Table2[[#This Row],[Discount rate F]])^0.5)+BI53</f>
        <v>58.513725515255445</v>
      </c>
      <c r="BJ54" s="17">
        <f>BJ53*(1+Table2[Discount rate F])</f>
        <v>175.85351101607318</v>
      </c>
      <c r="BK54" s="17">
        <f>Table2[[#This Row],[Asset growth F, under the assumption of full-funding at Year 0]]/(1+Table2[[#This Row],[Compounded CPI]])</f>
        <v>91.339764517761992</v>
      </c>
      <c r="BL54" s="74">
        <f>(BL53*((1+Table2[Discount rate F])^0.5)-Table2[Annual benefit payments (closed scheme)]*1.005^(Table2[Year]-2018))*(1+Table2[Discount rate F])^0.5</f>
        <v>50.891070543033841</v>
      </c>
      <c r="BM54" s="74">
        <f>Table2[[#This Row],[Asset growth F with benefit payments deducted]]/(1+Table2[Compounded CPI])</f>
        <v>26.433241921639304</v>
      </c>
      <c r="BN54" s="78">
        <f>Table2[[#This Row],[Asset growth F with benefit payments deducted]]/(1+Table2[Compounded discount rate F])</f>
        <v>23.829769342373325</v>
      </c>
      <c r="BO54" s="18">
        <f>(1+BO53)*(1+Table2[Discount rate A2])-1</f>
        <v>0.43755749928325449</v>
      </c>
      <c r="BP54" s="74">
        <f>Table2[[#This Row],[Annual benefit payments (ongoing scheme)]]/((1+BO53)*(1+Table2[[#This Row],[Discount rate A2]])^0.5)+BP53</f>
        <v>36.959356230370396</v>
      </c>
      <c r="BQ54" s="74">
        <f>(BQ53*((1+Table2[Discount rate A2])^0.5)-Table2[Annual benefit payments (ongoing scheme)])*(1+Table2[Discount rate A2])^0.5</f>
        <v>108.60720593365343</v>
      </c>
      <c r="BR54" s="18">
        <f>(1+BR53)*(1+Table2[Discount rate B])-1</f>
        <v>0.59754305777226935</v>
      </c>
      <c r="BS54" s="74">
        <f>Table2[[#This Row],[Annual benefit payments (ongoing scheme)]]/((1+BR53)*(1+Table2[[#This Row],[Discount rate B]])^0.5)+BS53</f>
        <v>35.117516361604885</v>
      </c>
      <c r="BT54" s="18">
        <f>(1+BT53)*(1+Table2[Discount rate E])-1</f>
        <v>0.79019613394299615</v>
      </c>
      <c r="BU54" s="74">
        <f>Table2[[#This Row],[Annual benefit payments (ongoing scheme)]]/((1+BT53)*(1+Table2[[#This Row],[Discount rate E]])^0.5)+BU53</f>
        <v>33.267009346381137</v>
      </c>
      <c r="BV54" s="18">
        <f>Table2[CPI]+0.75%+0.75%</f>
        <v>2.8499999999999998E-2</v>
      </c>
      <c r="BW54" s="18">
        <f>(1+BW53)*(1+Table2[Self-sufficiency discount rate, from 2037])-1</f>
        <v>0.41007032797980147</v>
      </c>
      <c r="BX54" s="17">
        <f>(Table2[[#This Row],[Annual benefit payments (ongoing scheme)]]*1.005^(Table2[[#This Row],[Year]]-2038))/((1+BW53)*(1+Table2[[#This Row],[Self-sufficiency discount rate, from 2037]])^0.5)+BX53</f>
        <v>38.14499912548532</v>
      </c>
      <c r="BY54" s="74">
        <f>(BY53*((1+Table2[Self-sufficiency discount rate, from 2037])^0.5)-Table2[Annual benefit payments (ongoing scheme)]*1.005^(Table2[Year]-2038))*(1+Table2[Self-sufficiency discount rate, from 2037])^0.5</f>
        <v>126.77310935599495</v>
      </c>
      <c r="BZ54" s="74">
        <f>(BZ53*((1+Table2[Discount rate B])^0.5)-Table2[Annual benefit payments (ongoing scheme)])*(1+Table2[Discount rate B])^0.5</f>
        <v>93.289207307232758</v>
      </c>
      <c r="CA54" s="74">
        <f>(CA53*((1+Table2[Discount rate A2])^0.5)+Table2[Net cashflow (ongoing scheme)])*(1+Table2[Discount rate A2])^0.5</f>
        <v>108.13142434284828</v>
      </c>
      <c r="CB54" s="74">
        <f>Table2[[#This Row],[Asset growth, ongoing scheme, with November de-risking, net of contributions and payments]]/(1+Table2[Compounded discount rate A2])</f>
        <v>42.303477896868792</v>
      </c>
      <c r="CC54" s="74">
        <f>Table2[[#This Row],[Asset growth, ongoing scheme, with November de-risking, net of contributions and payments]]/(1+Table2[Compounded CPI])</f>
        <v>56.164353952212068</v>
      </c>
      <c r="CD54" s="74">
        <f>(CD53*((1+Table2[Discount rate A1])^0.5)+Table2[Net cashflow (ongoing scheme)])*(1+Table2[Discount rate A1])^0.5</f>
        <v>116.3867751579799</v>
      </c>
      <c r="CE54" s="74">
        <f>Table2[[#This Row],[Asset growth, ongoing scheme, with September de-risking, net of contributions and payments]]/(1+Table2[Compounded discount rate A1])</f>
        <v>43.247685541930323</v>
      </c>
      <c r="CF54" s="74">
        <f>Table2[[#This Row],[Asset growth, ongoing scheme, with September de-risking, net of contributions and payments]]/(1+Table2[Compounded CPI])</f>
        <v>60.452251277143588</v>
      </c>
      <c r="CG54" s="74">
        <f>(CG53*((1+Table2[Discount rate B])^0.5)+Table2[Net cashflow (ongoing scheme)])*(1+Table2[Discount rate B])^0.5</f>
        <v>141.2678058742047</v>
      </c>
      <c r="CH54" s="74">
        <f>Table2[[#This Row],[Asset growth, ongoing scheme, no de-risking, net of contributions and payments]]/(1+Table2[Compounded discount rate B])</f>
        <v>45.06629429118447</v>
      </c>
      <c r="CI54" s="74">
        <f>Table2[[#This Row],[Asset growth, ongoing scheme, no de-risking, net of contributions and payments]]/(1+Table2[Compounded CPI])</f>
        <v>73.375663914446335</v>
      </c>
      <c r="CJ54" s="74">
        <f>(CJ53*((1+Table2[Discount rate E])^0.5)+Table2[Net cashflow (ongoing scheme)])*(1+Table2[Discount rate E])^0.5</f>
        <v>226.24089107755648</v>
      </c>
      <c r="CK54" s="74">
        <f>Table2[[#This Row],[Asset growth, ongoing scheme, best-estimates, no de-risking, net of contributions and payments ]]/(1+Table2[Compounded discount rate E])</f>
        <v>49.51744518214656</v>
      </c>
      <c r="CL54" s="74">
        <f>Table2[[#This Row],[Asset growth, ongoing scheme, best-estimates, no de-risking, net of contributions and payments ]]/(1+Table2[Compounded CPI])</f>
        <v>117.51138544753802</v>
      </c>
      <c r="CM54" s="73">
        <v>1.35E-2</v>
      </c>
      <c r="CN54" s="75">
        <f>(1+Table2[[#This Row],[CPI]])*(1+CN53)-1</f>
        <v>0.9252678386517692</v>
      </c>
      <c r="CO54" s="75">
        <f>'Gilt yields'!B36</f>
        <v>1.1209999999999999E-2</v>
      </c>
      <c r="CP54" s="75">
        <f t="shared" si="15"/>
        <v>3.3500000000000002E-2</v>
      </c>
      <c r="CQ54" s="76">
        <f>(1+Table2[[#This Row],[Salary growth]])*(1+CQ53)-1</f>
        <v>2.3447593711277555</v>
      </c>
      <c r="CR54" s="77">
        <f t="shared" si="5"/>
        <v>19.252678386517694</v>
      </c>
      <c r="CS54" s="74">
        <f t="shared" si="6"/>
        <v>25.028481902473004</v>
      </c>
      <c r="CT54" s="74">
        <f>CT53*(1+Table2[[#This Row],[Salary growth]])</f>
        <v>33.447593711277548</v>
      </c>
      <c r="CU54" s="78">
        <f t="shared" si="7"/>
        <v>43.481871824660843</v>
      </c>
      <c r="CV54" s="116">
        <f>('Cash flows as at 31032017'!B39)/1000000000</f>
        <v>3.0186701899999999</v>
      </c>
      <c r="CW54" s="117">
        <v>0</v>
      </c>
      <c r="CX54" s="117">
        <f>Table2[[#This Row],[Annual contributions (closed scheme)]]-Table2[[#This Row],[Annual benefit payments (closed scheme)]]</f>
        <v>-3.0186701899999999</v>
      </c>
      <c r="CY54" s="117">
        <v>4.8899999999999997</v>
      </c>
      <c r="CZ54" s="117">
        <v>0</v>
      </c>
      <c r="DA54" s="117">
        <v>-4.8899999999999997</v>
      </c>
      <c r="DB54" s="17"/>
      <c r="DC54" s="84"/>
      <c r="DD54" s="84"/>
      <c r="DE54" s="84"/>
      <c r="DF54" s="84"/>
      <c r="DG54" s="84"/>
      <c r="DH54" s="84"/>
      <c r="DI54" s="84"/>
      <c r="DJ54" s="84"/>
      <c r="DK54" s="84"/>
      <c r="DL54" s="84"/>
      <c r="DM54" s="84"/>
      <c r="DN54" s="84"/>
      <c r="DO54" s="84"/>
      <c r="DP54" s="84"/>
      <c r="DQ54" s="84"/>
      <c r="DR54" s="84"/>
      <c r="DS54" s="84"/>
      <c r="DT54" s="84"/>
      <c r="DU54" s="84"/>
      <c r="DV54" s="84"/>
      <c r="DW54" s="84"/>
      <c r="DX54" s="84"/>
      <c r="DY54" s="84"/>
      <c r="DZ54" s="84"/>
      <c r="EA54" s="84"/>
      <c r="EB54" s="84"/>
      <c r="EC54" s="84"/>
      <c r="ED54" s="84"/>
      <c r="EE54" s="84"/>
      <c r="EF54" s="84"/>
      <c r="EG54" s="84"/>
    </row>
    <row r="55" spans="1:147" x14ac:dyDescent="0.2">
      <c r="A55" s="8">
        <v>2048</v>
      </c>
      <c r="B55" s="50"/>
      <c r="C55" s="50"/>
      <c r="D55" s="50"/>
      <c r="E55" s="35">
        <v>6.0999999999999999E-2</v>
      </c>
      <c r="F55" s="16">
        <f>F54*(1+Table2[[#This Row],[2008 discount rate]])</f>
        <v>359.9622575340627</v>
      </c>
      <c r="G55" s="18">
        <v>6.0999999999999999E-2</v>
      </c>
      <c r="H55" s="16">
        <f>H54*(1+Table2[[#This Row],[2011 discount rate]])</f>
        <v>295.80304321068354</v>
      </c>
      <c r="I55" s="18">
        <v>5.1999999999999998E-2</v>
      </c>
      <c r="J55" s="16">
        <f>J54*(1+Table2[[#This Row],[2014 discount rate]])</f>
        <v>233.69552762641621</v>
      </c>
      <c r="K55" s="9">
        <v>2.9600000000000001E-2</v>
      </c>
      <c r="L55" s="18">
        <f t="shared" si="9"/>
        <v>1.7708262812462983</v>
      </c>
      <c r="M55" s="17">
        <f>Table2[[#This Row],[Annual benefit payments (closed scheme)]]/((1+L54)*(1+Table2[[#This Row],[Discount rate A1]])^0.5)+M54</f>
        <v>52.580624838418721</v>
      </c>
      <c r="N55" s="17">
        <f>N54*(1+Table2[Discount rate A1])</f>
        <v>179.88915964477525</v>
      </c>
      <c r="O55" s="17">
        <f>Table2[[#This Row],[Asset growth A1, under the assumption of full-funding at Year 0]]/(1+Table2[[#This Row],[Compounded CPI]])</f>
        <v>92.273270503664122</v>
      </c>
      <c r="P55" s="17">
        <f>(P54*((1+Table2[Discount rate A1])^0.5)-Table2[Annual benefit payments (closed scheme)])*(1+Table2[Discount rate A1])^0.5</f>
        <v>34.197382458132708</v>
      </c>
      <c r="Q55" s="17">
        <f>Table2[[#This Row],[Asset growth A1 with benefit payments deducted]]/(1+Table2[Compounded CPI])</f>
        <v>17.541381194440344</v>
      </c>
      <c r="R55" s="17">
        <f>Table2[[#This Row],[Asset growth A1 with benefit payments deducted]]/(1+Table2[Compounded discount rate A1])</f>
        <v>12.341943877748614</v>
      </c>
      <c r="S55" s="9">
        <v>2.9600000000000001E-2</v>
      </c>
      <c r="T55" s="18">
        <f t="shared" si="8"/>
        <v>1.6317485000834209</v>
      </c>
      <c r="U55" s="17">
        <f>Table2[[#This Row],[Annual benefit payments (closed scheme)]]/((1+T54)*(1+Table2[[#This Row],[Discount rate A2]])^0.5)+U54</f>
        <v>54.517137913484106</v>
      </c>
      <c r="V55" s="17">
        <f>V54*(1+Table2[Discount rate A2])</f>
        <v>177.67277839078554</v>
      </c>
      <c r="W55" s="17">
        <f>Table2[[#This Row],[Asset growth A2, under the assumption of full-funding at Year 0]]/(1+Table2[Compounded CPI])</f>
        <v>91.136388507036358</v>
      </c>
      <c r="X55" s="17">
        <f>(X54*((1+Table2[Discount rate A2])^0.5)-Table2[Annual benefit payments (closed scheme)])*(1+Table2[Discount rate A2])^0.5</f>
        <v>34.197382458132765</v>
      </c>
      <c r="Y55" s="17">
        <f>Table2[[#This Row],[Asset growth A2 with benefit payments deducted]]/(1+Table2[[#This Row],[Compounded CPI]])</f>
        <v>17.541381194440376</v>
      </c>
      <c r="Z55" s="19">
        <f>Table2[[#This Row],[Asset growth A2 with benefit payments deducted]]/(1+Table2[Compounded discount rate A2])</f>
        <v>12.994168119426602</v>
      </c>
      <c r="AA55" s="35">
        <f t="shared" si="16"/>
        <v>4.0599999999999997E-2</v>
      </c>
      <c r="AB55" s="18">
        <f t="shared" si="10"/>
        <v>2.2619340264116876</v>
      </c>
      <c r="AC55" s="17">
        <f>Table2[[#This Row],[Annual benefit payments (closed scheme)]]/((1+AB54)*(1+Table2[[#This Row],[Discount rate B]])^0.5)+AC54</f>
        <v>50.895498176878334</v>
      </c>
      <c r="AD55" s="16">
        <f>AD54*(1+Table2[Discount rate B])</f>
        <v>195.71604158470126</v>
      </c>
      <c r="AE55" s="16">
        <f>Table2[[#This Row],[Asset growth B]]/(1+Table2[Compounded CPI])</f>
        <v>100.3915927047138</v>
      </c>
      <c r="AF55" s="17">
        <f>(AF54*((1+Table2[Discount rate B])^0.5)-Table2[Annual benefit payments (closed scheme)])*(1+Table2[Discount rate B])^0.5</f>
        <v>29.698284290367798</v>
      </c>
      <c r="AG55" s="17">
        <f>Table2[[#This Row],[Asset growth B with benefit payments deducted]]/(1+Table2[Compounded CPI])</f>
        <v>15.233590646769239</v>
      </c>
      <c r="AH55" s="19">
        <f>Table2[[#This Row],[Asset growth B with benefit payments deducted]]/(1+Table2[Compounded discount rate B])</f>
        <v>9.1045018231216641</v>
      </c>
      <c r="AI55" s="11">
        <f>Table2[CPI]+2.56%</f>
        <v>3.8199999999999998E-2</v>
      </c>
      <c r="AJ55" s="18">
        <f t="shared" si="11"/>
        <v>2.8660967195131439</v>
      </c>
      <c r="AK55" s="17">
        <f>Table2[[#This Row],[Annual benefit payments (closed scheme)]]/((1+AJ54)*(1+Table2[[#This Row],[Discount rate C]])^0.5)+AK54</f>
        <v>44.147637961834548</v>
      </c>
      <c r="AL55" s="17">
        <f>AL54*(1+Table2[Discount rate C])</f>
        <v>231.96580317078869</v>
      </c>
      <c r="AM55" s="17">
        <f>Table2[[#This Row],[Asset growth C]]/(1+Table2[Compounded CPI])</f>
        <v>118.98573180198612</v>
      </c>
      <c r="AN55" s="17">
        <f>(AN54*((1+Table2[Discount rate C])^0.5)-Table2[Annual benefit payments (closed scheme)])*(1+Table2[Discount rate C])^0.5</f>
        <v>61.286764872285978</v>
      </c>
      <c r="AO55" s="17">
        <f>Table2[[#This Row],[Asset growth C with benefit payments deducted]]/(1+Table2[Compounded CPI])</f>
        <v>31.436748298352249</v>
      </c>
      <c r="AP55" s="19">
        <f>Table2[[#This Row],[Asset growth C with benefit payments deducted]]/(1+Table2[Compounded discount rate C])</f>
        <v>15.852362038165408</v>
      </c>
      <c r="AQ55" s="11">
        <f>Table2[CPI]+2.56%</f>
        <v>3.8199999999999998E-2</v>
      </c>
      <c r="AR55" s="18">
        <f t="shared" si="12"/>
        <v>2.6189260380533228</v>
      </c>
      <c r="AS55" s="17">
        <f>Table2[[#This Row],[Annual benefit payments (closed scheme)]]/((1+AR54)*(1+Table2[[#This Row],[Discount rate D]])^0.5)+AS54</f>
        <v>46.0866790622077</v>
      </c>
      <c r="AT55" s="16">
        <f>AT54*(1+Table2[Discount rate D])</f>
        <v>217.13556228319939</v>
      </c>
      <c r="AU55" s="17">
        <f>Table2[[#This Row],[Asset growth D]]/(1+Table2[Compounded CPI])</f>
        <v>111.37863178685872</v>
      </c>
      <c r="AV55" s="17">
        <f>(AV54*((1+Table2[Discount rate D])^0.5)-Table2[Annual benefit payments (closed scheme)])*(1+Table2[Discount rate D])^0.5</f>
        <v>50.351279417569081</v>
      </c>
      <c r="AW55" s="17">
        <f>Table2[[#This Row],[Asset growth D with benefit payments deducted]]/(1+Table2[Compounded CPI])</f>
        <v>25.827444161046028</v>
      </c>
      <c r="AX55" s="19">
        <f>Table2[[#This Row],[Asset growth D with benefit payments deducted]]/(1+Table2[Compounded discount rate D])</f>
        <v>13.913320937792314</v>
      </c>
      <c r="AY55" s="11">
        <f>Table2[CPI]+4%</f>
        <v>5.2600000000000001E-2</v>
      </c>
      <c r="AZ55" s="18">
        <f t="shared" si="13"/>
        <v>3.8092376549769451</v>
      </c>
      <c r="BA55" s="17">
        <f>Table2[[#This Row],[Annual benefit payments (closed scheme)]]/((1+AZ54)*(1+Table2[[#This Row],[Discount rate E]])^0.5)+BA54</f>
        <v>42.425527642348698</v>
      </c>
      <c r="BB55" s="17">
        <f>BB54*(1+Table2[Discount rate E])</f>
        <v>288.5542592986169</v>
      </c>
      <c r="BC55" s="16">
        <f>Table2[[#This Row],[Asset growth E]]/(1+Table2[Compounded CPI])</f>
        <v>148.01250545515595</v>
      </c>
      <c r="BD55" s="17">
        <f>(BD54*((1+Table2[Discount rate E])^0.5)-Table2[Annual benefit payments (closed scheme)])*(1+Table2[Discount rate E])^0.5</f>
        <v>84.519814228768254</v>
      </c>
      <c r="BE55" s="17">
        <f>Table2[[#This Row],[Asset growth E with benefit payments deducted]]/(1+Table2[Compounded CPI])</f>
        <v>43.354028095139235</v>
      </c>
      <c r="BF55" s="19">
        <f>Table2[[#This Row],[Asset growth E with benefit payments deducted]]/(1+Table2[Compounded discount rate E])</f>
        <v>17.574472357651334</v>
      </c>
      <c r="BG55" s="11">
        <f>Table2[[#This Row],[Long-dated forward gilt yields]]+0.75%</f>
        <v>1.7610000000000001E-2</v>
      </c>
      <c r="BH55" s="11">
        <f t="shared" si="14"/>
        <v>1.1732171029960505</v>
      </c>
      <c r="BI55" s="17">
        <f>((Table2[[#This Row],[Annual benefit payments (closed scheme)]])*1.005^(Table2[[#This Row],[Year]]-2018))/((1+BH54)*(1+Table2[[#This Row],[Discount rate F]])^0.5)+BI54</f>
        <v>60.101641988539569</v>
      </c>
      <c r="BJ55" s="17">
        <f>BJ54*(1+Table2[Discount rate F])</f>
        <v>178.9502913450662</v>
      </c>
      <c r="BK55" s="17">
        <f>Table2[[#This Row],[Asset growth F, under the assumption of full-funding at Year 0]]/(1+Table2[[#This Row],[Compounded CPI]])</f>
        <v>91.79168257053108</v>
      </c>
      <c r="BL55" s="17">
        <f>(BL54*((1+Table2[Discount rate F])^0.5)-Table2[Annual benefit payments (closed scheme)]*1.005^(Table2[Year]-2018))*(1+Table2[Discount rate F])^0.5</f>
        <v>48.336375057426437</v>
      </c>
      <c r="BM55" s="17">
        <f>Table2[[#This Row],[Asset growth F with benefit payments deducted]]/(1+Table2[Compounded CPI])</f>
        <v>24.79390875830363</v>
      </c>
      <c r="BN55" s="19">
        <f>Table2[[#This Row],[Asset growth F with benefit payments deducted]]/(1+Table2[Compounded discount rate F])</f>
        <v>22.241852869089204</v>
      </c>
      <c r="BO55" s="18">
        <f>(1+BO54)*(1+Table2[Discount rate A2])-1</f>
        <v>0.48010920126203893</v>
      </c>
      <c r="BP55" s="17">
        <f>Table2[[#This Row],[Annual benefit payments (ongoing scheme)]]/((1+BO54)*(1+Table2[[#This Row],[Discount rate A2]])^0.5)+BP54</f>
        <v>40.414539156121037</v>
      </c>
      <c r="BQ55" s="17">
        <f>(BQ54*((1+Table2[Discount rate A2])^0.5)-Table2[Annual benefit payments (ongoing scheme)])*(1+Table2[Discount rate A2])^0.5</f>
        <v>106.70793118884257</v>
      </c>
      <c r="BR55" s="18">
        <f>(1+BR54)*(1+Table2[Discount rate B])-1</f>
        <v>0.66240330591782337</v>
      </c>
      <c r="BS55" s="17">
        <f>Table2[[#This Row],[Annual benefit payments (ongoing scheme)]]/((1+BR54)*(1+Table2[[#This Row],[Discount rate B]])^0.5)+BS54</f>
        <v>38.210203963705311</v>
      </c>
      <c r="BT55" s="18">
        <f>(1+BT54)*(1+Table2[Discount rate E])-1</f>
        <v>0.88436045058839774</v>
      </c>
      <c r="BU55" s="17">
        <f>Table2[[#This Row],[Annual benefit payments (ongoing scheme)]]/((1+BT54)*(1+Table2[[#This Row],[Discount rate E]])^0.5)+BU54</f>
        <v>36.01109863585301</v>
      </c>
      <c r="BV55" s="18">
        <f>Table2[CPI]+0.75%+0.75%</f>
        <v>2.76E-2</v>
      </c>
      <c r="BW55" s="18">
        <f>(1+BW54)*(1+Table2[Self-sufficiency discount rate, from 2037])-1</f>
        <v>0.44898826903204414</v>
      </c>
      <c r="BX55" s="17">
        <f>(Table2[[#This Row],[Annual benefit payments (ongoing scheme)]]*1.005^(Table2[[#This Row],[Year]]-2038))/((1+BW54)*(1+Table2[[#This Row],[Self-sufficiency discount rate, from 2037]])^0.5)+BX54</f>
        <v>41.851280032614461</v>
      </c>
      <c r="BY55" s="17">
        <f>(BY54*((1+Table2[Self-sufficiency discount rate, from 2037])^0.5)-Table2[Annual benefit payments (ongoing scheme)]*1.005^(Table2[Year]-2038))*(1+Table2[Self-sufficiency discount rate, from 2037])^0.5</f>
        <v>124.90168961805286</v>
      </c>
      <c r="BZ55" s="17">
        <f>(BZ54*((1+Table2[Discount rate B])^0.5)-Table2[Annual benefit payments (ongoing scheme)])*(1+Table2[Discount rate B])^0.5</f>
        <v>91.935455030003581</v>
      </c>
      <c r="CA55" s="17">
        <f>(CA54*((1+Table2[Discount rate A2])^0.5)+Table2[Net cashflow (ongoing scheme)])*(1+Table2[Discount rate A2])^0.5</f>
        <v>106.21806646294957</v>
      </c>
      <c r="CB55" s="17">
        <f>Table2[[#This Row],[Asset growth, ongoing scheme, with November de-risking, net of contributions and payments]]/(1+Table2[Compounded discount rate A2])</f>
        <v>40.360264842777596</v>
      </c>
      <c r="CC55" s="17">
        <f>Table2[[#This Row],[Asset growth, ongoing scheme, with November de-risking, net of contributions and payments]]/(1+Table2[Compounded CPI])</f>
        <v>54.484041164381445</v>
      </c>
      <c r="CD55" s="17">
        <f>(CD54*((1+Table2[Discount rate A1])^0.5)+Table2[Net cashflow (ongoing scheme)])*(1+Table2[Discount rate A1])^0.5</f>
        <v>114.71777566220908</v>
      </c>
      <c r="CE55" s="17">
        <f>Table2[[#This Row],[Asset growth, ongoing scheme, with September de-risking, net of contributions and payments]]/(1+Table2[Compounded discount rate A1])</f>
        <v>41.402009371229809</v>
      </c>
      <c r="CF55" s="17">
        <f>Table2[[#This Row],[Asset growth, ongoing scheme, with September de-risking, net of contributions and payments]]/(1+Table2[Compounded CPI])</f>
        <v>58.843925704920153</v>
      </c>
      <c r="CG55" s="17">
        <f>(CG54*((1+Table2[Discount rate B])^0.5)+Table2[Net cashflow (ongoing scheme)])*(1+Table2[Discount rate B])^0.5</f>
        <v>141.8619846987946</v>
      </c>
      <c r="CH55" s="17">
        <f>Table2[[#This Row],[Asset growth, ongoing scheme, no de-risking, net of contributions and payments]]/(1+Table2[Compounded discount rate B])</f>
        <v>43.490145278888683</v>
      </c>
      <c r="CI55" s="17">
        <f>Table2[[#This Row],[Asset growth, ongoing scheme, no de-risking, net of contributions and payments]]/(1+Table2[Compounded CPI])</f>
        <v>72.767415858450406</v>
      </c>
      <c r="CJ55" s="17">
        <f>(CJ54*((1+Table2[Discount rate E])^0.5)+Table2[Net cashflow (ongoing scheme)])*(1+Table2[Discount rate E])^0.5</f>
        <v>232.97030861827199</v>
      </c>
      <c r="CK55" s="17">
        <f>Table2[[#This Row],[Asset growth, ongoing scheme, best-estimates, no de-risking, net of contributions and payments ]]/(1+Table2[Compounded discount rate E])</f>
        <v>48.442253290846949</v>
      </c>
      <c r="CL55" s="17">
        <f>Table2[[#This Row],[Asset growth, ongoing scheme, best-estimates, no de-risking, net of contributions and payments ]]/(1+Table2[Compounded CPI])</f>
        <v>119.50098799119209</v>
      </c>
      <c r="CM55" s="9">
        <v>1.26E-2</v>
      </c>
      <c r="CN55" s="11">
        <f>(1+Table2[[#This Row],[CPI]])*(1+CN54)-1</f>
        <v>0.94952621341878141</v>
      </c>
      <c r="CO55" s="11">
        <f>'Gilt yields'!B37</f>
        <v>1.0109999999999999E-2</v>
      </c>
      <c r="CP55" s="11">
        <f t="shared" si="15"/>
        <v>3.2600000000000004E-2</v>
      </c>
      <c r="CQ55" s="26">
        <f>(1+Table2[[#This Row],[Salary growth]])*(1+CQ54)-1</f>
        <v>2.4537985266265201</v>
      </c>
      <c r="CR55" s="15">
        <f t="shared" si="5"/>
        <v>19.495262134187815</v>
      </c>
      <c r="CS55" s="17">
        <f t="shared" si="6"/>
        <v>25.343840774444164</v>
      </c>
      <c r="CT55" s="17">
        <f>CT54*(1+Table2[[#This Row],[Salary growth]])</f>
        <v>34.537985266265196</v>
      </c>
      <c r="CU55" s="19">
        <f t="shared" si="7"/>
        <v>44.899380846144787</v>
      </c>
      <c r="CV55" s="112">
        <f>('Cash flows as at 31032017'!B40)/1000000000</f>
        <v>2.9454946120000001</v>
      </c>
      <c r="CW55" s="113">
        <v>0</v>
      </c>
      <c r="CX55" s="113">
        <f>Table2[[#This Row],[Annual contributions (closed scheme)]]-Table2[[#This Row],[Annual benefit payments (closed scheme)]]</f>
        <v>-2.9454946120000001</v>
      </c>
      <c r="CY55" s="113">
        <v>5.04</v>
      </c>
      <c r="CZ55" s="113">
        <v>0</v>
      </c>
      <c r="DA55" s="113">
        <v>-5.04</v>
      </c>
      <c r="DB55" s="17"/>
      <c r="DC55" s="84"/>
      <c r="DD55" s="84"/>
      <c r="DE55" s="84"/>
      <c r="DF55" s="84"/>
      <c r="DG55" s="84"/>
      <c r="DH55" s="84"/>
      <c r="DI55" s="84"/>
      <c r="DJ55" s="84"/>
      <c r="DK55" s="84"/>
      <c r="DL55" s="84"/>
      <c r="DM55" s="84"/>
      <c r="DN55" s="84"/>
      <c r="DO55" s="84"/>
      <c r="DP55" s="84"/>
      <c r="DQ55" s="84"/>
      <c r="DR55" s="84"/>
      <c r="DS55" s="84"/>
      <c r="DT55" s="84"/>
      <c r="DU55" s="84"/>
      <c r="DV55" s="84"/>
      <c r="DW55" s="84"/>
      <c r="DX55" s="84"/>
      <c r="DY55" s="84"/>
      <c r="DZ55" s="84"/>
      <c r="EA55" s="84"/>
      <c r="EB55" s="84"/>
      <c r="EC55" s="84"/>
      <c r="ED55" s="84"/>
      <c r="EE55" s="84"/>
      <c r="EF55" s="84"/>
      <c r="EG55" s="84"/>
      <c r="EH55" s="84"/>
    </row>
    <row r="56" spans="1:147" x14ac:dyDescent="0.2">
      <c r="A56" s="8">
        <v>2049</v>
      </c>
      <c r="B56" s="50"/>
      <c r="C56" s="50"/>
      <c r="D56" s="50"/>
      <c r="E56" s="35">
        <v>6.0999999999999999E-2</v>
      </c>
      <c r="F56" s="16">
        <f>F55*(1+Table2[[#This Row],[2008 discount rate]])</f>
        <v>381.91995524364052</v>
      </c>
      <c r="G56" s="18">
        <v>6.0999999999999999E-2</v>
      </c>
      <c r="H56" s="16">
        <f>H55*(1+Table2[[#This Row],[2011 discount rate]])</f>
        <v>313.84702884653524</v>
      </c>
      <c r="I56" s="18">
        <v>5.1999999999999998E-2</v>
      </c>
      <c r="J56" s="16">
        <f>J55*(1+Table2[[#This Row],[2014 discount rate]])</f>
        <v>245.84769506298986</v>
      </c>
      <c r="K56" s="9">
        <v>2.9000000000000001E-2</v>
      </c>
      <c r="L56" s="18">
        <f t="shared" si="9"/>
        <v>1.8511802434024407</v>
      </c>
      <c r="M56" s="17">
        <f>Table2[[#This Row],[Annual benefit payments (closed scheme)]]/((1+L55)*(1+Table2[[#This Row],[Discount rate A1]])^0.5)+M55</f>
        <v>53.598953160053881</v>
      </c>
      <c r="N56" s="17">
        <f>N55*(1+Table2[Discount rate A1])</f>
        <v>185.10594527447373</v>
      </c>
      <c r="O56" s="17">
        <f>Table2[[#This Row],[Asset growth A1, under the assumption of full-funding at Year 0]]/(1+Table2[[#This Row],[Compounded CPI]])</f>
        <v>93.823315561531999</v>
      </c>
      <c r="P56" s="17">
        <f>(P55*((1+Table2[Discount rate A1])^0.5)-Table2[Annual benefit payments (closed scheme)])*(1+Table2[Discount rate A1])^0.5</f>
        <v>32.285668957475217</v>
      </c>
      <c r="Q56" s="17">
        <f>Table2[[#This Row],[Asset growth A1 with benefit payments deducted]]/(1+Table2[Compounded CPI])</f>
        <v>16.364404191452394</v>
      </c>
      <c r="R56" s="17">
        <f>Table2[[#This Row],[Asset growth A1 with benefit payments deducted]]/(1+Table2[Compounded discount rate A1])</f>
        <v>11.323615556113452</v>
      </c>
      <c r="S56" s="9">
        <v>2.9000000000000001E-2</v>
      </c>
      <c r="T56" s="18">
        <f t="shared" si="8"/>
        <v>1.70806920658584</v>
      </c>
      <c r="U56" s="17">
        <f>Table2[[#This Row],[Annual benefit payments (closed scheme)]]/((1+T55)*(1+Table2[[#This Row],[Discount rate A2]])^0.5)+U55</f>
        <v>55.58928096835227</v>
      </c>
      <c r="V56" s="17">
        <f>V55*(1+Table2[Discount rate A2])</f>
        <v>182.8252889641183</v>
      </c>
      <c r="W56" s="17">
        <f>Table2[[#This Row],[Asset growth A2, under the assumption of full-funding at Year 0]]/(1+Table2[Compounded CPI])</f>
        <v>92.66733574480277</v>
      </c>
      <c r="X56" s="17">
        <f>(X55*((1+Table2[Discount rate A2])^0.5)-Table2[Annual benefit payments (closed scheme)])*(1+Table2[Discount rate A2])^0.5</f>
        <v>32.285668957475274</v>
      </c>
      <c r="Y56" s="17">
        <f>Table2[[#This Row],[Asset growth A2 with benefit payments deducted]]/(1+Table2[[#This Row],[Compounded CPI]])</f>
        <v>16.364404191452422</v>
      </c>
      <c r="Z56" s="19">
        <f>Table2[[#This Row],[Asset growth A2 with benefit payments deducted]]/(1+Table2[Compounded discount rate A2])</f>
        <v>11.92202506455844</v>
      </c>
      <c r="AA56" s="35">
        <f t="shared" si="16"/>
        <v>3.9999999999999994E-2</v>
      </c>
      <c r="AB56" s="18">
        <f t="shared" si="10"/>
        <v>2.3924113874681554</v>
      </c>
      <c r="AC56" s="17">
        <f>Table2[[#This Row],[Annual benefit payments (closed scheme)]]/((1+AB55)*(1+Table2[[#This Row],[Discount rate B]])^0.5)+AC55</f>
        <v>51.755923067751127</v>
      </c>
      <c r="AD56" s="16">
        <f>AD55*(1+Table2[Discount rate B])</f>
        <v>203.54468324808931</v>
      </c>
      <c r="AE56" s="16">
        <f>Table2[[#This Row],[Asset growth B]]/(1+Table2[Compounded CPI])</f>
        <v>103.16922570444898</v>
      </c>
      <c r="AF56" s="17">
        <f>(AF55*((1+Table2[Discount rate B])^0.5)-Table2[Annual benefit payments (closed scheme)])*(1+Table2[Discount rate B])^0.5</f>
        <v>27.967300464124612</v>
      </c>
      <c r="AG56" s="17">
        <f>Table2[[#This Row],[Asset growth B with benefit payments deducted]]/(1+Table2[Compounded CPI])</f>
        <v>14.17558389580042</v>
      </c>
      <c r="AH56" s="19">
        <f>Table2[[#This Row],[Asset growth B with benefit payments deducted]]/(1+Table2[Compounded discount rate B])</f>
        <v>8.2440769322488734</v>
      </c>
      <c r="AI56" s="11">
        <f>Table2[CPI]+2.56%</f>
        <v>3.7600000000000001E-2</v>
      </c>
      <c r="AJ56" s="18">
        <f t="shared" si="11"/>
        <v>3.0114619561668388</v>
      </c>
      <c r="AK56" s="17">
        <f>Table2[[#This Row],[Annual benefit payments (closed scheme)]]/((1+AJ55)*(1+Table2[[#This Row],[Discount rate C]])^0.5)+AK55</f>
        <v>44.874441632249841</v>
      </c>
      <c r="AL56" s="17">
        <f>AL55*(1+Table2[Discount rate C])</f>
        <v>240.68771737001038</v>
      </c>
      <c r="AM56" s="17">
        <f>Table2[[#This Row],[Asset growth C]]/(1+Table2[Compounded CPI])</f>
        <v>121.99564754717473</v>
      </c>
      <c r="AN56" s="17">
        <f>(AN55*((1+Table2[Discount rate C])^0.5)-Table2[Annual benefit payments (closed scheme)])*(1+Table2[Discount rate C])^0.5</f>
        <v>60.675601958010581</v>
      </c>
      <c r="AO56" s="17">
        <f>Table2[[#This Row],[Asset growth C with benefit payments deducted]]/(1+Table2[Compounded CPI])</f>
        <v>30.754204793104371</v>
      </c>
      <c r="AP56" s="19">
        <f>Table2[[#This Row],[Asset growth C with benefit payments deducted]]/(1+Table2[Compounded discount rate C])</f>
        <v>15.125558367750116</v>
      </c>
      <c r="AQ56" s="11">
        <f>Table2[CPI]+2.56%</f>
        <v>3.7600000000000001E-2</v>
      </c>
      <c r="AR56" s="18">
        <f t="shared" si="12"/>
        <v>2.7549976570841279</v>
      </c>
      <c r="AS56" s="17">
        <f>Table2[[#This Row],[Annual benefit payments (closed scheme)]]/((1+AR55)*(1+Table2[[#This Row],[Discount rate D]])^0.5)+AS55</f>
        <v>46.863123028283937</v>
      </c>
      <c r="AT56" s="16">
        <f>AT55*(1+Table2[Discount rate D])</f>
        <v>225.29985942504771</v>
      </c>
      <c r="AU56" s="17">
        <f>Table2[[#This Row],[Asset growth D]]/(1+Table2[Compounded CPI])</f>
        <v>114.19611496249468</v>
      </c>
      <c r="AV56" s="17">
        <f>(AV55*((1+Table2[Discount rate D])^0.5)-Table2[Annual benefit payments (closed scheme)])*(1+Table2[Discount rate D])^0.5</f>
        <v>49.32894225019632</v>
      </c>
      <c r="AW56" s="17">
        <f>Table2[[#This Row],[Asset growth D with benefit payments deducted]]/(1+Table2[Compounded CPI])</f>
        <v>25.003005215170639</v>
      </c>
      <c r="AX56" s="19">
        <f>Table2[[#This Row],[Asset growth D with benefit payments deducted]]/(1+Table2[Compounded discount rate D])</f>
        <v>13.136876971716081</v>
      </c>
      <c r="AY56" s="11">
        <f>Table2[CPI]+4%</f>
        <v>5.2000000000000005E-2</v>
      </c>
      <c r="AZ56" s="18">
        <f t="shared" si="13"/>
        <v>4.0593180130357469</v>
      </c>
      <c r="BA56" s="17">
        <f>Table2[[#This Row],[Annual benefit payments (closed scheme)]]/((1+AZ55)*(1+Table2[[#This Row],[Discount rate E]])^0.5)+BA55</f>
        <v>43.005785057931135</v>
      </c>
      <c r="BB56" s="17">
        <f>BB55*(1+Table2[Discount rate E])</f>
        <v>303.55908078214497</v>
      </c>
      <c r="BC56" s="16">
        <f>Table2[[#This Row],[Asset growth E]]/(1+Table2[Compounded CPI])</f>
        <v>153.86280211346249</v>
      </c>
      <c r="BD56" s="17">
        <f>(BD55*((1+Table2[Discount rate E])^0.5)-Table2[Annual benefit payments (closed scheme)])*(1+Table2[Discount rate E])^0.5</f>
        <v>85.979137773810422</v>
      </c>
      <c r="BE56" s="17">
        <f>Table2[[#This Row],[Asset growth E with benefit payments deducted]]/(1+Table2[Compounded CPI])</f>
        <v>43.579625511753221</v>
      </c>
      <c r="BF56" s="19">
        <f>Table2[[#This Row],[Asset growth E with benefit payments deducted]]/(1+Table2[Compounded discount rate E])</f>
        <v>16.994214942068897</v>
      </c>
      <c r="BG56" s="11">
        <f>Table2[[#This Row],[Long-dated forward gilt yields]]+0.75%</f>
        <v>1.6730000000000002E-2</v>
      </c>
      <c r="BH56" s="11">
        <f t="shared" si="14"/>
        <v>1.2095750251291744</v>
      </c>
      <c r="BI56" s="17">
        <f>((Table2[[#This Row],[Annual benefit payments (closed scheme)]])*1.005^(Table2[[#This Row],[Year]]-2018))/((1+BH55)*(1+Table2[[#This Row],[Discount rate F]])^0.5)+BI55</f>
        <v>61.626209951228347</v>
      </c>
      <c r="BJ56" s="17">
        <f>BJ55*(1+Table2[Discount rate F])</f>
        <v>181.94412971926914</v>
      </c>
      <c r="BK56" s="17">
        <f>Table2[[#This Row],[Asset growth F, under the assumption of full-funding at Year 0]]/(1+Table2[[#This Row],[Compounded CPI]])</f>
        <v>92.220708912980285</v>
      </c>
      <c r="BL56" s="17">
        <f>(BL55*((1+Table2[Discount rate F])^0.5)-Table2[Annual benefit payments (closed scheme)]*1.005^(Table2[Year]-2018))*(1+Table2[Discount rate F])^0.5</f>
        <v>45.776395317667983</v>
      </c>
      <c r="BM56" s="17">
        <f>Table2[[#This Row],[Asset growth F with benefit payments deducted]]/(1+Table2[Compounded CPI])</f>
        <v>23.20235137121373</v>
      </c>
      <c r="BN56" s="19">
        <f>Table2[[#This Row],[Asset growth F with benefit payments deducted]]/(1+Table2[Compounded discount rate F])</f>
        <v>20.717284906400426</v>
      </c>
      <c r="BO56" s="18">
        <f>(1+BO55)*(1+Table2[Discount rate A2])-1</f>
        <v>0.52303236809863796</v>
      </c>
      <c r="BP56" s="17">
        <f>Table2[[#This Row],[Annual benefit payments (ongoing scheme)]]/((1+BO55)*(1+Table2[[#This Row],[Discount rate A2]])^0.5)+BP55</f>
        <v>43.758046421805865</v>
      </c>
      <c r="BQ56" s="17">
        <f>(BQ55*((1+Table2[Discount rate A2])^0.5)-Table2[Annual benefit payments (ongoing scheme)])*(1+Table2[Discount rate A2])^0.5</f>
        <v>104.71019140470804</v>
      </c>
      <c r="BR56" s="18">
        <f>(1+BR55)*(1+Table2[Discount rate B])-1</f>
        <v>0.72889943815453639</v>
      </c>
      <c r="BS56" s="17">
        <f>Table2[[#This Row],[Annual benefit payments (ongoing scheme)]]/((1+BR55)*(1+Table2[[#This Row],[Discount rate B]])^0.5)+BS55</f>
        <v>41.171287459175545</v>
      </c>
      <c r="BT56" s="18">
        <f>(1+BT55)*(1+Table2[Discount rate E])-1</f>
        <v>0.98234719401899451</v>
      </c>
      <c r="BU56" s="17">
        <f>Table2[[#This Row],[Annual benefit payments (ongoing scheme)]]/((1+BT55)*(1+Table2[[#This Row],[Discount rate E]])^0.5)+BU55</f>
        <v>38.608456953188124</v>
      </c>
      <c r="BV56" s="18">
        <f>Table2[CPI]+0.75%+0.75%</f>
        <v>2.7E-2</v>
      </c>
      <c r="BW56" s="18">
        <f>(1+BW55)*(1+Table2[Self-sufficiency discount rate, from 2037])-1</f>
        <v>0.48811095229590928</v>
      </c>
      <c r="BX56" s="17">
        <f>(Table2[[#This Row],[Annual benefit payments (ongoing scheme)]]*1.005^(Table2[[#This Row],[Year]]-2038))/((1+BW55)*(1+Table2[[#This Row],[Self-sufficiency discount rate, from 2037]])^0.5)+BX55</f>
        <v>45.4627192116508</v>
      </c>
      <c r="BY56" s="17">
        <f>(BY55*((1+Table2[Self-sufficiency discount rate, from 2037])^0.5)-Table2[Annual benefit payments (ongoing scheme)]*1.005^(Table2[Year]-2038))*(1+Table2[Self-sufficiency discount rate, from 2037])^0.5</f>
        <v>122.89981304186574</v>
      </c>
      <c r="BZ56" s="17">
        <f>(BZ55*((1+Table2[Discount rate B])^0.5)-Table2[Annual benefit payments (ongoing scheme)])*(1+Table2[Discount rate B])^0.5</f>
        <v>90.493457639556595</v>
      </c>
      <c r="CA56" s="17">
        <f>(CA55*((1+Table2[Discount rate A2])^0.5)+Table2[Net cashflow (ongoing scheme)])*(1+Table2[Discount rate A2])^0.5</f>
        <v>104.20612060176414</v>
      </c>
      <c r="CB56" s="17">
        <f>Table2[[#This Row],[Asset growth, ongoing scheme, with November de-risking, net of contributions and payments]]/(1+Table2[Compounded discount rate A2])</f>
        <v>38.479858767398539</v>
      </c>
      <c r="CC56" s="17">
        <f>Table2[[#This Row],[Asset growth, ongoing scheme, with November de-risking, net of contributions and payments]]/(1+Table2[Compounded CPI])</f>
        <v>52.818204851093078</v>
      </c>
      <c r="CD56" s="17">
        <f>(CD55*((1+Table2[Discount rate A1])^0.5)+Table2[Net cashflow (ongoing scheme)])*(1+Table2[Discount rate A1])^0.5</f>
        <v>112.95232136780218</v>
      </c>
      <c r="CE56" s="17">
        <f>Table2[[#This Row],[Asset growth, ongoing scheme, with September de-risking, net of contributions and payments]]/(1+Table2[Compounded discount rate A1])</f>
        <v>39.61598767007839</v>
      </c>
      <c r="CF56" s="17">
        <f>Table2[[#This Row],[Asset growth, ongoing scheme, with September de-risking, net of contributions and payments]]/(1+Table2[Compounded CPI])</f>
        <v>57.251328558814748</v>
      </c>
      <c r="CG56" s="17">
        <f>(CG55*((1+Table2[Discount rate B])^0.5)+Table2[Net cashflow (ongoing scheme)])*(1+Table2[Discount rate B])^0.5</f>
        <v>142.41704849509924</v>
      </c>
      <c r="CH56" s="17">
        <f>Table2[[#This Row],[Asset growth, ongoing scheme, no de-risking, net of contributions and payments]]/(1+Table2[Compounded discount rate B])</f>
        <v>41.981066630420898</v>
      </c>
      <c r="CI56" s="17">
        <f>Table2[[#This Row],[Asset growth, ongoing scheme, no de-risking, net of contributions and payments]]/(1+Table2[Compounded CPI])</f>
        <v>72.185902308456747</v>
      </c>
      <c r="CJ56" s="17">
        <f>(CJ55*((1+Table2[Discount rate E])^0.5)+Table2[Net cashflow (ongoing scheme)])*(1+Table2[Discount rate E])^0.5</f>
        <v>239.93589869419094</v>
      </c>
      <c r="CK56" s="17">
        <f>Table2[[#This Row],[Asset growth, ongoing scheme, best-estimates, no de-risking, net of contributions and payments ]]/(1+Table2[Compounded discount rate E])</f>
        <v>47.424553680155398</v>
      </c>
      <c r="CL56" s="17">
        <f>Table2[[#This Row],[Asset growth, ongoing scheme, best-estimates, no de-risking, net of contributions and payments ]]/(1+Table2[Compounded CPI])</f>
        <v>121.61457863681711</v>
      </c>
      <c r="CM56" s="9">
        <v>1.2E-2</v>
      </c>
      <c r="CN56" s="11">
        <f>(1+Table2[[#This Row],[CPI]])*(1+CN55)-1</f>
        <v>0.97292052797980677</v>
      </c>
      <c r="CO56" s="11">
        <f>'Gilt yields'!B38</f>
        <v>9.2300000000000004E-3</v>
      </c>
      <c r="CP56" s="11">
        <f t="shared" si="15"/>
        <v>3.2000000000000001E-2</v>
      </c>
      <c r="CQ56" s="26">
        <f>(1+Table2[[#This Row],[Salary growth]])*(1+CQ55)-1</f>
        <v>2.564320079478569</v>
      </c>
      <c r="CR56" s="15">
        <f t="shared" si="5"/>
        <v>19.729205279798069</v>
      </c>
      <c r="CS56" s="17">
        <f t="shared" si="6"/>
        <v>25.647966863737494</v>
      </c>
      <c r="CT56" s="17">
        <f>CT55*(1+Table2[[#This Row],[Salary growth]])</f>
        <v>35.643200794785685</v>
      </c>
      <c r="CU56" s="19">
        <f t="shared" si="7"/>
        <v>46.336161033221423</v>
      </c>
      <c r="CV56" s="112">
        <f>('Cash flows as at 31032017'!B41)/1000000000</f>
        <v>2.8622318369999999</v>
      </c>
      <c r="CW56" s="113">
        <v>0</v>
      </c>
      <c r="CX56" s="113">
        <f>Table2[[#This Row],[Annual contributions (closed scheme)]]-Table2[[#This Row],[Annual benefit payments (closed scheme)]]</f>
        <v>-2.8622318369999999</v>
      </c>
      <c r="CY56" s="113">
        <v>5.0199999999999996</v>
      </c>
      <c r="CZ56" s="113">
        <v>0</v>
      </c>
      <c r="DA56" s="113">
        <v>-5.0199999999999996</v>
      </c>
      <c r="DB56" s="17"/>
      <c r="DC56" s="84"/>
      <c r="DD56" s="84"/>
      <c r="DE56" s="84"/>
      <c r="DF56" s="84"/>
      <c r="DG56" s="84"/>
      <c r="DH56" s="84"/>
      <c r="DI56" s="84"/>
      <c r="DJ56" s="84"/>
      <c r="DK56" s="84"/>
      <c r="DL56" s="84"/>
      <c r="DM56" s="84"/>
      <c r="DN56" s="84"/>
      <c r="DO56" s="84"/>
      <c r="DP56" s="84"/>
      <c r="DQ56" s="84"/>
      <c r="DR56" s="84"/>
      <c r="DS56" s="84"/>
      <c r="DT56" s="84"/>
      <c r="DU56" s="84"/>
      <c r="DV56" s="84"/>
      <c r="DW56" s="84"/>
      <c r="DX56" s="84"/>
      <c r="DY56" s="84"/>
      <c r="DZ56" s="84"/>
      <c r="EA56" s="84"/>
      <c r="EB56" s="84"/>
      <c r="EC56" s="84"/>
      <c r="ED56" s="84"/>
      <c r="EE56" s="84"/>
      <c r="EF56" s="84"/>
      <c r="EG56" s="84"/>
      <c r="EH56" s="84"/>
      <c r="EI56" s="84"/>
    </row>
    <row r="57" spans="1:147" s="40" customFormat="1" x14ac:dyDescent="0.2">
      <c r="A57" s="53">
        <v>2050</v>
      </c>
      <c r="B57" s="54"/>
      <c r="C57" s="54"/>
      <c r="D57" s="54"/>
      <c r="E57" s="55">
        <v>6.0999999999999999E-2</v>
      </c>
      <c r="F57" s="56">
        <f>F56*(1+Table2[[#This Row],[2008 discount rate]])</f>
        <v>405.21707251350256</v>
      </c>
      <c r="G57" s="57">
        <v>6.0999999999999999E-2</v>
      </c>
      <c r="H57" s="56">
        <f>H56*(1+Table2[[#This Row],[2011 discount rate]])</f>
        <v>332.99169760617389</v>
      </c>
      <c r="I57" s="57">
        <v>5.1999999999999998E-2</v>
      </c>
      <c r="J57" s="56">
        <f>J56*(1+Table2[[#This Row],[2014 discount rate]])</f>
        <v>258.63177520626533</v>
      </c>
      <c r="K57" s="58">
        <v>2.86E-2</v>
      </c>
      <c r="L57" s="57">
        <f t="shared" si="9"/>
        <v>1.9327239983637505</v>
      </c>
      <c r="M57" s="17">
        <f>Table2[[#This Row],[Annual benefit payments (closed scheme)]]/((1+L56)*(1+Table2[[#This Row],[Discount rate A1]])^0.5)+M56</f>
        <v>54.557996485954824</v>
      </c>
      <c r="N57" s="59">
        <f>N56*(1+Table2[Discount rate A1])</f>
        <v>190.39997530932368</v>
      </c>
      <c r="O57" s="59">
        <f>Table2[[#This Row],[Asset growth A1, under the assumption of full-funding at Year 0]]/(1+Table2[[#This Row],[Compounded CPI]])</f>
        <v>95.400022129885144</v>
      </c>
      <c r="P57" s="17">
        <f>(P56*((1+Table2[Discount rate A1])^0.5)-Table2[Annual benefit payments (closed scheme)])*(1+Table2[Discount rate A1])^0.5</f>
        <v>30.396429712318721</v>
      </c>
      <c r="Q57" s="17">
        <f>Table2[[#This Row],[Asset growth A1 with benefit payments deducted]]/(1+Table2[Compounded CPI])</f>
        <v>15.230149386908577</v>
      </c>
      <c r="R57" s="17">
        <f>Table2[[#This Row],[Asset growth A1 with benefit payments deducted]]/(1+Table2[Compounded discount rate A1])</f>
        <v>10.364572230212508</v>
      </c>
      <c r="S57" s="58">
        <v>2.86E-2</v>
      </c>
      <c r="T57" s="57">
        <f t="shared" si="8"/>
        <v>1.785519985894195</v>
      </c>
      <c r="U57" s="17">
        <f>Table2[[#This Row],[Annual benefit payments (closed scheme)]]/((1+T56)*(1+Table2[[#This Row],[Discount rate A2]])^0.5)+U56</f>
        <v>56.599006043592539</v>
      </c>
      <c r="V57" s="59">
        <f>V56*(1+Table2[Discount rate A2])</f>
        <v>188.05409222849207</v>
      </c>
      <c r="W57" s="59">
        <f>Table2[[#This Row],[Asset growth A2, under the assumption of full-funding at Year 0]]/(1+Table2[Compounded CPI])</f>
        <v>94.224616001486865</v>
      </c>
      <c r="X57" s="17">
        <f>(X56*((1+Table2[Discount rate A2])^0.5)-Table2[Annual benefit payments (closed scheme)])*(1+Table2[Discount rate A2])^0.5</f>
        <v>30.396429712318781</v>
      </c>
      <c r="Y57" s="17">
        <f>Table2[[#This Row],[Asset growth A2 with benefit payments deducted]]/(1+Table2[[#This Row],[Compounded CPI]])</f>
        <v>15.230149386908607</v>
      </c>
      <c r="Z57" s="19">
        <f>Table2[[#This Row],[Asset growth A2 with benefit payments deducted]]/(1+Table2[Compounded discount rate A2])</f>
        <v>10.912299989318173</v>
      </c>
      <c r="AA57" s="55">
        <f t="shared" si="16"/>
        <v>3.9599999999999996E-2</v>
      </c>
      <c r="AB57" s="57">
        <f t="shared" si="10"/>
        <v>2.5267508784118946</v>
      </c>
      <c r="AC57" s="17">
        <f>Table2[[#This Row],[Annual benefit payments (closed scheme)]]/((1+AB56)*(1+Table2[[#This Row],[Discount rate B]])^0.5)+AC56</f>
        <v>52.55768330261526</v>
      </c>
      <c r="AD57" s="56">
        <f>AD56*(1+Table2[Discount rate B])</f>
        <v>211.60505270471367</v>
      </c>
      <c r="AE57" s="59">
        <f>Table2[[#This Row],[Asset growth B]]/(1+Table2[Compounded CPI])</f>
        <v>106.02483891097782</v>
      </c>
      <c r="AF57" s="17">
        <f>(AF56*((1+Table2[Discount rate B])^0.5)-Table2[Annual benefit payments (closed scheme)])*(1+Table2[Discount rate B])^0.5</f>
        <v>26.247196949921129</v>
      </c>
      <c r="AG57" s="17">
        <f>Table2[[#This Row],[Asset growth B with benefit payments deducted]]/(1+Table2[Compounded CPI])</f>
        <v>13.151173816078286</v>
      </c>
      <c r="AH57" s="19">
        <f>Table2[[#This Row],[Asset growth B with benefit payments deducted]]/(1+Table2[Compounded discount rate B])</f>
        <v>7.4423166973847366</v>
      </c>
      <c r="AI57" s="11">
        <f>Table2[CPI]+2.56%</f>
        <v>3.7199999999999997E-2</v>
      </c>
      <c r="AJ57" s="18">
        <f t="shared" si="11"/>
        <v>3.160688340936245</v>
      </c>
      <c r="AK57" s="17">
        <f>Table2[[#This Row],[Annual benefit payments (closed scheme)]]/((1+AJ56)*(1+Table2[[#This Row],[Discount rate C]])^0.5)+AK56</f>
        <v>45.553257879605738</v>
      </c>
      <c r="AL57" s="17">
        <f>AL56*(1+Table2[Discount rate C])</f>
        <v>249.64130045617475</v>
      </c>
      <c r="AM57" s="17">
        <f>Table2[[#This Row],[Asset growth C]]/(1+Table2[Compounded CPI])</f>
        <v>125.0829237207687</v>
      </c>
      <c r="AN57" s="17">
        <f>(AN56*((1+Table2[Discount rate C])^0.5)-Table2[Annual benefit payments (closed scheme)])*(1+Table2[Discount rate C])^0.5</f>
        <v>60.108391504836788</v>
      </c>
      <c r="AO57" s="17">
        <f>Table2[[#This Row],[Asset growth C with benefit payments deducted]]/(1+Table2[Compounded CPI])</f>
        <v>30.117345710981432</v>
      </c>
      <c r="AP57" s="19">
        <f>Table2[[#This Row],[Asset growth C with benefit payments deducted]]/(1+Table2[Compounded discount rate C])</f>
        <v>14.446742120394218</v>
      </c>
      <c r="AQ57" s="11">
        <f>Table2[CPI]+2.56%</f>
        <v>3.7199999999999997E-2</v>
      </c>
      <c r="AR57" s="18">
        <f t="shared" si="12"/>
        <v>2.8946835699276572</v>
      </c>
      <c r="AS57" s="17">
        <f>Table2[[#This Row],[Annual benefit payments (closed scheme)]]/((1+AR56)*(1+Table2[[#This Row],[Discount rate D]])^0.5)+AS56</f>
        <v>47.58830205638769</v>
      </c>
      <c r="AT57" s="16">
        <f>AT56*(1+Table2[Discount rate D])</f>
        <v>233.68101419565946</v>
      </c>
      <c r="AU57" s="17">
        <f>Table2[[#This Row],[Asset growth D]]/(1+Table2[Compounded CPI])</f>
        <v>117.08601269187373</v>
      </c>
      <c r="AV57" s="17">
        <f>(AV56*((1+Table2[Discount rate D])^0.5)-Table2[Annual benefit payments (closed scheme)])*(1+Table2[Discount rate D])^0.5</f>
        <v>48.339636055891837</v>
      </c>
      <c r="AW57" s="17">
        <f>Table2[[#This Row],[Asset growth D with benefit payments deducted]]/(1+Table2[Compounded CPI])</f>
        <v>24.220603715891606</v>
      </c>
      <c r="AX57" s="19">
        <f>Table2[[#This Row],[Asset growth D with benefit payments deducted]]/(1+Table2[Compounded discount rate D])</f>
        <v>12.411697943612332</v>
      </c>
      <c r="AY57" s="11">
        <f>Table2[CPI]+4%</f>
        <v>5.16E-2</v>
      </c>
      <c r="AZ57" s="18">
        <f t="shared" si="13"/>
        <v>4.3203788225083919</v>
      </c>
      <c r="BA57" s="17">
        <f>Table2[[#This Row],[Annual benefit payments (closed scheme)]]/((1+AZ56)*(1+Table2[[#This Row],[Discount rate E]])^0.5)+BA56</f>
        <v>43.540311129720067</v>
      </c>
      <c r="BB57" s="17">
        <f>BB56*(1+Table2[Discount rate E])</f>
        <v>319.2227293505037</v>
      </c>
      <c r="BC57" s="16">
        <f>Table2[[#This Row],[Asset growth E]]/(1+Table2[Compounded CPI])</f>
        <v>159.94674051257135</v>
      </c>
      <c r="BD57" s="17">
        <f>(BD56*((1+Table2[Discount rate E])^0.5)-Table2[Annual benefit payments (closed scheme)])*(1+Table2[Discount rate E])^0.5</f>
        <v>87.571780090514622</v>
      </c>
      <c r="BE57" s="17">
        <f>Table2[[#This Row],[Asset growth E with benefit payments deducted]]/(1+Table2[Compounded CPI])</f>
        <v>43.877893077538793</v>
      </c>
      <c r="BF57" s="19">
        <f>Table2[[#This Row],[Asset growth E with benefit payments deducted]]/(1+Table2[Compounded discount rate E])</f>
        <v>16.459688870279969</v>
      </c>
      <c r="BG57" s="11">
        <f>Table2[[#This Row],[Long-dated forward gilt yields]]+0.75%</f>
        <v>1.6070000000000001E-2</v>
      </c>
      <c r="BH57" s="11">
        <f t="shared" si="14"/>
        <v>1.2450828957830002</v>
      </c>
      <c r="BI57" s="17">
        <f>((Table2[[#This Row],[Annual benefit payments (closed scheme)]])*1.005^(Table2[[#This Row],[Year]]-2018))/((1+BH56)*(1+Table2[[#This Row],[Discount rate F]])^0.5)+BI56</f>
        <v>63.086804144680507</v>
      </c>
      <c r="BJ57" s="17">
        <f>BJ56*(1+Table2[Discount rate F])</f>
        <v>184.86797188385779</v>
      </c>
      <c r="BK57" s="17">
        <f>Table2[[#This Row],[Asset growth F, under the assumption of full-funding at Year 0]]/(1+Table2[[#This Row],[Compounded CPI]])</f>
        <v>92.628208486765402</v>
      </c>
      <c r="BL57" s="17">
        <f>(BL56*((1+Table2[Discount rate F])^0.5)-Table2[Annual benefit payments (closed scheme)]*1.005^(Table2[Year]-2018))*(1+Table2[Discount rate F])^0.5</f>
        <v>43.232866949023489</v>
      </c>
      <c r="BM57" s="17">
        <f>Table2[[#This Row],[Asset growth F with benefit payments deducted]]/(1+Table2[Compounded CPI])</f>
        <v>21.661853983829022</v>
      </c>
      <c r="BN57" s="19">
        <f>Table2[[#This Row],[Asset growth F with benefit payments deducted]]/(1+Table2[Compounded discount rate F])</f>
        <v>19.256690712948259</v>
      </c>
      <c r="BO57" s="18">
        <f>(1+BO56)*(1+Table2[Discount rate A2])-1</f>
        <v>0.56659109382625883</v>
      </c>
      <c r="BP57" s="17">
        <f>Table2[[#This Row],[Annual benefit payments (ongoing scheme)]]/((1+BO56)*(1+Table2[[#This Row],[Discount rate A2]])^0.5)+BP56</f>
        <v>47.072695586380277</v>
      </c>
      <c r="BQ57" s="17">
        <f>(BQ56*((1+Table2[Discount rate A2])^0.5)-Table2[Annual benefit payments (ongoing scheme)])*(1+Table2[Discount rate A2])^0.5</f>
        <v>102.51220301850175</v>
      </c>
      <c r="BR57" s="18">
        <f>(1+BR56)*(1+Table2[Discount rate B])-1</f>
        <v>0.79736385590545611</v>
      </c>
      <c r="BS57" s="17">
        <f>Table2[[#This Row],[Annual benefit payments (ongoing scheme)]]/((1+BR56)*(1+Table2[[#This Row],[Discount rate B]])^0.5)+BS56</f>
        <v>44.075758778984735</v>
      </c>
      <c r="BT57" s="18">
        <f>(1+BT56)*(1+Table2[Discount rate E])-1</f>
        <v>1.0846363092303748</v>
      </c>
      <c r="BU57" s="17">
        <f>Table2[[#This Row],[Annual benefit payments (ongoing scheme)]]/((1+BT56)*(1+Table2[[#This Row],[Discount rate E]])^0.5)+BU56</f>
        <v>41.127090315758565</v>
      </c>
      <c r="BV57" s="18">
        <f>Table2[CPI]+0.75%+0.75%</f>
        <v>2.6599999999999999E-2</v>
      </c>
      <c r="BW57" s="18">
        <f>(1+BW56)*(1+Table2[Self-sufficiency discount rate, from 2037])-1</f>
        <v>0.52769470362698034</v>
      </c>
      <c r="BX57" s="17">
        <f>(Table2[[#This Row],[Annual benefit payments (ongoing scheme)]]*1.005^(Table2[[#This Row],[Year]]-2038))/((1+BW56)*(1+Table2[[#This Row],[Self-sufficiency discount rate, from 2037]])^0.5)+BX56</f>
        <v>49.067897600580856</v>
      </c>
      <c r="BY57" s="17">
        <f>(BY56*((1+Table2[Self-sufficiency discount rate, from 2037])^0.5)-Table2[Annual benefit payments (ongoing scheme)]*1.005^(Table2[Year]-2038))*(1+Table2[Self-sufficiency discount rate, from 2037])^0.5</f>
        <v>120.66133613838046</v>
      </c>
      <c r="BZ57" s="17">
        <f>(BZ56*((1+Table2[Discount rate B])^0.5)-Table2[Annual benefit payments (ongoing scheme)])*(1+Table2[Discount rate B])^0.5</f>
        <v>88.856606791343992</v>
      </c>
      <c r="CA57" s="17">
        <f>(CA56*((1+Table2[Discount rate A2])^0.5)+Table2[Net cashflow (ongoing scheme)])*(1+Table2[Discount rate A2])^0.5</f>
        <v>101.99371579059365</v>
      </c>
      <c r="CB57" s="17">
        <f>Table2[[#This Row],[Asset growth, ongoing scheme, with November de-risking, net of contributions and payments]]/(1+Table2[Compounded discount rate A2])</f>
        <v>36.615682639897514</v>
      </c>
      <c r="CC57" s="17">
        <f>Table2[[#This Row],[Asset growth, ongoing scheme, with November de-risking, net of contributions and payments]]/(1+Table2[Compounded CPI])</f>
        <v>51.104012633006747</v>
      </c>
      <c r="CD57" s="17">
        <f>(CD56*((1+Table2[Discount rate A1])^0.5)+Table2[Net cashflow (ongoing scheme)])*(1+Table2[Discount rate A1])^0.5</f>
        <v>110.99005789854039</v>
      </c>
      <c r="CE57" s="17">
        <f>Table2[[#This Row],[Asset growth, ongoing scheme, with September de-risking, net of contributions and payments]]/(1+Table2[Compounded discount rate A1])</f>
        <v>37.845381277087398</v>
      </c>
      <c r="CF57" s="17">
        <f>Table2[[#This Row],[Asset growth, ongoing scheme, with September de-risking, net of contributions and payments]]/(1+Table2[Compounded CPI])</f>
        <v>55.611635256338616</v>
      </c>
      <c r="CG57" s="17">
        <f>(CG56*((1+Table2[Discount rate B])^0.5)+Table2[Net cashflow (ongoing scheme)])*(1+Table2[Discount rate B])^0.5</f>
        <v>142.83637184476615</v>
      </c>
      <c r="CH57" s="17">
        <f>Table2[[#This Row],[Asset growth, ongoing scheme, no de-risking, net of contributions and payments]]/(1+Table2[Compounded discount rate B])</f>
        <v>40.500839659274646</v>
      </c>
      <c r="CI57" s="17">
        <f>Table2[[#This Row],[Asset growth, ongoing scheme, no de-risking, net of contributions and payments]]/(1+Table2[Compounded CPI])</f>
        <v>71.568250010565592</v>
      </c>
      <c r="CJ57" s="17">
        <f>(CJ56*((1+Table2[Discount rate E])^0.5)+Table2[Net cashflow (ongoing scheme)])*(1+Table2[Discount rate E])^0.5</f>
        <v>247.06615650955786</v>
      </c>
      <c r="CK57" s="17">
        <f>Table2[[#This Row],[Asset growth, ongoing scheme, best-estimates, no de-risking, net of contributions and payments ]]/(1+Table2[Compounded discount rate E])</f>
        <v>46.437700162311735</v>
      </c>
      <c r="CL57" s="17">
        <f>Table2[[#This Row],[Asset growth, ongoing scheme, best-estimates, no de-risking, net of contributions and payments ]]/(1+Table2[Compounded CPI])</f>
        <v>123.79264629769773</v>
      </c>
      <c r="CM57" s="58">
        <v>1.1599999999999999E-2</v>
      </c>
      <c r="CN57" s="60">
        <f>(1+Table2[[#This Row],[CPI]])*(1+CN56)-1</f>
        <v>0.99580640610437254</v>
      </c>
      <c r="CO57" s="60">
        <f>'Gilt yields'!B39</f>
        <v>8.5699999999999995E-3</v>
      </c>
      <c r="CP57" s="60">
        <f t="shared" si="15"/>
        <v>3.1600000000000003E-2</v>
      </c>
      <c r="CQ57" s="61">
        <f>(1+Table2[[#This Row],[Salary growth]])*(1+CQ56)-1</f>
        <v>2.6769525939900922</v>
      </c>
      <c r="CR57" s="62">
        <f t="shared" ref="CR57:CR88" si="17">CR56*(1+CM57)</f>
        <v>19.958064061043729</v>
      </c>
      <c r="CS57" s="59">
        <f t="shared" ref="CS57:CS88" si="18">CS56*(1+CM57)</f>
        <v>25.94548327935685</v>
      </c>
      <c r="CT57" s="59">
        <f>CT56*(1+Table2[[#This Row],[Salary growth]])</f>
        <v>36.769525939900916</v>
      </c>
      <c r="CU57" s="63">
        <f t="shared" ref="CU57:CU74" si="19">CU56*(1+CP57)</f>
        <v>47.800383721871221</v>
      </c>
      <c r="CV57" s="112">
        <f>('Cash flows as at 31032017'!B42)/1000000000</f>
        <v>2.7732317289999999</v>
      </c>
      <c r="CW57" s="113">
        <v>0</v>
      </c>
      <c r="CX57" s="113">
        <f>Table2[[#This Row],[Annual contributions (closed scheme)]]-Table2[[#This Row],[Annual benefit payments (closed scheme)]]</f>
        <v>-2.7732317289999999</v>
      </c>
      <c r="CY57" s="113">
        <v>5.12</v>
      </c>
      <c r="CZ57" s="113">
        <v>0</v>
      </c>
      <c r="DA57" s="113">
        <v>-5.12</v>
      </c>
      <c r="DB57" s="17"/>
      <c r="DC57" s="84"/>
      <c r="DD57" s="84"/>
      <c r="DE57" s="84"/>
      <c r="DF57" s="84"/>
      <c r="DG57" s="84"/>
      <c r="DH57" s="84"/>
      <c r="DI57" s="84"/>
      <c r="DJ57" s="84"/>
      <c r="DK57" s="84"/>
      <c r="DL57" s="84"/>
      <c r="DM57" s="84"/>
      <c r="DN57" s="84"/>
      <c r="DO57" s="84"/>
      <c r="DP57" s="84"/>
      <c r="DQ57" s="84"/>
      <c r="DR57" s="84"/>
      <c r="DS57" s="84"/>
      <c r="DT57" s="84"/>
      <c r="DU57" s="84"/>
      <c r="DV57" s="84"/>
      <c r="DW57" s="84"/>
      <c r="DX57" s="84"/>
      <c r="DY57" s="84"/>
      <c r="DZ57" s="84"/>
      <c r="EA57" s="84"/>
      <c r="EB57" s="84"/>
      <c r="EC57" s="84"/>
      <c r="ED57" s="84"/>
      <c r="EE57" s="84"/>
      <c r="EF57" s="84"/>
      <c r="EG57" s="84"/>
      <c r="EH57" s="84"/>
      <c r="EI57" s="84"/>
      <c r="EJ57" s="84"/>
    </row>
    <row r="58" spans="1:147" x14ac:dyDescent="0.2">
      <c r="A58" s="8">
        <v>2051</v>
      </c>
      <c r="B58" s="50"/>
      <c r="C58" s="50"/>
      <c r="D58" s="50"/>
      <c r="E58" s="35">
        <v>6.0999999999999999E-2</v>
      </c>
      <c r="F58" s="16">
        <f>F57*(1+Table2[[#This Row],[2008 discount rate]])</f>
        <v>429.93531393682622</v>
      </c>
      <c r="G58" s="18">
        <v>6.0999999999999999E-2</v>
      </c>
      <c r="H58" s="16">
        <f>H57*(1+Table2[[#This Row],[2011 discount rate]])</f>
        <v>353.30419116015048</v>
      </c>
      <c r="I58" s="18">
        <v>5.1999999999999998E-2</v>
      </c>
      <c r="J58" s="16">
        <f>J57*(1+Table2[[#This Row],[2014 discount rate]])</f>
        <v>272.08062751699111</v>
      </c>
      <c r="K58" s="9">
        <v>2.8400000000000002E-2</v>
      </c>
      <c r="L58" s="18">
        <f t="shared" si="9"/>
        <v>2.0160133599172809</v>
      </c>
      <c r="M58" s="17">
        <f>Table2[[#This Row],[Annual benefit payments (closed scheme)]]/((1+L57)*(1+Table2[[#This Row],[Discount rate A1]])^0.5)+M57</f>
        <v>55.45867097360594</v>
      </c>
      <c r="N58" s="17">
        <f>N57*(1+Table2[Discount rate A1])</f>
        <v>195.80733460810848</v>
      </c>
      <c r="O58" s="17">
        <f>Table2[[#This Row],[Asset growth A1, under the assumption of full-funding at Year 0]]/(1+Table2[[#This Row],[Compounded CPI]])</f>
        <v>97.00354237529551</v>
      </c>
      <c r="P58" s="17">
        <f>(P57*((1+Table2[Discount rate A1])^0.5)-Table2[Annual benefit payments (closed scheme)])*(1+Table2[Discount rate A1])^0.5</f>
        <v>28.543242028456152</v>
      </c>
      <c r="Q58" s="17">
        <f>Table2[[#This Row],[Asset growth A1 with benefit payments deducted]]/(1+Table2[Compounded CPI])</f>
        <v>14.140407933018281</v>
      </c>
      <c r="R58" s="17">
        <f>Table2[[#This Row],[Asset growth A1 with benefit payments deducted]]/(1+Table2[Compounded discount rate A1])</f>
        <v>9.4638977425613913</v>
      </c>
      <c r="S58" s="9">
        <v>2.8400000000000002E-2</v>
      </c>
      <c r="T58" s="18">
        <f t="shared" ref="T58:T98" si="20">(1+T57)*(1+S58)-1</f>
        <v>1.8646287534935899</v>
      </c>
      <c r="U58" s="17">
        <f>Table2[[#This Row],[Annual benefit payments (closed scheme)]]/((1+T57)*(1+Table2[[#This Row],[Discount rate A2]])^0.5)+U57</f>
        <v>57.547277712086945</v>
      </c>
      <c r="V58" s="17">
        <f>V57*(1+Table2[Discount rate A2])</f>
        <v>193.39482844778124</v>
      </c>
      <c r="W58" s="17">
        <f>Table2[[#This Row],[Asset growth A2, under the assumption of full-funding at Year 0]]/(1+Table2[Compounded CPI])</f>
        <v>95.808379568844259</v>
      </c>
      <c r="X58" s="17">
        <f>(X57*((1+Table2[Discount rate A2])^0.5)-Table2[Annual benefit payments (closed scheme)])*(1+Table2[Discount rate A2])^0.5</f>
        <v>28.543242028456216</v>
      </c>
      <c r="Y58" s="17">
        <f>Table2[[#This Row],[Asset growth A2 with benefit payments deducted]]/(1+Table2[[#This Row],[Compounded CPI]])</f>
        <v>14.140407933018313</v>
      </c>
      <c r="Z58" s="19">
        <f>Table2[[#This Row],[Asset growth A2 with benefit payments deducted]]/(1+Table2[Compounded discount rate A2])</f>
        <v>9.9640283208237665</v>
      </c>
      <c r="AA58" s="35">
        <f t="shared" si="16"/>
        <v>3.9399999999999998E-2</v>
      </c>
      <c r="AB58" s="18">
        <f t="shared" si="10"/>
        <v>2.6657048630213236</v>
      </c>
      <c r="AC58" s="17">
        <f>Table2[[#This Row],[Annual benefit payments (closed scheme)]]/((1+AB57)*(1+Table2[[#This Row],[Discount rate B]])^0.5)+AC57</f>
        <v>53.302679315950172</v>
      </c>
      <c r="AD58" s="16">
        <f>AD57*(1+Table2[Discount rate B])</f>
        <v>219.94229178127941</v>
      </c>
      <c r="AE58" s="16">
        <f>Table2[[#This Row],[Asset growth B]]/(1+Table2[Compounded CPI])</f>
        <v>108.96007273489256</v>
      </c>
      <c r="AF58" s="17">
        <f>(AF57*((1+Table2[Discount rate B])^0.5)-Table2[Annual benefit payments (closed scheme)])*(1+Table2[Discount rate B])^0.5</f>
        <v>24.550401000734748</v>
      </c>
      <c r="AG58" s="17">
        <f>Table2[[#This Row],[Asset growth B with benefit payments deducted]]/(1+Table2[Compounded CPI])</f>
        <v>12.162342481049494</v>
      </c>
      <c r="AH58" s="19">
        <f>Table2[[#This Row],[Asset growth B with benefit payments deducted]]/(1+Table2[Compounded discount rate B])</f>
        <v>6.6973206840498269</v>
      </c>
      <c r="AI58" s="11">
        <f>Table2[CPI]+2.56%</f>
        <v>3.7000000000000005E-2</v>
      </c>
      <c r="AJ58" s="18">
        <f t="shared" si="11"/>
        <v>3.3146338095508856</v>
      </c>
      <c r="AK58" s="17">
        <f>Table2[[#This Row],[Annual benefit payments (closed scheme)]]/((1+AJ57)*(1+Table2[[#This Row],[Discount rate C]])^0.5)+AK57</f>
        <v>46.185473939848805</v>
      </c>
      <c r="AL58" s="17">
        <f>AL57*(1+Table2[Discount rate C])</f>
        <v>258.8780285730532</v>
      </c>
      <c r="AM58" s="17">
        <f>Table2[[#This Row],[Asset growth C]]/(1+Table2[Compounded CPI])</f>
        <v>128.24895382483402</v>
      </c>
      <c r="AN58" s="17">
        <f>(AN57*((1+Table2[Discount rate C])^0.5)-Table2[Annual benefit payments (closed scheme)])*(1+Table2[Discount rate C])^0.5</f>
        <v>59.604621202049941</v>
      </c>
      <c r="AO58" s="17">
        <f>Table2[[#This Row],[Asset growth C with benefit payments deducted]]/(1+Table2[Compounded CPI])</f>
        <v>29.528308580004843</v>
      </c>
      <c r="AP58" s="19">
        <f>Table2[[#This Row],[Asset growth C with benefit payments deducted]]/(1+Table2[Compounded discount rate C])</f>
        <v>13.814526060151149</v>
      </c>
      <c r="AQ58" s="11">
        <f>Table2[CPI]+2.56%</f>
        <v>3.7000000000000005E-2</v>
      </c>
      <c r="AR58" s="18">
        <f t="shared" si="12"/>
        <v>3.0387868620149803</v>
      </c>
      <c r="AS58" s="17">
        <f>Table2[[#This Row],[Annual benefit payments (closed scheme)]]/((1+AR57)*(1+Table2[[#This Row],[Discount rate D]])^0.5)+AS57</f>
        <v>48.263698129926681</v>
      </c>
      <c r="AT58" s="16">
        <f>AT57*(1+Table2[Discount rate D])</f>
        <v>242.32721172089884</v>
      </c>
      <c r="AU58" s="17">
        <f>Table2[[#This Row],[Asset growth D]]/(1+Table2[Compounded CPI])</f>
        <v>120.04962938646732</v>
      </c>
      <c r="AV58" s="17">
        <f>(AV57*((1+Table2[Discount rate D])^0.5)-Table2[Annual benefit payments (closed scheme)])*(1+Table2[Discount rate D])^0.5</f>
        <v>47.400421801494034</v>
      </c>
      <c r="AW58" s="17">
        <f>Table2[[#This Row],[Asset growth D with benefit payments deducted]]/(1+Table2[Compounded CPI])</f>
        <v>23.48231149783345</v>
      </c>
      <c r="AX58" s="19">
        <f>Table2[[#This Row],[Asset growth D with benefit payments deducted]]/(1+Table2[Compounded discount rate D])</f>
        <v>11.736301870073335</v>
      </c>
      <c r="AY58" s="11">
        <f>Table2[CPI]+4%</f>
        <v>5.1400000000000001E-2</v>
      </c>
      <c r="AZ58" s="18">
        <f t="shared" si="13"/>
        <v>4.5938462939853242</v>
      </c>
      <c r="BA58" s="17">
        <f>Table2[[#This Row],[Annual benefit payments (closed scheme)]]/((1+AZ57)*(1+Table2[[#This Row],[Discount rate E]])^0.5)+BA57</f>
        <v>44.03132475733122</v>
      </c>
      <c r="BB58" s="17">
        <f>BB57*(1+Table2[Discount rate E])</f>
        <v>335.63077763911963</v>
      </c>
      <c r="BC58" s="16">
        <f>Table2[[#This Row],[Asset growth E]]/(1+Table2[Compounded CPI])</f>
        <v>166.27249651465053</v>
      </c>
      <c r="BD58" s="17">
        <f>(BD57*((1+Table2[Discount rate E])^0.5)-Table2[Annual benefit payments (closed scheme)])*(1+Table2[Discount rate E])^0.5</f>
        <v>89.326314826058152</v>
      </c>
      <c r="BE58" s="17">
        <f>Table2[[#This Row],[Asset growth E with benefit payments deducted]]/(1+Table2[Compounded CPI])</f>
        <v>44.252524977170587</v>
      </c>
      <c r="BF58" s="19">
        <f>Table2[[#This Row],[Asset growth E with benefit payments deducted]]/(1+Table2[Compounded discount rate E])</f>
        <v>15.968675242668816</v>
      </c>
      <c r="BG58" s="11">
        <f>Table2[[#This Row],[Long-dated forward gilt yields]]+0.75%</f>
        <v>1.5599999999999999E-2</v>
      </c>
      <c r="BH58" s="11">
        <f t="shared" si="14"/>
        <v>1.2801061889572152</v>
      </c>
      <c r="BI58" s="17">
        <f>((Table2[[#This Row],[Annual benefit payments (closed scheme)]])*1.005^(Table2[[#This Row],[Year]]-2018))/((1+BH57)*(1+Table2[[#This Row],[Discount rate F]])^0.5)+BI57</f>
        <v>64.482550166922678</v>
      </c>
      <c r="BJ58" s="17">
        <f>BJ57*(1+Table2[Discount rate F])</f>
        <v>187.75191224524599</v>
      </c>
      <c r="BK58" s="17">
        <f>Table2[[#This Row],[Asset growth F, under the assumption of full-funding at Year 0]]/(1+Table2[[#This Row],[Compounded CPI]])</f>
        <v>93.012861913346782</v>
      </c>
      <c r="BL58" s="17">
        <f>(BL57*((1+Table2[Discount rate F])^0.5)-Table2[Annual benefit payments (closed scheme)]*1.005^(Table2[Year]-2018))*(1+Table2[Discount rate F])^0.5</f>
        <v>40.72485052990146</v>
      </c>
      <c r="BM58" s="17">
        <f>Table2[[#This Row],[Asset growth F with benefit payments deducted]]/(1+Table2[Compounded CPI])</f>
        <v>20.175213415837394</v>
      </c>
      <c r="BN58" s="19">
        <f>Table2[[#This Row],[Asset growth F with benefit payments deducted]]/(1+Table2[Compounded discount rate F])</f>
        <v>17.860944690706084</v>
      </c>
      <c r="BO58" s="18">
        <f>(1+BO57)*(1+Table2[Discount rate A2])-1</f>
        <v>0.61108228089092465</v>
      </c>
      <c r="BP58" s="17">
        <f>Table2[[#This Row],[Annual benefit payments (ongoing scheme)]]/((1+BO57)*(1+Table2[[#This Row],[Discount rate A2]])^0.5)+BP57</f>
        <v>50.2451387432112</v>
      </c>
      <c r="BQ58" s="17">
        <f>(BQ57*((1+Table2[Discount rate A2])^0.5)-Table2[Annual benefit payments (ongoing scheme)])*(1+Table2[Discount rate A2])^0.5</f>
        <v>100.31248262712322</v>
      </c>
      <c r="BR58" s="18">
        <f>(1+BR57)*(1+Table2[Discount rate B])-1</f>
        <v>0.86817999182813121</v>
      </c>
      <c r="BS58" s="17">
        <f>Table2[[#This Row],[Annual benefit payments (ongoing scheme)]]/((1+BR57)*(1+Table2[[#This Row],[Discount rate B]])^0.5)+BS57</f>
        <v>46.826205117288566</v>
      </c>
      <c r="BT58" s="18">
        <f>(1+BT57)*(1+Table2[Discount rate E])-1</f>
        <v>1.1917866155248165</v>
      </c>
      <c r="BU58" s="17">
        <f>Table2[[#This Row],[Annual benefit payments (ongoing scheme)]]/((1+BT57)*(1+Table2[[#This Row],[Discount rate E]])^0.5)+BU57</f>
        <v>43.484940746088682</v>
      </c>
      <c r="BV58" s="18">
        <f>Table2[CPI]+0.75%+0.75%</f>
        <v>2.64E-2</v>
      </c>
      <c r="BW58" s="18">
        <f>(1+BW57)*(1+Table2[Self-sufficiency discount rate, from 2037])-1</f>
        <v>0.56802584380273258</v>
      </c>
      <c r="BX58" s="17">
        <f>(Table2[[#This Row],[Annual benefit payments (ongoing scheme)]]*1.005^(Table2[[#This Row],[Year]]-2038))/((1+BW57)*(1+Table2[[#This Row],[Self-sufficiency discount rate, from 2037]])^0.5)+BX57</f>
        <v>52.542414630205926</v>
      </c>
      <c r="BY58" s="17">
        <f>(BY57*((1+Table2[Self-sufficiency discount rate, from 2037])^0.5)-Table2[Annual benefit payments (ongoing scheme)]*1.005^(Table2[Year]-2038))*(1+Table2[Self-sufficiency discount rate, from 2037])^0.5</f>
        <v>118.39866291524889</v>
      </c>
      <c r="BZ58" s="17">
        <f>(BZ57*((1+Table2[Discount rate B])^0.5)-Table2[Annual benefit payments (ongoing scheme)])*(1+Table2[Discount rate B])^0.5</f>
        <v>87.219228281106794</v>
      </c>
      <c r="CA58" s="17">
        <f>(CA57*((1+Table2[Discount rate A2])^0.5)+Table2[Net cashflow (ongoing scheme)])*(1+Table2[Discount rate A2])^0.5</f>
        <v>99.779270361942523</v>
      </c>
      <c r="CB58" s="17">
        <f>Table2[[#This Row],[Asset growth, ongoing scheme, with November de-risking, net of contributions and payments]]/(1+Table2[Compounded discount rate A2])</f>
        <v>34.831483919253273</v>
      </c>
      <c r="CC58" s="17">
        <f>Table2[[#This Row],[Asset growth, ongoing scheme, with November de-risking, net of contributions and payments]]/(1+Table2[Compounded CPI])</f>
        <v>49.430950582634352</v>
      </c>
      <c r="CD58" s="17">
        <f>(CD57*((1+Table2[Discount rate A1])^0.5)+Table2[Net cashflow (ongoing scheme)])*(1+Table2[Discount rate A1])^0.5</f>
        <v>109.03110858575495</v>
      </c>
      <c r="CE58" s="17">
        <f>Table2[[#This Row],[Asset growth, ongoing scheme, with September de-risking, net of contributions and payments]]/(1+Table2[Compounded discount rate A1])</f>
        <v>36.150737935970319</v>
      </c>
      <c r="CF58" s="17">
        <f>Table2[[#This Row],[Asset growth, ongoing scheme, with September de-risking, net of contributions and payments]]/(1+Table2[Compounded CPI])</f>
        <v>54.014339059828828</v>
      </c>
      <c r="CG58" s="17">
        <f>(CG57*((1+Table2[Discount rate B])^0.5)+Table2[Net cashflow (ongoing scheme)])*(1+Table2[Discount rate B])^0.5</f>
        <v>143.32579607763378</v>
      </c>
      <c r="CH58" s="17">
        <f>Table2[[#This Row],[Asset growth, ongoing scheme, no de-risking, net of contributions and payments]]/(1+Table2[Compounded discount rate B])</f>
        <v>39.099109566475768</v>
      </c>
      <c r="CI58" s="17">
        <f>Table2[[#This Row],[Asset growth, ongoing scheme, no de-risking, net of contributions and payments]]/(1+Table2[Compounded CPI])</f>
        <v>71.004030370545564</v>
      </c>
      <c r="CJ58" s="17">
        <f>(CJ57*((1+Table2[Discount rate E])^0.5)+Table2[Net cashflow (ongoing scheme)])*(1+Table2[Discount rate E])^0.5</f>
        <v>254.59745193954222</v>
      </c>
      <c r="CK58" s="17">
        <f>Table2[[#This Row],[Asset growth, ongoing scheme, best-estimates, no de-risking, net of contributions and payments ]]/(1+Table2[Compounded discount rate E])</f>
        <v>45.513844778554827</v>
      </c>
      <c r="CL58" s="17">
        <f>Table2[[#This Row],[Asset growth, ongoing scheme, best-estimates, no de-risking, net of contributions and payments ]]/(1+Table2[Compounded CPI])</f>
        <v>126.12834328850998</v>
      </c>
      <c r="CM58" s="9">
        <v>1.14E-2</v>
      </c>
      <c r="CN58" s="11">
        <f>(1+Table2[[#This Row],[CPI]])*(1+CN57)-1</f>
        <v>1.0185585991339625</v>
      </c>
      <c r="CO58" s="11">
        <f>'Gilt yields'!B40</f>
        <v>8.0999999999999996E-3</v>
      </c>
      <c r="CP58" s="11">
        <f t="shared" si="15"/>
        <v>3.1399999999999997E-2</v>
      </c>
      <c r="CQ58" s="26">
        <f>(1+Table2[[#This Row],[Salary growth]])*(1+CQ57)-1</f>
        <v>2.7924089054413814</v>
      </c>
      <c r="CR58" s="15">
        <f t="shared" si="17"/>
        <v>20.185585991339629</v>
      </c>
      <c r="CS58" s="17">
        <f t="shared" si="18"/>
        <v>26.241261788741522</v>
      </c>
      <c r="CT58" s="17">
        <f>CT57*(1+Table2[[#This Row],[Salary growth]])</f>
        <v>37.924089054413805</v>
      </c>
      <c r="CU58" s="19">
        <f t="shared" si="19"/>
        <v>49.301315770737979</v>
      </c>
      <c r="CV58" s="112">
        <f>('Cash flows as at 31032017'!B43)/1000000000</f>
        <v>2.6786753929999998</v>
      </c>
      <c r="CW58" s="113">
        <v>0</v>
      </c>
      <c r="CX58" s="113">
        <f>Table2[[#This Row],[Annual contributions (closed scheme)]]-Table2[[#This Row],[Annual benefit payments (closed scheme)]]</f>
        <v>-2.6786753929999998</v>
      </c>
      <c r="CY58" s="113">
        <v>5.04</v>
      </c>
      <c r="CZ58" s="113">
        <v>0</v>
      </c>
      <c r="DA58" s="113">
        <v>-5.04</v>
      </c>
      <c r="DB58" s="17"/>
      <c r="DC58" s="84"/>
      <c r="DD58" s="84"/>
      <c r="DE58" s="84"/>
      <c r="DF58" s="84"/>
      <c r="DG58" s="84"/>
      <c r="DH58" s="84"/>
      <c r="DI58" s="84"/>
      <c r="DJ58" s="84"/>
      <c r="DK58" s="84"/>
      <c r="DL58" s="84"/>
      <c r="DM58" s="84"/>
      <c r="DN58" s="84"/>
      <c r="DO58" s="84"/>
      <c r="DP58" s="84"/>
      <c r="DQ58" s="84"/>
      <c r="DR58" s="84"/>
      <c r="DS58" s="84"/>
      <c r="DT58" s="84"/>
      <c r="DU58" s="84"/>
      <c r="DV58" s="84"/>
      <c r="DW58" s="84"/>
      <c r="DX58" s="84"/>
      <c r="DY58" s="84"/>
      <c r="DZ58" s="84"/>
      <c r="EA58" s="84"/>
      <c r="EB58" s="84"/>
      <c r="EC58" s="84"/>
      <c r="ED58" s="84"/>
      <c r="EE58" s="84"/>
      <c r="EF58" s="84"/>
      <c r="EG58" s="84"/>
      <c r="EH58" s="84"/>
      <c r="EI58" s="84"/>
      <c r="EJ58" s="84"/>
      <c r="EK58" s="84"/>
    </row>
    <row r="59" spans="1:147" x14ac:dyDescent="0.2">
      <c r="A59" s="8">
        <v>2052</v>
      </c>
      <c r="B59" s="50"/>
      <c r="C59" s="50"/>
      <c r="D59" s="50"/>
      <c r="E59" s="35">
        <v>6.0999999999999999E-2</v>
      </c>
      <c r="F59" s="16">
        <f>F58*(1+Table2[[#This Row],[2008 discount rate]])</f>
        <v>456.16136808697257</v>
      </c>
      <c r="G59" s="18">
        <v>6.0999999999999999E-2</v>
      </c>
      <c r="H59" s="16">
        <f>H58*(1+Table2[[#This Row],[2011 discount rate]])</f>
        <v>374.85574682091965</v>
      </c>
      <c r="I59" s="18">
        <v>5.1999999999999998E-2</v>
      </c>
      <c r="J59" s="16">
        <f>J58*(1+Table2[[#This Row],[2014 discount rate]])</f>
        <v>286.22882014787467</v>
      </c>
      <c r="K59" s="9">
        <v>2.8500000000000001E-2</v>
      </c>
      <c r="L59" s="18">
        <f t="shared" si="9"/>
        <v>2.1019697406749231</v>
      </c>
      <c r="M59" s="17">
        <f>Table2[[#This Row],[Annual benefit payments (closed scheme)]]/((1+L58)*(1+Table2[[#This Row],[Discount rate A1]])^0.5)+M58</f>
        <v>56.302351104378559</v>
      </c>
      <c r="N59" s="17">
        <f>N58*(1+Table2[Discount rate A1])</f>
        <v>201.38784364443956</v>
      </c>
      <c r="O59" s="17">
        <f>Table2[[#This Row],[Asset growth A1, under the assumption of full-funding at Year 0]]/(1+Table2[[#This Row],[Compounded CPI]])</f>
        <v>98.633854011855092</v>
      </c>
      <c r="P59" s="17">
        <f>(P58*((1+Table2[Discount rate A1])^0.5)-Table2[Annual benefit payments (closed scheme)])*(1+Table2[Discount rate A1])^0.5</f>
        <v>26.73965418980184</v>
      </c>
      <c r="Q59" s="17">
        <f>Table2[[#This Row],[Asset growth A1 with benefit payments deducted]]/(1+Table2[Compounded CPI])</f>
        <v>13.096297670980228</v>
      </c>
      <c r="R59" s="17">
        <f>Table2[[#This Row],[Asset growth A1 with benefit payments deducted]]/(1+Table2[Compounded discount rate A1])</f>
        <v>8.6202176117887781</v>
      </c>
      <c r="S59" s="9">
        <v>2.8500000000000001E-2</v>
      </c>
      <c r="T59" s="18">
        <f t="shared" si="20"/>
        <v>1.9462706729681574</v>
      </c>
      <c r="U59" s="17">
        <f>Table2[[#This Row],[Annual benefit payments (closed scheme)]]/((1+T58)*(1+Table2[[#This Row],[Discount rate A2]])^0.5)+U58</f>
        <v>58.435543091258239</v>
      </c>
      <c r="V59" s="17">
        <f>V58*(1+Table2[Discount rate A2])</f>
        <v>198.906581058543</v>
      </c>
      <c r="W59" s="17">
        <f>Table2[[#This Row],[Asset growth A2, under the assumption of full-funding at Year 0]]/(1+Table2[Compounded CPI])</f>
        <v>97.418604435547536</v>
      </c>
      <c r="X59" s="17">
        <f>(X58*((1+Table2[Discount rate A2])^0.5)-Table2[Annual benefit payments (closed scheme)])*(1+Table2[Discount rate A2])^0.5</f>
        <v>26.739654189801904</v>
      </c>
      <c r="Y59" s="17">
        <f>Table2[[#This Row],[Asset growth A2 with benefit payments deducted]]/(1+Table2[[#This Row],[Compounded CPI]])</f>
        <v>13.09629767098026</v>
      </c>
      <c r="Z59" s="19">
        <f>Table2[[#This Row],[Asset growth A2 with benefit payments deducted]]/(1+Table2[Compounded discount rate A2])</f>
        <v>9.0757629416524761</v>
      </c>
      <c r="AA59" s="35">
        <f t="shared" si="16"/>
        <v>3.9499999999999993E-2</v>
      </c>
      <c r="AB59" s="18">
        <f t="shared" si="10"/>
        <v>2.810500205110666</v>
      </c>
      <c r="AC59" s="17">
        <f>Table2[[#This Row],[Annual benefit payments (closed scheme)]]/((1+AB58)*(1+Table2[[#This Row],[Discount rate B]])^0.5)+AC58</f>
        <v>53.993147207765695</v>
      </c>
      <c r="AD59" s="16">
        <f>AD58*(1+Table2[Discount rate B])</f>
        <v>228.63001230663997</v>
      </c>
      <c r="AE59" s="16">
        <f>Table2[[#This Row],[Asset growth B]]/(1+Table2[Compounded CPI])</f>
        <v>111.97626851994151</v>
      </c>
      <c r="AF59" s="17">
        <f>(AF58*((1+Table2[Discount rate B])^0.5)-Table2[Annual benefit payments (closed scheme)])*(1+Table2[Discount rate B])^0.5</f>
        <v>22.889113796878398</v>
      </c>
      <c r="AG59" s="17">
        <f>Table2[[#This Row],[Asset growth B with benefit payments deducted]]/(1+Table2[Compounded CPI])</f>
        <v>11.21041602038315</v>
      </c>
      <c r="AH59" s="19">
        <f>Table2[[#This Row],[Asset growth B with benefit payments deducted]]/(1+Table2[Compounded discount rate B])</f>
        <v>6.0068527922343051</v>
      </c>
      <c r="AI59" s="11">
        <f>Table2[CPI]+2.56%</f>
        <v>3.7100000000000001E-2</v>
      </c>
      <c r="AJ59" s="18">
        <f t="shared" si="11"/>
        <v>3.4747067238852232</v>
      </c>
      <c r="AK59" s="17">
        <f>Table2[[#This Row],[Annual benefit payments (closed scheme)]]/((1+AJ58)*(1+Table2[[#This Row],[Discount rate C]])^0.5)+AK58</f>
        <v>46.772772547020331</v>
      </c>
      <c r="AL59" s="17">
        <f>AL58*(1+Table2[Discount rate C])</f>
        <v>268.48240343311346</v>
      </c>
      <c r="AM59" s="17">
        <f>Table2[[#This Row],[Asset growth C]]/(1+Table2[Compounded CPI])</f>
        <v>131.49479981387577</v>
      </c>
      <c r="AN59" s="17">
        <f>(AN58*((1+Table2[Discount rate C])^0.5)-Table2[Annual benefit payments (closed scheme)])*(1+Table2[Discount rate C])^0.5</f>
        <v>59.18796362220715</v>
      </c>
      <c r="AO59" s="17">
        <f>Table2[[#This Row],[Asset growth C with benefit payments deducted]]/(1+Table2[Compounded CPI])</f>
        <v>28.988527100369293</v>
      </c>
      <c r="AP59" s="19">
        <f>Table2[[#This Row],[Asset growth C with benefit payments deducted]]/(1+Table2[Compounded discount rate C])</f>
        <v>13.227227452979626</v>
      </c>
      <c r="AQ59" s="11">
        <f>Table2[CPI]+2.56%</f>
        <v>3.7100000000000001E-2</v>
      </c>
      <c r="AR59" s="18">
        <f t="shared" si="12"/>
        <v>3.1886258545957356</v>
      </c>
      <c r="AS59" s="17">
        <f>Table2[[#This Row],[Annual benefit payments (closed scheme)]]/((1+AR58)*(1+Table2[[#This Row],[Discount rate D]])^0.5)+AS58</f>
        <v>48.89110891276264</v>
      </c>
      <c r="AT59" s="16">
        <f>AT58*(1+Table2[Discount rate D])</f>
        <v>251.31755127574417</v>
      </c>
      <c r="AU59" s="17">
        <f>Table2[[#This Row],[Asset growth D]]/(1+Table2[Compounded CPI])</f>
        <v>123.08795910697503</v>
      </c>
      <c r="AV59" s="17">
        <f>(AV58*((1+Table2[Discount rate D])^0.5)-Table2[Annual benefit payments (closed scheme)])*(1+Table2[Discount rate D])^0.5</f>
        <v>46.530988423890619</v>
      </c>
      <c r="AW59" s="17">
        <f>Table2[[#This Row],[Asset growth D with benefit payments deducted]]/(1+Table2[Compounded CPI])</f>
        <v>22.789512197828564</v>
      </c>
      <c r="AX59" s="19">
        <f>Table2[[#This Row],[Asset growth D with benefit payments deducted]]/(1+Table2[Compounded discount rate D])</f>
        <v>11.10889108723738</v>
      </c>
      <c r="AY59" s="11">
        <f>Table2[CPI]+4%</f>
        <v>5.1500000000000004E-2</v>
      </c>
      <c r="AZ59" s="18">
        <f t="shared" si="13"/>
        <v>4.8819293781255686</v>
      </c>
      <c r="BA59" s="17">
        <f>Table2[[#This Row],[Annual benefit payments (closed scheme)]]/((1+AZ58)*(1+Table2[[#This Row],[Discount rate E]])^0.5)+BA58</f>
        <v>44.481206183264447</v>
      </c>
      <c r="BB59" s="17">
        <f>BB58*(1+Table2[Discount rate E])</f>
        <v>352.91576268753431</v>
      </c>
      <c r="BC59" s="16">
        <f>Table2[[#This Row],[Asset growth E]]/(1+Table2[Compounded CPI])</f>
        <v>172.84778060816117</v>
      </c>
      <c r="BD59" s="17">
        <f>(BD58*((1+Table2[Discount rate E])^0.5)-Table2[Annual benefit payments (closed scheme)])*(1+Table2[Discount rate E])^0.5</f>
        <v>91.280449263730475</v>
      </c>
      <c r="BE59" s="17">
        <f>Table2[[#This Row],[Asset growth E with benefit payments deducted]]/(1+Table2[Compounded CPI])</f>
        <v>44.706484482306664</v>
      </c>
      <c r="BF59" s="19">
        <f>Table2[[#This Row],[Asset growth E with benefit payments deducted]]/(1+Table2[Compounded discount rate E])</f>
        <v>15.518793816735588</v>
      </c>
      <c r="BG59" s="11">
        <f>Table2[[#This Row],[Long-dated forward gilt yields]]+0.75%</f>
        <v>1.533E-2</v>
      </c>
      <c r="BH59" s="11">
        <f t="shared" si="14"/>
        <v>1.3150602168339294</v>
      </c>
      <c r="BI59" s="17">
        <f>((Table2[[#This Row],[Annual benefit payments (closed scheme)]])*1.005^(Table2[[#This Row],[Year]]-2018))/((1+BH58)*(1+Table2[[#This Row],[Discount rate F]])^0.5)+BI58</f>
        <v>65.813312952285585</v>
      </c>
      <c r="BJ59" s="17">
        <f>BJ58*(1+Table2[Discount rate F])</f>
        <v>190.63014905996562</v>
      </c>
      <c r="BK59" s="17">
        <f>Table2[[#This Row],[Asset growth F, under the assumption of full-funding at Year 0]]/(1+Table2[[#This Row],[Compounded CPI]])</f>
        <v>93.365050999978649</v>
      </c>
      <c r="BL59" s="17">
        <f>(BL58*((1+Table2[Discount rate F])^0.5)-Table2[Annual benefit payments (closed scheme)]*1.005^(Table2[Year]-2018))*(1+Table2[Discount rate F])^0.5</f>
        <v>38.268366506088086</v>
      </c>
      <c r="BM59" s="17">
        <f>Table2[[#This Row],[Asset growth F with benefit payments deducted]]/(1+Table2[Compounded CPI])</f>
        <v>18.742722534423816</v>
      </c>
      <c r="BN59" s="19">
        <f>Table2[[#This Row],[Asset growth F with benefit payments deducted]]/(1+Table2[Compounded discount rate F])</f>
        <v>16.530181905343184</v>
      </c>
      <c r="BO59" s="18">
        <f>(1+BO58)*(1+Table2[Discount rate A2])-1</f>
        <v>0.65699812589631601</v>
      </c>
      <c r="BP59" s="17">
        <f>Table2[[#This Row],[Annual benefit payments (ongoing scheme)]]/((1+BO58)*(1+Table2[[#This Row],[Discount rate A2]])^0.5)+BP58</f>
        <v>53.421628715293316</v>
      </c>
      <c r="BQ59" s="17">
        <f>(BQ58*((1+Table2[Discount rate A2])^0.5)-Table2[Annual benefit payments (ongoing scheme)])*(1+Table2[Discount rate A2])^0.5</f>
        <v>97.907950451327736</v>
      </c>
      <c r="BR59" s="18">
        <f>(1+BR58)*(1+Table2[Discount rate B])-1</f>
        <v>0.94197310150534252</v>
      </c>
      <c r="BS59" s="17">
        <f>Table2[[#This Row],[Annual benefit payments (ongoing scheme)]]/((1+BR58)*(1+Table2[[#This Row],[Discount rate B]])^0.5)+BS58</f>
        <v>49.551016184250805</v>
      </c>
      <c r="BT59" s="18">
        <f>(1+BT58)*(1+Table2[Discount rate E])-1</f>
        <v>1.304663626224345</v>
      </c>
      <c r="BU59" s="17">
        <f>Table2[[#This Row],[Annual benefit payments (ongoing scheme)]]/((1+BT58)*(1+Table2[[#This Row],[Discount rate E]])^0.5)+BU58</f>
        <v>45.794156165771689</v>
      </c>
      <c r="BV59" s="18">
        <f>Table2[CPI]+0.75%+0.75%</f>
        <v>2.6499999999999999E-2</v>
      </c>
      <c r="BW59" s="18">
        <f>(1+BW58)*(1+Table2[Self-sufficiency discount rate, from 2037])-1</f>
        <v>0.60957852866350493</v>
      </c>
      <c r="BX59" s="17">
        <f>(Table2[[#This Row],[Annual benefit payments (ongoing scheme)]]*1.005^(Table2[[#This Row],[Year]]-2038))/((1+BW58)*(1+Table2[[#This Row],[Self-sufficiency discount rate, from 2037]])^0.5)+BX58</f>
        <v>56.045571048144708</v>
      </c>
      <c r="BY59" s="17">
        <f>(BY58*((1+Table2[Self-sufficiency discount rate, from 2037])^0.5)-Table2[Annual benefit payments (ongoing scheme)]*1.005^(Table2[Year]-2038))*(1+Table2[Self-sufficiency discount rate, from 2037])^0.5</f>
        <v>115.89762212963893</v>
      </c>
      <c r="BZ59" s="17">
        <f>(BZ58*((1+Table2[Discount rate B])^0.5)-Table2[Annual benefit payments (ongoing scheme)])*(1+Table2[Discount rate B])^0.5</f>
        <v>85.372877999485766</v>
      </c>
      <c r="CA59" s="17">
        <f>(CA58*((1+Table2[Discount rate A2])^0.5)+Table2[Net cashflow (ongoing scheme)])*(1+Table2[Discount rate A2])^0.5</f>
        <v>97.359541636589384</v>
      </c>
      <c r="CB59" s="17">
        <f>Table2[[#This Row],[Asset growth, ongoing scheme, with November de-risking, net of contributions and payments]]/(1+Table2[Compounded discount rate A2])</f>
        <v>33.045009248422716</v>
      </c>
      <c r="CC59" s="17">
        <f>Table2[[#This Row],[Asset growth, ongoing scheme, with November de-risking, net of contributions and payments]]/(1+Table2[Compounded CPI])</f>
        <v>47.683845472813019</v>
      </c>
      <c r="CD59" s="17">
        <f>(CD58*((1+Table2[Discount rate A1])^0.5)+Table2[Net cashflow (ongoing scheme)])*(1+Table2[Discount rate A1])^0.5</f>
        <v>106.87505724978048</v>
      </c>
      <c r="CE59" s="17">
        <f>Table2[[#This Row],[Asset growth, ongoing scheme, with September de-risking, net of contributions and payments]]/(1+Table2[Compounded discount rate A1])</f>
        <v>34.453932882829065</v>
      </c>
      <c r="CF59" s="17">
        <f>Table2[[#This Row],[Asset growth, ongoing scheme, with September de-risking, net of contributions and payments]]/(1+Table2[Compounded CPI])</f>
        <v>52.344265689120014</v>
      </c>
      <c r="CG59" s="17">
        <f>(CG58*((1+Table2[Discount rate B])^0.5)+Table2[Net cashflow (ongoing scheme)])*(1+Table2[Discount rate B])^0.5</f>
        <v>143.69565522397554</v>
      </c>
      <c r="CH59" s="17">
        <f>Table2[[#This Row],[Asset growth, ongoing scheme, no de-risking, net of contributions and payments]]/(1+Table2[Compounded discount rate B])</f>
        <v>37.710444164587642</v>
      </c>
      <c r="CI59" s="17">
        <f>Table2[[#This Row],[Asset growth, ongoing scheme, no de-risking, net of contributions and payments]]/(1+Table2[Compounded CPI])</f>
        <v>70.377913696335455</v>
      </c>
      <c r="CJ59" s="17">
        <f>(CJ58*((1+Table2[Discount rate E])^0.5)+Table2[Net cashflow (ongoing scheme)])*(1+Table2[Discount rate E])^0.5</f>
        <v>262.38725593156892</v>
      </c>
      <c r="CK59" s="17">
        <f>Table2[[#This Row],[Asset growth, ongoing scheme, best-estimates, no de-risking, net of contributions and payments ]]/(1+Table2[Compounded discount rate E])</f>
        <v>44.609045614754649</v>
      </c>
      <c r="CL59" s="17">
        <f>Table2[[#This Row],[Asset growth, ongoing scheme, best-estimates, no de-risking, net of contributions and payments ]]/(1+Table2[Compounded CPI])</f>
        <v>128.50957549264268</v>
      </c>
      <c r="CM59" s="9">
        <v>1.15E-2</v>
      </c>
      <c r="CN59" s="11">
        <f>(1+Table2[[#This Row],[CPI]])*(1+CN58)-1</f>
        <v>1.0417720230240031</v>
      </c>
      <c r="CO59" s="11">
        <f>'Gilt yields'!B41</f>
        <v>7.8300000000000002E-3</v>
      </c>
      <c r="CP59" s="11">
        <f t="shared" si="15"/>
        <v>3.15E-2</v>
      </c>
      <c r="CQ59" s="26">
        <f>(1+Table2[[#This Row],[Salary growth]])*(1+CQ58)-1</f>
        <v>2.9118697859627853</v>
      </c>
      <c r="CR59" s="15">
        <f t="shared" si="17"/>
        <v>20.417720230240036</v>
      </c>
      <c r="CS59" s="17">
        <f t="shared" si="18"/>
        <v>26.54303629931205</v>
      </c>
      <c r="CT59" s="17">
        <f>CT58*(1+Table2[[#This Row],[Salary growth]])</f>
        <v>39.118697859627844</v>
      </c>
      <c r="CU59" s="19">
        <f t="shared" si="19"/>
        <v>50.854307217516229</v>
      </c>
      <c r="CV59" s="112">
        <f>('Cash flows as at 31032017'!B44)/1000000000</f>
        <v>2.5805556570000001</v>
      </c>
      <c r="CW59" s="113">
        <v>0</v>
      </c>
      <c r="CX59" s="113">
        <f>Table2[[#This Row],[Annual contributions (closed scheme)]]-Table2[[#This Row],[Annual benefit payments (closed scheme)]]</f>
        <v>-2.5805556570000001</v>
      </c>
      <c r="CY59" s="113">
        <v>5.19</v>
      </c>
      <c r="CZ59" s="113">
        <v>0</v>
      </c>
      <c r="DA59" s="113">
        <v>-5.19</v>
      </c>
      <c r="DB59" s="17"/>
      <c r="DC59" s="84"/>
      <c r="DD59" s="84"/>
      <c r="DE59" s="84"/>
      <c r="DF59" s="84"/>
      <c r="DG59" s="84"/>
      <c r="DH59" s="84"/>
      <c r="DI59" s="84"/>
      <c r="DJ59" s="84"/>
      <c r="DK59" s="84"/>
      <c r="DL59" s="84"/>
      <c r="DM59" s="84"/>
      <c r="DN59" s="84"/>
      <c r="DO59" s="84"/>
      <c r="DP59" s="84"/>
      <c r="DQ59" s="84"/>
      <c r="DR59" s="84"/>
      <c r="DS59" s="84"/>
      <c r="DT59" s="84"/>
      <c r="DU59" s="84"/>
      <c r="DV59" s="84"/>
      <c r="DW59" s="84"/>
      <c r="DX59" s="84"/>
      <c r="DY59" s="84"/>
      <c r="DZ59" s="84"/>
      <c r="EA59" s="84"/>
      <c r="EB59" s="84"/>
      <c r="EC59" s="84"/>
      <c r="ED59" s="84"/>
      <c r="EE59" s="84"/>
      <c r="EF59" s="84"/>
      <c r="EG59" s="84"/>
      <c r="EH59" s="84"/>
      <c r="EI59" s="84"/>
      <c r="EJ59" s="84"/>
      <c r="EK59" s="84"/>
      <c r="EL59" s="84"/>
    </row>
    <row r="60" spans="1:147" x14ac:dyDescent="0.2">
      <c r="A60" s="8">
        <v>2053</v>
      </c>
      <c r="B60" s="50"/>
      <c r="C60" s="50"/>
      <c r="D60" s="50"/>
      <c r="E60" s="35">
        <v>6.0999999999999999E-2</v>
      </c>
      <c r="F60" s="16">
        <f>F59*(1+Table2[[#This Row],[2008 discount rate]])</f>
        <v>483.98721154027788</v>
      </c>
      <c r="G60" s="18">
        <v>6.0999999999999999E-2</v>
      </c>
      <c r="H60" s="16">
        <f>H59*(1+Table2[[#This Row],[2011 discount rate]])</f>
        <v>397.72194737699573</v>
      </c>
      <c r="I60" s="18">
        <v>5.1999999999999998E-2</v>
      </c>
      <c r="J60" s="16">
        <f>J59*(1+Table2[[#This Row],[2014 discount rate]])</f>
        <v>301.11271879556415</v>
      </c>
      <c r="K60" s="9">
        <v>2.8799999999999999E-2</v>
      </c>
      <c r="L60" s="18">
        <f t="shared" si="9"/>
        <v>2.1913064692063609</v>
      </c>
      <c r="M60" s="17">
        <f>Table2[[#This Row],[Annual benefit payments (closed scheme)]]/((1+L59)*(1+Table2[[#This Row],[Discount rate A1]])^0.5)+M59</f>
        <v>57.090655387609694</v>
      </c>
      <c r="N60" s="17">
        <f>N59*(1+Table2[Discount rate A1])</f>
        <v>207.18781354139941</v>
      </c>
      <c r="O60" s="17">
        <f>Table2[[#This Row],[Asset growth A1, under the assumption of full-funding at Year 0]]/(1+Table2[[#This Row],[Compounded CPI]])</f>
        <v>100.29107433029898</v>
      </c>
      <c r="P60" s="17">
        <f>(P59*((1+Table2[Discount rate A1])^0.5)-Table2[Annual benefit payments (closed scheme)])*(1+Table2[Discount rate A1])^0.5</f>
        <v>24.994035671689534</v>
      </c>
      <c r="Q60" s="17">
        <f>Table2[[#This Row],[Asset growth A1 with benefit payments deducted]]/(1+Table2[Compounded CPI])</f>
        <v>12.098581699944845</v>
      </c>
      <c r="R60" s="17">
        <f>Table2[[#This Row],[Asset growth A1 with benefit payments deducted]]/(1+Table2[Compounded discount rate A1])</f>
        <v>7.8319133285576443</v>
      </c>
      <c r="S60" s="9">
        <v>2.8799999999999999E-2</v>
      </c>
      <c r="T60" s="18">
        <f t="shared" si="20"/>
        <v>2.0311232683496403</v>
      </c>
      <c r="U60" s="17">
        <f>Table2[[#This Row],[Annual benefit payments (closed scheme)]]/((1+T59)*(1+Table2[[#This Row],[Discount rate A2]])^0.5)+U59</f>
        <v>59.265506222433807</v>
      </c>
      <c r="V60" s="17">
        <f>V59*(1+Table2[Discount rate A2])</f>
        <v>204.63509059302902</v>
      </c>
      <c r="W60" s="17">
        <f>Table2[[#This Row],[Asset growth A2, under the assumption of full-funding at Year 0]]/(1+Table2[Compounded CPI])</f>
        <v>99.055406447214153</v>
      </c>
      <c r="X60" s="17">
        <f>(X59*((1+Table2[Discount rate A2])^0.5)-Table2[Annual benefit payments (closed scheme)])*(1+Table2[Discount rate A2])^0.5</f>
        <v>24.994035671689598</v>
      </c>
      <c r="Y60" s="17">
        <f>Table2[[#This Row],[Asset growth A2 with benefit payments deducted]]/(1+Table2[[#This Row],[Compounded CPI]])</f>
        <v>12.098581699944875</v>
      </c>
      <c r="Z60" s="19">
        <f>Table2[[#This Row],[Asset growth A2 with benefit payments deducted]]/(1+Table2[Compounded discount rate A2])</f>
        <v>8.245799810476905</v>
      </c>
      <c r="AA60" s="35">
        <f t="shared" si="16"/>
        <v>3.9799999999999995E-2</v>
      </c>
      <c r="AB60" s="18">
        <f t="shared" si="10"/>
        <v>2.9621581132740706</v>
      </c>
      <c r="AC60" s="17">
        <f>Table2[[#This Row],[Annual benefit payments (closed scheme)]]/((1+AB59)*(1+Table2[[#This Row],[Discount rate B]])^0.5)+AC59</f>
        <v>54.631469519954912</v>
      </c>
      <c r="AD60" s="16">
        <f>AD59*(1+Table2[Discount rate B])</f>
        <v>237.72948679644426</v>
      </c>
      <c r="AE60" s="16">
        <f>Table2[[#This Row],[Asset growth B]]/(1+Table2[Compounded CPI])</f>
        <v>115.07503855212018</v>
      </c>
      <c r="AF60" s="17">
        <f>(AF59*((1+Table2[Discount rate B])^0.5)-Table2[Annual benefit payments (closed scheme)])*(1+Table2[Discount rate B])^0.5</f>
        <v>21.270966597869805</v>
      </c>
      <c r="AG60" s="17">
        <f>Table2[[#This Row],[Asset growth B with benefit payments deducted]]/(1+Table2[Compounded CPI])</f>
        <v>10.29639753265702</v>
      </c>
      <c r="AH60" s="19">
        <f>Table2[[#This Row],[Asset growth B with benefit payments deducted]]/(1+Table2[Compounded discount rate B])</f>
        <v>5.3685304800450924</v>
      </c>
      <c r="AI60" s="11">
        <f>Table2[CPI]+2.56%</f>
        <v>3.7400000000000003E-2</v>
      </c>
      <c r="AJ60" s="18">
        <f t="shared" si="11"/>
        <v>3.6420607553585311</v>
      </c>
      <c r="AK60" s="17">
        <f>Table2[[#This Row],[Annual benefit payments (closed scheme)]]/((1+AJ59)*(1+Table2[[#This Row],[Discount rate C]])^0.5)+AK59</f>
        <v>47.31697340571376</v>
      </c>
      <c r="AL60" s="17">
        <f>AL59*(1+Table2[Discount rate C])</f>
        <v>278.52364532151194</v>
      </c>
      <c r="AM60" s="17">
        <f>Table2[[#This Row],[Asset growth C]]/(1+Table2[Compounded CPI])</f>
        <v>134.82180799260203</v>
      </c>
      <c r="AN60" s="17">
        <f>(AN59*((1+Table2[Discount rate C])^0.5)-Table2[Annual benefit payments (closed scheme)])*(1+Table2[Discount rate C])^0.5</f>
        <v>58.875380012504515</v>
      </c>
      <c r="AO60" s="17">
        <f>Table2[[#This Row],[Asset growth C with benefit payments deducted]]/(1+Table2[Compounded CPI])</f>
        <v>28.499142937665308</v>
      </c>
      <c r="AP60" s="19">
        <f>Table2[[#This Row],[Asset growth C with benefit payments deducted]]/(1+Table2[Compounded discount rate C])</f>
        <v>12.683026594286195</v>
      </c>
      <c r="AQ60" s="11">
        <f>Table2[CPI]+2.56%</f>
        <v>3.7400000000000003E-2</v>
      </c>
      <c r="AR60" s="18">
        <f t="shared" si="12"/>
        <v>3.3452804615576168</v>
      </c>
      <c r="AS60" s="17">
        <f>Table2[[#This Row],[Annual benefit payments (closed scheme)]]/((1+AR59)*(1+Table2[[#This Row],[Discount rate D]])^0.5)+AS59</f>
        <v>49.472478394323709</v>
      </c>
      <c r="AT60" s="16">
        <f>AT59*(1+Table2[Discount rate D])</f>
        <v>260.71682769345705</v>
      </c>
      <c r="AU60" s="17">
        <f>Table2[[#This Row],[Asset growth D]]/(1+Table2[Compounded CPI])</f>
        <v>126.20226208497323</v>
      </c>
      <c r="AV60" s="17">
        <f>(AV59*((1+Table2[Discount rate D])^0.5)-Table2[Annual benefit payments (closed scheme)])*(1+Table2[Discount rate D])^0.5</f>
        <v>45.745033941770949</v>
      </c>
      <c r="AW60" s="17">
        <f>Table2[[#This Row],[Asset growth D with benefit payments deducted]]/(1+Table2[Compounded CPI])</f>
        <v>22.143284013079665</v>
      </c>
      <c r="AX60" s="19">
        <f>Table2[[#This Row],[Asset growth D with benefit payments deducted]]/(1+Table2[Compounded discount rate D])</f>
        <v>10.527521605676313</v>
      </c>
      <c r="AY60" s="11">
        <f>Table2[CPI]+4%</f>
        <v>5.1799999999999999E-2</v>
      </c>
      <c r="AZ60" s="18">
        <f t="shared" si="13"/>
        <v>5.1866133199124738</v>
      </c>
      <c r="BA60" s="17">
        <f>Table2[[#This Row],[Annual benefit payments (closed scheme)]]/((1+AZ59)*(1+Table2[[#This Row],[Discount rate E]])^0.5)+BA59</f>
        <v>44.892365875256885</v>
      </c>
      <c r="BB60" s="17">
        <f>BB59*(1+Table2[Discount rate E])</f>
        <v>371.19679919474862</v>
      </c>
      <c r="BC60" s="16">
        <f>Table2[[#This Row],[Asset growth E]]/(1+Table2[Compounded CPI])</f>
        <v>179.68105914574417</v>
      </c>
      <c r="BD60" s="17">
        <f>(BD59*((1+Table2[Discount rate E])^0.5)-Table2[Annual benefit payments (closed scheme)])*(1+Table2[Discount rate E])^0.5</f>
        <v>93.465090508500154</v>
      </c>
      <c r="BE60" s="17">
        <f>Table2[[#This Row],[Asset growth E with benefit payments deducted]]/(1+Table2[Compounded CPI])</f>
        <v>45.242595012003903</v>
      </c>
      <c r="BF60" s="19">
        <f>Table2[[#This Row],[Asset growth E with benefit payments deducted]]/(1+Table2[Compounded discount rate E])</f>
        <v>15.107634124743143</v>
      </c>
      <c r="BG60" s="11">
        <f>Table2[[#This Row],[Long-dated forward gilt yields]]+0.75%</f>
        <v>1.524E-2</v>
      </c>
      <c r="BH60" s="11">
        <f t="shared" si="14"/>
        <v>1.3503417345384783</v>
      </c>
      <c r="BI60" s="17">
        <f>((Table2[[#This Row],[Annual benefit payments (closed scheme)]])*1.005^(Table2[[#This Row],[Year]]-2018))/((1+BH59)*(1+Table2[[#This Row],[Discount rate F]])^0.5)+BI59</f>
        <v>67.079396689879417</v>
      </c>
      <c r="BJ60" s="17">
        <f>BJ59*(1+Table2[Discount rate F])</f>
        <v>193.53535253163949</v>
      </c>
      <c r="BK60" s="17">
        <f>Table2[[#This Row],[Asset growth F, under the assumption of full-funding at Year 0]]/(1+Table2[[#This Row],[Compounded CPI]])</f>
        <v>93.682481100235535</v>
      </c>
      <c r="BL60" s="17">
        <f>(BL59*((1+Table2[Discount rate F])^0.5)-Table2[Annual benefit payments (closed scheme)]*1.005^(Table2[Year]-2018))*(1+Table2[Discount rate F])^0.5</f>
        <v>35.875846963753617</v>
      </c>
      <c r="BM60" s="17">
        <f>Table2[[#This Row],[Asset growth F with benefit payments deducted]]/(1+Table2[Compounded CPI])</f>
        <v>17.366017687064893</v>
      </c>
      <c r="BN60" s="19">
        <f>Table2[[#This Row],[Asset growth F with benefit payments deducted]]/(1+Table2[Compounded discount rate F])</f>
        <v>15.264098167749351</v>
      </c>
      <c r="BO60" s="18">
        <f>(1+BO59)*(1+Table2[Discount rate A2])-1</f>
        <v>0.70471967192212981</v>
      </c>
      <c r="BP60" s="17">
        <f>Table2[[#This Row],[Annual benefit payments (ongoing scheme)]]/((1+BO59)*(1+Table2[[#This Row],[Discount rate A2]])^0.5)+BP59</f>
        <v>56.485847241820807</v>
      </c>
      <c r="BQ60" s="17">
        <f>(BQ59*((1+Table2[Discount rate A2])^0.5)-Table2[Annual benefit payments (ongoing scheme)])*(1+Table2[Discount rate A2])^0.5</f>
        <v>95.504065823086293</v>
      </c>
      <c r="BR60" s="18">
        <f>(1+BR59)*(1+Table2[Discount rate B])-1</f>
        <v>1.0192636309452552</v>
      </c>
      <c r="BS60" s="17">
        <f>Table2[[#This Row],[Annual benefit payments (ongoing scheme)]]/((1+BR59)*(1+Table2[[#This Row],[Discount rate B]])^0.5)+BS59</f>
        <v>52.151709325647666</v>
      </c>
      <c r="BT60" s="18">
        <f>(1+BT59)*(1+Table2[Discount rate E])-1</f>
        <v>1.4240452020627661</v>
      </c>
      <c r="BU60" s="17">
        <f>Table2[[#This Row],[Annual benefit payments (ongoing scheme)]]/((1+BT59)*(1+Table2[[#This Row],[Discount rate E]])^0.5)+BU59</f>
        <v>47.973035090932342</v>
      </c>
      <c r="BV60" s="18">
        <f>Table2[CPI]+0.75%+0.75%</f>
        <v>2.6799999999999997E-2</v>
      </c>
      <c r="BW60" s="18">
        <f>(1+BW59)*(1+Table2[Self-sufficiency discount rate, from 2037])-1</f>
        <v>0.65271523323168679</v>
      </c>
      <c r="BX60" s="17">
        <f>(Table2[[#This Row],[Annual benefit payments (ongoing scheme)]]*1.005^(Table2[[#This Row],[Year]]-2038))/((1+BW59)*(1+Table2[[#This Row],[Self-sufficiency discount rate, from 2037]])^0.5)+BX59</f>
        <v>59.44842300564931</v>
      </c>
      <c r="BY60" s="17">
        <f>(BY59*((1+Table2[Self-sufficiency discount rate, from 2037])^0.5)-Table2[Annual benefit payments (ongoing scheme)]*1.005^(Table2[Year]-2038))*(1+Table2[Self-sufficiency discount rate, from 2037])^0.5</f>
        <v>113.37973313611312</v>
      </c>
      <c r="BZ60" s="17">
        <f>(BZ59*((1+Table2[Discount rate B])^0.5)-Table2[Annual benefit payments (ongoing scheme)])*(1+Table2[Discount rate B])^0.5</f>
        <v>83.51923346819386</v>
      </c>
      <c r="CA60" s="17">
        <f>(CA59*((1+Table2[Discount rate A2])^0.5)+Table2[Net cashflow (ongoing scheme)])*(1+Table2[Discount rate A2])^0.5</f>
        <v>94.939862834483492</v>
      </c>
      <c r="CB60" s="17">
        <f>Table2[[#This Row],[Asset growth, ongoing scheme, with November de-risking, net of contributions and payments]]/(1+Table2[Compounded discount rate A2])</f>
        <v>31.321676629197441</v>
      </c>
      <c r="CC60" s="17">
        <f>Table2[[#This Row],[Asset growth, ongoing scheme, with November de-risking, net of contributions and payments]]/(1+Table2[Compounded CPI])</f>
        <v>45.956471462733994</v>
      </c>
      <c r="CD60" s="17">
        <f>(CD59*((1+Table2[Discount rate A1])^0.5)+Table2[Net cashflow (ongoing scheme)])*(1+Table2[Discount rate A1])^0.5</f>
        <v>104.72942529733449</v>
      </c>
      <c r="CE60" s="17">
        <f>Table2[[#This Row],[Asset growth, ongoing scheme, with September de-risking, net of contributions and payments]]/(1+Table2[Compounded discount rate A1])</f>
        <v>32.81710055361102</v>
      </c>
      <c r="CF60" s="17">
        <f>Table2[[#This Row],[Asset growth, ongoing scheme, with September de-risking, net of contributions and payments]]/(1+Table2[Compounded CPI])</f>
        <v>50.695194845355694</v>
      </c>
      <c r="CG60" s="17">
        <f>(CG59*((1+Table2[Discount rate B])^0.5)+Table2[Net cashflow (ongoing scheme)])*(1+Table2[Discount rate B])^0.5</f>
        <v>144.16325722621832</v>
      </c>
      <c r="CH60" s="17">
        <f>Table2[[#This Row],[Asset growth, ongoing scheme, no de-risking, net of contributions and payments]]/(1+Table2[Compounded discount rate B])</f>
        <v>36.385033889294021</v>
      </c>
      <c r="CI60" s="17">
        <f>Table2[[#This Row],[Asset growth, ongoing scheme, no de-risking, net of contributions and payments]]/(1+Table2[Compounded CPI])</f>
        <v>69.783486292178466</v>
      </c>
      <c r="CJ60" s="17">
        <f>(CJ59*((1+Table2[Discount rate E])^0.5)+Table2[Net cashflow (ongoing scheme)])*(1+Table2[Discount rate E])^0.5</f>
        <v>270.69721478441278</v>
      </c>
      <c r="CK60" s="17">
        <f>Table2[[#This Row],[Asset growth, ongoing scheme, best-estimates, no de-risking, net of contributions and payments ]]/(1+Table2[Compounded discount rate E])</f>
        <v>43.755315030460402</v>
      </c>
      <c r="CL60" s="17">
        <f>Table2[[#This Row],[Asset growth, ongoing scheme, best-estimates, no de-risking, net of contributions and payments ]]/(1+Table2[Compounded CPI])</f>
        <v>131.03335579881366</v>
      </c>
      <c r="CM60" s="9">
        <v>1.18E-2</v>
      </c>
      <c r="CN60" s="11">
        <f>(1+Table2[[#This Row],[CPI]])*(1+CN59)-1</f>
        <v>1.0658649328956864</v>
      </c>
      <c r="CO60" s="11">
        <f>'Gilt yields'!B42</f>
        <v>7.7400000000000004E-3</v>
      </c>
      <c r="CP60" s="11">
        <f t="shared" si="15"/>
        <v>3.1800000000000002E-2</v>
      </c>
      <c r="CQ60" s="26">
        <f>(1+Table2[[#This Row],[Salary growth]])*(1+CQ59)-1</f>
        <v>3.0362672451564023</v>
      </c>
      <c r="CR60" s="15">
        <f t="shared" si="17"/>
        <v>20.658649328956869</v>
      </c>
      <c r="CS60" s="17">
        <f t="shared" si="18"/>
        <v>26.856244127643933</v>
      </c>
      <c r="CT60" s="17">
        <f>CT59*(1+Table2[[#This Row],[Salary growth]])</f>
        <v>40.362672451564009</v>
      </c>
      <c r="CU60" s="19">
        <f t="shared" si="19"/>
        <v>52.471474187033245</v>
      </c>
      <c r="CV60" s="112">
        <f>('Cash flows as at 31032017'!B45)/1000000000</f>
        <v>2.4802583540000001</v>
      </c>
      <c r="CW60" s="113">
        <v>0</v>
      </c>
      <c r="CX60" s="113">
        <f>Table2[[#This Row],[Annual contributions (closed scheme)]]-Table2[[#This Row],[Annual benefit payments (closed scheme)]]</f>
        <v>-2.4802583540000001</v>
      </c>
      <c r="CY60" s="113">
        <v>5.15</v>
      </c>
      <c r="CZ60" s="113">
        <v>0</v>
      </c>
      <c r="DA60" s="113">
        <v>-5.15</v>
      </c>
      <c r="DB60" s="17"/>
      <c r="DC60" s="84"/>
      <c r="DD60" s="84"/>
      <c r="DE60" s="84"/>
      <c r="DF60" s="84"/>
      <c r="DG60" s="84"/>
      <c r="DH60" s="84"/>
      <c r="DI60" s="84"/>
      <c r="DJ60" s="84"/>
      <c r="DK60" s="84"/>
      <c r="DL60" s="84"/>
      <c r="DM60" s="84"/>
      <c r="DN60" s="84"/>
      <c r="DO60" s="84"/>
      <c r="DP60" s="84"/>
      <c r="DQ60" s="84"/>
      <c r="DR60" s="84"/>
      <c r="DS60" s="84"/>
      <c r="DT60" s="84"/>
      <c r="DU60" s="84"/>
      <c r="DV60" s="84"/>
      <c r="DW60" s="84"/>
      <c r="DX60" s="84"/>
      <c r="DY60" s="84"/>
      <c r="DZ60" s="84"/>
      <c r="EA60" s="84"/>
      <c r="EB60" s="84"/>
      <c r="EC60" s="84"/>
      <c r="ED60" s="84"/>
      <c r="EE60" s="84"/>
      <c r="EF60" s="84"/>
      <c r="EG60" s="84"/>
      <c r="EH60" s="84"/>
      <c r="EI60" s="84"/>
      <c r="EJ60" s="84"/>
      <c r="EK60" s="84"/>
      <c r="EL60" s="84"/>
      <c r="EM60" s="84"/>
    </row>
    <row r="61" spans="1:147" x14ac:dyDescent="0.2">
      <c r="A61" s="8">
        <v>2054</v>
      </c>
      <c r="B61" s="50"/>
      <c r="C61" s="50"/>
      <c r="D61" s="50"/>
      <c r="E61" s="35">
        <v>6.0999999999999999E-2</v>
      </c>
      <c r="F61" s="16">
        <f>F60*(1+Table2[[#This Row],[2008 discount rate]])</f>
        <v>513.51043144423477</v>
      </c>
      <c r="G61" s="18">
        <v>6.0999999999999999E-2</v>
      </c>
      <c r="H61" s="16">
        <f>H60*(1+Table2[[#This Row],[2011 discount rate]])</f>
        <v>421.98298616699242</v>
      </c>
      <c r="I61" s="18">
        <v>5.1999999999999998E-2</v>
      </c>
      <c r="J61" s="16">
        <f>J60*(1+Table2[[#This Row],[2014 discount rate]])</f>
        <v>316.77058017293348</v>
      </c>
      <c r="K61" s="9">
        <v>2.93E-2</v>
      </c>
      <c r="L61" s="18">
        <f t="shared" si="9"/>
        <v>2.2848117487541075</v>
      </c>
      <c r="M61" s="17">
        <f>Table2[[#This Row],[Annual benefit payments (closed scheme)]]/((1+L60)*(1+Table2[[#This Row],[Discount rate A1]])^0.5)+M60</f>
        <v>57.824625872241967</v>
      </c>
      <c r="N61" s="17">
        <f>N60*(1+Table2[Discount rate A1])</f>
        <v>213.25841647816245</v>
      </c>
      <c r="O61" s="17">
        <f>Table2[[#This Row],[Asset growth A1, under the assumption of full-funding at Year 0]]/(1+Table2[[#This Row],[Compounded CPI]])</f>
        <v>101.97530653776228</v>
      </c>
      <c r="P61" s="17">
        <f>(P60*((1+Table2[Discount rate A1])^0.5)-Table2[Annual benefit payments (closed scheme)])*(1+Table2[Discount rate A1])^0.5</f>
        <v>23.315406045711214</v>
      </c>
      <c r="Q61" s="17">
        <f>Table2[[#This Row],[Asset growth A1 with benefit payments deducted]]/(1+Table2[Compounded CPI])</f>
        <v>11.14889493145637</v>
      </c>
      <c r="R61" s="17">
        <f>Table2[[#This Row],[Asset growth A1 with benefit payments deducted]]/(1+Table2[Compounded discount rate A1])</f>
        <v>7.0979428439253747</v>
      </c>
      <c r="S61" s="9">
        <v>2.93E-2</v>
      </c>
      <c r="T61" s="18">
        <f t="shared" si="20"/>
        <v>2.119935180112285</v>
      </c>
      <c r="U61" s="17">
        <f>Table2[[#This Row],[Annual benefit payments (closed scheme)]]/((1+T60)*(1+Table2[[#This Row],[Discount rate A2]])^0.5)+U60</f>
        <v>60.03826422283305</v>
      </c>
      <c r="V61" s="17">
        <f>V60*(1+Table2[Discount rate A2])</f>
        <v>210.63089874740479</v>
      </c>
      <c r="W61" s="17">
        <f>Table2[[#This Row],[Asset growth A2, under the assumption of full-funding at Year 0]]/(1+Table2[Compounded CPI])</f>
        <v>100.71888753938312</v>
      </c>
      <c r="X61" s="17">
        <f>(X60*((1+Table2[Discount rate A2])^0.5)-Table2[Annual benefit payments (closed scheme)])*(1+Table2[Discount rate A2])^0.5</f>
        <v>23.315406045711281</v>
      </c>
      <c r="Y61" s="17">
        <f>Table2[[#This Row],[Asset growth A2 with benefit payments deducted]]/(1+Table2[[#This Row],[Compounded CPI]])</f>
        <v>11.148894931456402</v>
      </c>
      <c r="Z61" s="19">
        <f>Table2[[#This Row],[Asset growth A2 with benefit payments deducted]]/(1+Table2[Compounded discount rate A2])</f>
        <v>7.4730418100776603</v>
      </c>
      <c r="AA61" s="35">
        <f t="shared" si="16"/>
        <v>4.0299999999999996E-2</v>
      </c>
      <c r="AB61" s="18">
        <f t="shared" si="10"/>
        <v>3.1218330852390155</v>
      </c>
      <c r="AC61" s="17">
        <f>Table2[[#This Row],[Annual benefit payments (closed scheme)]]/((1+AB60)*(1+Table2[[#This Row],[Discount rate B]])^0.5)+AC60</f>
        <v>55.219509688178441</v>
      </c>
      <c r="AD61" s="16">
        <f>AD60*(1+Table2[Discount rate B])</f>
        <v>247.30998511434098</v>
      </c>
      <c r="AE61" s="16">
        <f>Table2[[#This Row],[Asset growth B]]/(1+Table2[Compounded CPI])</f>
        <v>118.25798933692641</v>
      </c>
      <c r="AF61" s="17">
        <f>(AF60*((1+Table2[Discount rate B])^0.5)-Table2[Annual benefit payments (closed scheme)])*(1+Table2[Discount rate B])^0.5</f>
        <v>19.704383130930708</v>
      </c>
      <c r="AG61" s="17">
        <f>Table2[[#This Row],[Asset growth B with benefit payments deducted]]/(1+Table2[Compounded CPI])</f>
        <v>9.4221862053445786</v>
      </c>
      <c r="AH61" s="19">
        <f>Table2[[#This Row],[Asset growth B with benefit payments deducted]]/(1+Table2[Compounded discount rate B])</f>
        <v>4.7804903118215663</v>
      </c>
      <c r="AI61" s="11">
        <f>Table2[CPI]+2.56%</f>
        <v>3.7900000000000003E-2</v>
      </c>
      <c r="AJ61" s="18">
        <f t="shared" si="11"/>
        <v>3.8179948579866201</v>
      </c>
      <c r="AK61" s="17">
        <f>Table2[[#This Row],[Annual benefit payments (closed scheme)]]/((1+AJ60)*(1+Table2[[#This Row],[Discount rate C]])^0.5)+AK60</f>
        <v>47.819465830059329</v>
      </c>
      <c r="AL61" s="17">
        <f>AL60*(1+Table2[Discount rate C])</f>
        <v>289.07969147919727</v>
      </c>
      <c r="AM61" s="17">
        <f>Table2[[#This Row],[Asset growth C]]/(1+Table2[Compounded CPI])</f>
        <v>138.23130940978135</v>
      </c>
      <c r="AN61" s="17">
        <f>(AN60*((1+Table2[Discount rate C])^0.5)-Table2[Annual benefit payments (closed scheme)])*(1+Table2[Discount rate C])^0.5</f>
        <v>58.685750998304286</v>
      </c>
      <c r="AO61" s="17">
        <f>Table2[[#This Row],[Asset growth C with benefit payments deducted]]/(1+Table2[Compounded CPI])</f>
        <v>28.062186460357957</v>
      </c>
      <c r="AP61" s="19">
        <f>Table2[[#This Row],[Asset growth C with benefit payments deducted]]/(1+Table2[Compounded discount rate C])</f>
        <v>12.180534169940632</v>
      </c>
      <c r="AQ61" s="11">
        <f>Table2[CPI]+2.56%</f>
        <v>3.7900000000000003E-2</v>
      </c>
      <c r="AR61" s="18">
        <f t="shared" si="12"/>
        <v>3.5099665910506506</v>
      </c>
      <c r="AS61" s="17">
        <f>Table2[[#This Row],[Annual benefit payments (closed scheme)]]/((1+AR60)*(1+Table2[[#This Row],[Discount rate D]])^0.5)+AS60</f>
        <v>50.009290778140098</v>
      </c>
      <c r="AT61" s="16">
        <f>AT60*(1+Table2[Discount rate D])</f>
        <v>270.59799546303907</v>
      </c>
      <c r="AU61" s="17">
        <f>Table2[[#This Row],[Asset growth D]]/(1+Table2[Compounded CPI])</f>
        <v>129.39378427145482</v>
      </c>
      <c r="AV61" s="17">
        <f>(AV60*((1+Table2[Discount rate D])^0.5)-Table2[Annual benefit payments (closed scheme)])*(1+Table2[Discount rate D])^0.5</f>
        <v>45.057764811489911</v>
      </c>
      <c r="AW61" s="17">
        <f>Table2[[#This Row],[Asset growth D with benefit payments deducted]]/(1+Table2[Compounded CPI])</f>
        <v>21.545594562869621</v>
      </c>
      <c r="AX61" s="19">
        <f>Table2[[#This Row],[Asset growth D with benefit payments deducted]]/(1+Table2[Compounded discount rate D])</f>
        <v>9.9907092218599267</v>
      </c>
      <c r="AY61" s="11">
        <f>Table2[CPI]+4%</f>
        <v>5.2299999999999999E-2</v>
      </c>
      <c r="AZ61" s="18">
        <f t="shared" si="13"/>
        <v>5.5101731965438958</v>
      </c>
      <c r="BA61" s="17">
        <f>Table2[[#This Row],[Annual benefit payments (closed scheme)]]/((1+AZ60)*(1+Table2[[#This Row],[Discount rate E]])^0.5)+BA60</f>
        <v>45.266817170656111</v>
      </c>
      <c r="BB61" s="17">
        <f>BB60*(1+Table2[Discount rate E])</f>
        <v>390.610391792634</v>
      </c>
      <c r="BC61" s="16">
        <f>Table2[[#This Row],[Asset growth E]]/(1+Table2[Compounded CPI])</f>
        <v>186.78097257637714</v>
      </c>
      <c r="BD61" s="17">
        <f>(BD60*((1+Table2[Discount rate E])^0.5)-Table2[Annual benefit payments (closed scheme)])*(1+Table2[Discount rate E])^0.5</f>
        <v>95.91557195537554</v>
      </c>
      <c r="BE61" s="17">
        <f>Table2[[#This Row],[Asset growth E with benefit payments deducted]]/(1+Table2[Compounded CPI])</f>
        <v>45.864636966840592</v>
      </c>
      <c r="BF61" s="19">
        <f>Table2[[#This Row],[Asset growth E with benefit payments deducted]]/(1+Table2[Compounded discount rate E])</f>
        <v>14.733182829343919</v>
      </c>
      <c r="BG61" s="11">
        <f>Table2[[#This Row],[Long-dated forward gilt yields]]+0.75%</f>
        <v>1.532E-2</v>
      </c>
      <c r="BH61" s="11">
        <f t="shared" si="14"/>
        <v>1.3863489699116078</v>
      </c>
      <c r="BI61" s="17">
        <f>((Table2[[#This Row],[Annual benefit payments (closed scheme)]])*1.005^(Table2[[#This Row],[Year]]-2018))/((1+BH60)*(1+Table2[[#This Row],[Discount rate F]])^0.5)+BI60</f>
        <v>68.28017776663097</v>
      </c>
      <c r="BJ61" s="17">
        <f>BJ60*(1+Table2[Discount rate F])</f>
        <v>196.50031413242419</v>
      </c>
      <c r="BK61" s="17">
        <f>Table2[[#This Row],[Asset growth F, under the assumption of full-funding at Year 0]]/(1+Table2[[#This Row],[Compounded CPI]])</f>
        <v>93.961964546765913</v>
      </c>
      <c r="BL61" s="17">
        <f>(BL60*((1+Table2[Discount rate F])^0.5)-Table2[Annual benefit payments (closed scheme)]*1.005^(Table2[Year]-2018))*(1+Table2[Discount rate F])^0.5</f>
        <v>33.559982253642893</v>
      </c>
      <c r="BM61" s="17">
        <f>Table2[[#This Row],[Asset growth F with benefit payments deducted]]/(1+Table2[Compounded CPI])</f>
        <v>16.047617412874942</v>
      </c>
      <c r="BN61" s="19">
        <f>Table2[[#This Row],[Asset growth F with benefit payments deducted]]/(1+Table2[Compounded discount rate F])</f>
        <v>14.063317090997794</v>
      </c>
      <c r="BO61" s="18">
        <f>(1+BO60)*(1+Table2[Discount rate A2])-1</f>
        <v>0.75466795830944844</v>
      </c>
      <c r="BP61" s="17">
        <f>Table2[[#This Row],[Annual benefit payments (ongoing scheme)]]/((1+BO60)*(1+Table2[[#This Row],[Discount rate A2]])^0.5)+BP60</f>
        <v>59.446217291641595</v>
      </c>
      <c r="BQ61" s="17">
        <f>(BQ60*((1+Table2[Discount rate A2])^0.5)-Table2[Annual benefit payments (ongoing scheme)])*(1+Table2[Discount rate A2])^0.5</f>
        <v>93.107868480543246</v>
      </c>
      <c r="BR61" s="18">
        <f>(1+BR60)*(1+Table2[Discount rate B])-1</f>
        <v>1.1006399552723489</v>
      </c>
      <c r="BS61" s="17">
        <f>Table2[[#This Row],[Annual benefit payments (ongoing scheme)]]/((1+BR60)*(1+Table2[[#This Row],[Discount rate B]])^0.5)+BS60</f>
        <v>54.637689372094812</v>
      </c>
      <c r="BT61" s="18">
        <f>(1+BT60)*(1+Table2[Discount rate E])-1</f>
        <v>1.5508227661306488</v>
      </c>
      <c r="BU61" s="17">
        <f>Table2[[#This Row],[Annual benefit payments (ongoing scheme)]]/((1+BT60)*(1+Table2[[#This Row],[Discount rate E]])^0.5)+BU60</f>
        <v>50.032049859934084</v>
      </c>
      <c r="BV61" s="18">
        <f>Table2[CPI]+0.75%+0.75%</f>
        <v>2.7299999999999998E-2</v>
      </c>
      <c r="BW61" s="18">
        <f>(1+BW60)*(1+Table2[Self-sufficiency discount rate, from 2037])-1</f>
        <v>0.697834359098912</v>
      </c>
      <c r="BX61" s="17">
        <f>(Table2[[#This Row],[Annual benefit payments (ongoing scheme)]]*1.005^(Table2[[#This Row],[Year]]-2038))/((1+BW60)*(1+Table2[[#This Row],[Self-sufficiency discount rate, from 2037]])^0.5)+BX60</f>
        <v>62.758821493782428</v>
      </c>
      <c r="BY61" s="17">
        <f>(BY60*((1+Table2[Self-sufficiency discount rate, from 2037])^0.5)-Table2[Annual benefit payments (ongoing scheme)]*1.005^(Table2[Year]-2038))*(1+Table2[Self-sufficiency discount rate, from 2037])^0.5</f>
        <v>110.85449155526751</v>
      </c>
      <c r="BZ61" s="17">
        <f>(BZ60*((1+Table2[Discount rate B])^0.5)-Table2[Annual benefit payments (ongoing scheme)])*(1+Table2[Discount rate B])^0.5</f>
        <v>81.662909563385384</v>
      </c>
      <c r="CA61" s="17">
        <f>(CA60*((1+Table2[Discount rate A2])^0.5)+Table2[Net cashflow (ongoing scheme)])*(1+Table2[Discount rate A2])^0.5</f>
        <v>92.527134344374389</v>
      </c>
      <c r="CB61" s="17">
        <f>Table2[[#This Row],[Asset growth, ongoing scheme, with November de-risking, net of contributions and payments]]/(1+Table2[Compounded discount rate A2])</f>
        <v>29.656748939586745</v>
      </c>
      <c r="CC61" s="17">
        <f>Table2[[#This Row],[Asset growth, ongoing scheme, with November de-risking, net of contributions and payments]]/(1+Table2[Compounded CPI])</f>
        <v>44.244363451861602</v>
      </c>
      <c r="CD61" s="17">
        <f>(CD60*((1+Table2[Discount rate A1])^0.5)+Table2[Net cashflow (ongoing scheme)])*(1+Table2[Discount rate A1])^0.5</f>
        <v>102.6035309873869</v>
      </c>
      <c r="CE61" s="17">
        <f>Table2[[#This Row],[Asset growth, ongoing scheme, with September de-risking, net of contributions and payments]]/(1+Table2[Compounded discount rate A1])</f>
        <v>31.235741599591904</v>
      </c>
      <c r="CF61" s="17">
        <f>Table2[[#This Row],[Asset growth, ongoing scheme, with September de-risking, net of contributions and payments]]/(1+Table2[Compounded CPI])</f>
        <v>49.062666304506578</v>
      </c>
      <c r="CG61" s="17">
        <f>(CG60*((1+Table2[Discount rate B])^0.5)+Table2[Net cashflow (ongoing scheme)])*(1+Table2[Discount rate B])^0.5</f>
        <v>144.75088747885826</v>
      </c>
      <c r="CH61" s="17">
        <f>Table2[[#This Row],[Asset growth, ongoing scheme, no de-risking, net of contributions and payments]]/(1+Table2[Compounded discount rate B])</f>
        <v>35.118085687951748</v>
      </c>
      <c r="CI61" s="17">
        <f>Table2[[#This Row],[Asset growth, ongoing scheme, no de-risking, net of contributions and payments]]/(1+Table2[Compounded CPI])</f>
        <v>69.216570046984415</v>
      </c>
      <c r="CJ61" s="17">
        <f>(CJ60*((1+Table2[Discount rate E])^0.5)+Table2[Net cashflow (ongoing scheme)])*(1+Table2[Discount rate E])^0.5</f>
        <v>279.60249736906871</v>
      </c>
      <c r="CK61" s="17">
        <f>Table2[[#This Row],[Asset growth, ongoing scheme, best-estimates, no de-risking, net of contributions and payments ]]/(1+Table2[Compounded discount rate E])</f>
        <v>42.948549743270021</v>
      </c>
      <c r="CL61" s="17">
        <f>Table2[[#This Row],[Asset growth, ongoing scheme, best-estimates, no de-risking, net of contributions and payments ]]/(1+Table2[Compounded CPI])</f>
        <v>133.69953152988137</v>
      </c>
      <c r="CM61" s="9">
        <v>1.23E-2</v>
      </c>
      <c r="CN61" s="11">
        <f>(1+Table2[[#This Row],[CPI]])*(1+CN60)-1</f>
        <v>1.0912750715703035</v>
      </c>
      <c r="CO61" s="11">
        <f>'Gilt yields'!B43</f>
        <v>7.8200000000000006E-3</v>
      </c>
      <c r="CP61" s="11">
        <f t="shared" si="15"/>
        <v>3.2300000000000002E-2</v>
      </c>
      <c r="CQ61" s="26">
        <f>(1+Table2[[#This Row],[Salary growth]])*(1+CQ60)-1</f>
        <v>3.1666386771749542</v>
      </c>
      <c r="CR61" s="15">
        <f t="shared" si="17"/>
        <v>20.912750715703037</v>
      </c>
      <c r="CS61" s="17">
        <f t="shared" si="18"/>
        <v>27.186575930413952</v>
      </c>
      <c r="CT61" s="17">
        <f>CT60*(1+Table2[[#This Row],[Salary growth]])</f>
        <v>41.666386771749529</v>
      </c>
      <c r="CU61" s="19">
        <f t="shared" si="19"/>
        <v>54.166302803274419</v>
      </c>
      <c r="CV61" s="112">
        <f>('Cash flows as at 31032017'!B46)/1000000000</f>
        <v>2.3763920719999998</v>
      </c>
      <c r="CW61" s="113">
        <v>0</v>
      </c>
      <c r="CX61" s="113">
        <f>Table2[[#This Row],[Annual contributions (closed scheme)]]-Table2[[#This Row],[Annual benefit payments (closed scheme)]]</f>
        <v>-2.3763920719999998</v>
      </c>
      <c r="CY61" s="113">
        <v>5.12</v>
      </c>
      <c r="CZ61" s="113">
        <v>0</v>
      </c>
      <c r="DA61" s="113">
        <v>-5.12</v>
      </c>
      <c r="DB61" s="17"/>
      <c r="DC61" s="84"/>
      <c r="DD61" s="84"/>
      <c r="DE61" s="84"/>
      <c r="DF61" s="84"/>
      <c r="DG61" s="84"/>
      <c r="DH61" s="84"/>
      <c r="DI61" s="84"/>
      <c r="DJ61" s="84"/>
      <c r="DK61" s="84"/>
      <c r="DL61" s="84"/>
      <c r="DM61" s="84"/>
      <c r="DN61" s="84"/>
      <c r="DO61" s="84"/>
      <c r="DP61" s="84"/>
      <c r="DQ61" s="84"/>
      <c r="DR61" s="84"/>
      <c r="DS61" s="84"/>
      <c r="DT61" s="84"/>
      <c r="DU61" s="84"/>
      <c r="DV61" s="84"/>
      <c r="DW61" s="84"/>
      <c r="DX61" s="84"/>
      <c r="DY61" s="84"/>
      <c r="DZ61" s="84"/>
      <c r="EA61" s="84"/>
      <c r="EB61" s="84"/>
      <c r="EC61" s="84"/>
      <c r="ED61" s="84"/>
      <c r="EE61" s="84"/>
      <c r="EF61" s="84"/>
      <c r="EG61" s="84"/>
      <c r="EH61" s="84"/>
      <c r="EI61" s="84"/>
      <c r="EJ61" s="84"/>
      <c r="EK61" s="84"/>
      <c r="EL61" s="84"/>
      <c r="EM61" s="84"/>
      <c r="EN61" s="84"/>
    </row>
    <row r="62" spans="1:147" x14ac:dyDescent="0.2">
      <c r="A62" s="8">
        <v>2055</v>
      </c>
      <c r="B62" s="50"/>
      <c r="C62" s="50"/>
      <c r="D62" s="50"/>
      <c r="E62" s="35">
        <v>6.0999999999999999E-2</v>
      </c>
      <c r="F62" s="16">
        <f>F61*(1+Table2[[#This Row],[2008 discount rate]])</f>
        <v>544.83456776233311</v>
      </c>
      <c r="G62" s="18">
        <v>6.0999999999999999E-2</v>
      </c>
      <c r="H62" s="16">
        <f>H61*(1+Table2[[#This Row],[2011 discount rate]])</f>
        <v>447.72394832317894</v>
      </c>
      <c r="I62" s="18">
        <v>5.1999999999999998E-2</v>
      </c>
      <c r="J62" s="16">
        <f>J61*(1+Table2[[#This Row],[2014 discount rate]])</f>
        <v>333.24265034192604</v>
      </c>
      <c r="K62" s="9">
        <v>2.9899999999999999E-2</v>
      </c>
      <c r="L62" s="18">
        <f t="shared" si="9"/>
        <v>2.3830276200418554</v>
      </c>
      <c r="M62" s="17">
        <f>Table2[[#This Row],[Annual benefit payments (closed scheme)]]/((1+L61)*(1+Table2[[#This Row],[Discount rate A1]])^0.5)+M61</f>
        <v>58.506849663705701</v>
      </c>
      <c r="N62" s="17">
        <f>N61*(1+Table2[Discount rate A1])</f>
        <v>219.63484313085951</v>
      </c>
      <c r="O62" s="17">
        <f>Table2[[#This Row],[Asset growth A1, under the assumption of full-funding at Year 0]]/(1+Table2[[#This Row],[Compounded CPI]])</f>
        <v>103.68680837520128</v>
      </c>
      <c r="P62" s="17">
        <f>(P61*((1+Table2[Discount rate A1])^0.5)-Table2[Annual benefit payments (closed scheme)])*(1+Table2[Discount rate A1])^0.5</f>
        <v>21.704554756906496</v>
      </c>
      <c r="Q62" s="17">
        <f>Table2[[#This Row],[Asset growth A1 with benefit payments deducted]]/(1+Table2[Compounded CPI])</f>
        <v>10.246443496251562</v>
      </c>
      <c r="R62" s="17">
        <f>Table2[[#This Row],[Asset growth A1 with benefit payments deducted]]/(1+Table2[Compounded discount rate A1])</f>
        <v>6.4157190524616423</v>
      </c>
      <c r="S62" s="9">
        <v>2.9900000000000003E-2</v>
      </c>
      <c r="T62" s="18">
        <f t="shared" si="20"/>
        <v>2.2132212419976423</v>
      </c>
      <c r="U62" s="17">
        <f>Table2[[#This Row],[Annual benefit payments (closed scheme)]]/((1+T61)*(1+Table2[[#This Row],[Discount rate A2]])^0.5)+U61</f>
        <v>60.756540916453005</v>
      </c>
      <c r="V62" s="17">
        <f>V61*(1+Table2[Discount rate A2])</f>
        <v>216.92876261995221</v>
      </c>
      <c r="W62" s="17">
        <f>Table2[[#This Row],[Asset growth A2, under the assumption of full-funding at Year 0]]/(1+Table2[Compounded CPI])</f>
        <v>102.40930227743182</v>
      </c>
      <c r="X62" s="17">
        <f>(X61*((1+Table2[Discount rate A2])^0.5)-Table2[Annual benefit payments (closed scheme)])*(1+Table2[Discount rate A2])^0.5</f>
        <v>21.704554756906568</v>
      </c>
      <c r="Y62" s="17">
        <f>Table2[[#This Row],[Asset growth A2 with benefit payments deducted]]/(1+Table2[[#This Row],[Compounded CPI]])</f>
        <v>10.246443496251596</v>
      </c>
      <c r="Z62" s="19">
        <f>Table2[[#This Row],[Asset growth A2 with benefit payments deducted]]/(1+Table2[Compounded discount rate A2])</f>
        <v>6.7547651164577029</v>
      </c>
      <c r="AA62" s="35">
        <f t="shared" si="16"/>
        <v>4.0899999999999999E-2</v>
      </c>
      <c r="AB62" s="18">
        <f t="shared" si="10"/>
        <v>3.2904160584252908</v>
      </c>
      <c r="AC62" s="17">
        <f>Table2[[#This Row],[Annual benefit payments (closed scheme)]]/((1+AB61)*(1+Table2[[#This Row],[Discount rate B]])^0.5)+AC61</f>
        <v>55.760313781257686</v>
      </c>
      <c r="AD62" s="16">
        <f>AD61*(1+Table2[Discount rate B])</f>
        <v>257.4249635055175</v>
      </c>
      <c r="AE62" s="16">
        <f>Table2[[#This Row],[Asset growth B]]/(1+Table2[Compounded CPI])</f>
        <v>121.52704225570807</v>
      </c>
      <c r="AF62" s="17">
        <f>(AF61*((1+Table2[Discount rate B])^0.5)-Table2[Annual benefit payments (closed scheme)])*(1+Table2[Discount rate B])^0.5</f>
        <v>18.190017835576441</v>
      </c>
      <c r="AG62" s="17">
        <f>Table2[[#This Row],[Asset growth B with benefit payments deducted]]/(1+Table2[Compounded CPI])</f>
        <v>8.5872754376006792</v>
      </c>
      <c r="AH62" s="19">
        <f>Table2[[#This Row],[Asset growth B with benefit payments deducted]]/(1+Table2[Compounded discount rate B])</f>
        <v>4.2396862187423183</v>
      </c>
      <c r="AI62" s="11">
        <f>Table2[CPI]+2.56%</f>
        <v>3.85E-2</v>
      </c>
      <c r="AJ62" s="18">
        <f t="shared" si="11"/>
        <v>4.0034876600191049</v>
      </c>
      <c r="AK62" s="17">
        <f>Table2[[#This Row],[Annual benefit payments (closed scheme)]]/((1+AJ61)*(1+Table2[[#This Row],[Discount rate C]])^0.5)+AK61</f>
        <v>48.282662354997797</v>
      </c>
      <c r="AL62" s="17">
        <f>AL61*(1+Table2[Discount rate C])</f>
        <v>300.20925960114636</v>
      </c>
      <c r="AM62" s="17">
        <f>Table2[[#This Row],[Asset growth C]]/(1+Table2[Compounded CPI])</f>
        <v>141.72496280191325</v>
      </c>
      <c r="AN62" s="17">
        <f>(AN61*((1+Table2[Discount rate C])^0.5)-Table2[Annual benefit payments (closed scheme)])*(1+Table2[Discount rate C])^0.5</f>
        <v>58.627554315045657</v>
      </c>
      <c r="AO62" s="17">
        <f>Table2[[#This Row],[Asset growth C with benefit payments deducted]]/(1+Table2[Compounded CPI])</f>
        <v>27.677320697923161</v>
      </c>
      <c r="AP62" s="19">
        <f>Table2[[#This Row],[Asset growth C with benefit payments deducted]]/(1+Table2[Compounded discount rate C])</f>
        <v>11.717337645002166</v>
      </c>
      <c r="AQ62" s="11">
        <f>Table2[CPI]+2.56%</f>
        <v>3.85E-2</v>
      </c>
      <c r="AR62" s="18">
        <f t="shared" si="12"/>
        <v>3.6836003048061006</v>
      </c>
      <c r="AS62" s="17">
        <f>Table2[[#This Row],[Annual benefit payments (closed scheme)]]/((1+AR61)*(1+Table2[[#This Row],[Discount rate D]])^0.5)+AS61</f>
        <v>50.504123373977777</v>
      </c>
      <c r="AT62" s="16">
        <f>AT61*(1+Table2[Discount rate D])</f>
        <v>281.01601828836607</v>
      </c>
      <c r="AU62" s="17">
        <f>Table2[[#This Row],[Asset growth D]]/(1+Table2[Compounded CPI])</f>
        <v>132.66407835512473</v>
      </c>
      <c r="AV62" s="17">
        <f>(AV61*((1+Table2[Discount rate D])^0.5)-Table2[Annual benefit payments (closed scheme)])*(1+Table2[Discount rate D])^0.5</f>
        <v>44.47489066003893</v>
      </c>
      <c r="AW62" s="17">
        <f>Table2[[#This Row],[Asset growth D with benefit payments deducted]]/(1+Table2[Compounded CPI])</f>
        <v>20.996028679420213</v>
      </c>
      <c r="AX62" s="19">
        <f>Table2[[#This Row],[Asset growth D with benefit payments deducted]]/(1+Table2[Compounded discount rate D])</f>
        <v>9.4958766260222482</v>
      </c>
      <c r="AY62" s="11">
        <f>Table2[CPI]+4%</f>
        <v>5.2900000000000003E-2</v>
      </c>
      <c r="AZ62" s="18">
        <f t="shared" si="13"/>
        <v>5.8545613586410674</v>
      </c>
      <c r="BA62" s="17">
        <f>Table2[[#This Row],[Annual benefit payments (closed scheme)]]/((1+AZ61)*(1+Table2[[#This Row],[Discount rate E]])^0.5)+BA61</f>
        <v>45.607263589011495</v>
      </c>
      <c r="BB62" s="17">
        <f>BB61*(1+Table2[Discount rate E])</f>
        <v>411.27368151846434</v>
      </c>
      <c r="BC62" s="16">
        <f>Table2[[#This Row],[Asset growth E]]/(1+Table2[Compounded CPI])</f>
        <v>194.15705995228305</v>
      </c>
      <c r="BD62" s="17">
        <f>(BD61*((1+Table2[Discount rate E])^0.5)-Table2[Annual benefit payments (closed scheme)])*(1+Table2[Discount rate E])^0.5</f>
        <v>98.655894847868325</v>
      </c>
      <c r="BE62" s="17">
        <f>Table2[[#This Row],[Asset growth E with benefit payments deducted]]/(1+Table2[Compounded CPI])</f>
        <v>46.574189770428433</v>
      </c>
      <c r="BF62" s="19">
        <f>Table2[[#This Row],[Asset growth E with benefit payments deducted]]/(1+Table2[Compounded discount rate E])</f>
        <v>14.392736410988533</v>
      </c>
      <c r="BG62" s="11">
        <f>Table2[[#This Row],[Long-dated forward gilt yields]]+0.75%</f>
        <v>1.555E-2</v>
      </c>
      <c r="BH62" s="11">
        <f t="shared" si="14"/>
        <v>1.4234566963937332</v>
      </c>
      <c r="BI62" s="17">
        <f>((Table2[[#This Row],[Annual benefit payments (closed scheme)]])*1.005^(Table2[[#This Row],[Year]]-2018))/((1+BH61)*(1+Table2[[#This Row],[Discount rate F]])^0.5)+BI61</f>
        <v>69.417528865142984</v>
      </c>
      <c r="BJ62" s="17">
        <f>BJ61*(1+Table2[Discount rate F])</f>
        <v>199.55589401718339</v>
      </c>
      <c r="BK62" s="17">
        <f>Table2[[#This Row],[Asset growth F, under the assumption of full-funding at Year 0]]/(1+Table2[[#This Row],[Compounded CPI]])</f>
        <v>94.207792571298384</v>
      </c>
      <c r="BL62" s="17">
        <f>(BL61*((1+Table2[Discount rate F])^0.5)-Table2[Annual benefit payments (closed scheme)]*1.005^(Table2[Year]-2018))*(1+Table2[Discount rate F])^0.5</f>
        <v>31.32551884184732</v>
      </c>
      <c r="BM62" s="17">
        <f>Table2[[#This Row],[Asset growth F with benefit payments deducted]]/(1+Table2[Compounded CPI])</f>
        <v>14.788377941805802</v>
      </c>
      <c r="BN62" s="19">
        <f>Table2[[#This Row],[Asset growth F with benefit payments deducted]]/(1+Table2[Compounded discount rate F])</f>
        <v>12.925965992485775</v>
      </c>
      <c r="BO62" s="18">
        <f>(1+BO61)*(1+Table2[Discount rate A2])-1</f>
        <v>0.8071325302629011</v>
      </c>
      <c r="BP62" s="17">
        <f>Table2[[#This Row],[Annual benefit payments (ongoing scheme)]]/((1+BO61)*(1+Table2[[#This Row],[Discount rate A2]])^0.5)+BP61</f>
        <v>62.37202142186581</v>
      </c>
      <c r="BQ62" s="17">
        <f>(BQ61*((1+Table2[Discount rate A2])^0.5)-Table2[Annual benefit payments (ongoing scheme)])*(1+Table2[Discount rate A2])^0.5</f>
        <v>90.60447792720575</v>
      </c>
      <c r="BR62" s="18">
        <f>(1+BR61)*(1+Table2[Discount rate B])-1</f>
        <v>1.1865561294429878</v>
      </c>
      <c r="BS62" s="17">
        <f>Table2[[#This Row],[Annual benefit payments (ongoing scheme)]]/((1+BR61)*(1+Table2[[#This Row],[Discount rate B]])^0.5)+BS61</f>
        <v>57.068670555620798</v>
      </c>
      <c r="BT62" s="18">
        <f>(1+BT61)*(1+Table2[Discount rate E])-1</f>
        <v>1.6857612904589598</v>
      </c>
      <c r="BU62" s="17">
        <f>Table2[[#This Row],[Annual benefit payments (ongoing scheme)]]/((1+BT61)*(1+Table2[[#This Row],[Discount rate E]])^0.5)+BU61</f>
        <v>52.022557624597638</v>
      </c>
      <c r="BV62" s="18">
        <f>Table2[CPI]+0.75%+0.75%</f>
        <v>2.7900000000000001E-2</v>
      </c>
      <c r="BW62" s="18">
        <f>(1+BW61)*(1+Table2[Self-sufficiency discount rate, from 2037])-1</f>
        <v>0.74520393771777171</v>
      </c>
      <c r="BX62" s="17">
        <f>(Table2[[#This Row],[Annual benefit payments (ongoing scheme)]]*1.005^(Table2[[#This Row],[Year]]-2038))/((1+BW61)*(1+Table2[[#This Row],[Self-sufficiency discount rate, from 2037]])^0.5)+BX61</f>
        <v>66.053325363246145</v>
      </c>
      <c r="BY62" s="17">
        <f>(BY61*((1+Table2[Self-sufficiency discount rate, from 2037])^0.5)-Table2[Annual benefit payments (ongoing scheme)]*1.005^(Table2[Year]-2038))*(1+Table2[Self-sufficiency discount rate, from 2037])^0.5</f>
        <v>108.19775074384495</v>
      </c>
      <c r="BZ62" s="17">
        <f>(BZ61*((1+Table2[Discount rate B])^0.5)-Table2[Annual benefit payments (ongoing scheme)])*(1+Table2[Discount rate B])^0.5</f>
        <v>79.687445757128529</v>
      </c>
      <c r="CA62" s="17">
        <f>(CA61*((1+Table2[Discount rate A2])^0.5)+Table2[Net cashflow (ongoing scheme)])*(1+Table2[Discount rate A2])^0.5</f>
        <v>90.006379840365454</v>
      </c>
      <c r="CB62" s="17">
        <f>Table2[[#This Row],[Asset growth, ongoing scheme, with November de-risking, net of contributions and payments]]/(1+Table2[Compounded discount rate A2])</f>
        <v>28.011261304997777</v>
      </c>
      <c r="CC62" s="17">
        <f>Table2[[#This Row],[Asset growth, ongoing scheme, with November de-risking, net of contributions and payments]]/(1+Table2[Compounded CPI])</f>
        <v>42.49086404516072</v>
      </c>
      <c r="CD62" s="17">
        <f>(CD61*((1+Table2[Discount rate A1])^0.5)+Table2[Net cashflow (ongoing scheme)])*(1+Table2[Discount rate A1])^0.5</f>
        <v>100.38406074300403</v>
      </c>
      <c r="CE62" s="17">
        <f>Table2[[#This Row],[Asset growth, ongoing scheme, with September de-risking, net of contributions and payments]]/(1+Table2[Compounded discount rate A1])</f>
        <v>29.672846934002287</v>
      </c>
      <c r="CF62" s="17">
        <f>Table2[[#This Row],[Asset growth, ongoing scheme, with September de-risking, net of contributions and payments]]/(1+Table2[Compounded CPI])</f>
        <v>47.390034849720941</v>
      </c>
      <c r="CG62" s="17">
        <f>(CG61*((1+Table2[Discount rate B])^0.5)+Table2[Net cashflow (ongoing scheme)])*(1+Table2[Discount rate B])^0.5</f>
        <v>145.35572196934422</v>
      </c>
      <c r="CH62" s="17">
        <f>Table2[[#This Row],[Asset growth, ongoing scheme, no de-risking, net of contributions and payments]]/(1+Table2[Compounded discount rate B])</f>
        <v>33.87916695955451</v>
      </c>
      <c r="CI62" s="17">
        <f>Table2[[#This Row],[Asset growth, ongoing scheme, no de-risking, net of contributions and payments]]/(1+Table2[Compounded CPI])</f>
        <v>68.620582578032824</v>
      </c>
      <c r="CJ62" s="17">
        <f>(CJ61*((1+Table2[Discount rate E])^0.5)+Table2[Net cashflow (ongoing scheme)])*(1+Table2[Discount rate E])^0.5</f>
        <v>289.04744077720102</v>
      </c>
      <c r="CK62" s="17">
        <f>Table2[[#This Row],[Asset growth, ongoing scheme, best-estimates, no de-risking, net of contributions and payments ]]/(1+Table2[Compounded discount rate E])</f>
        <v>42.168626941068823</v>
      </c>
      <c r="CL62" s="17">
        <f>Table2[[#This Row],[Asset growth, ongoing scheme, best-estimates, no de-risking, net of contributions and payments ]]/(1+Table2[Compounded CPI])</f>
        <v>136.45561048504254</v>
      </c>
      <c r="CM62" s="9">
        <v>1.29E-2</v>
      </c>
      <c r="CN62" s="11">
        <f>(1+Table2[[#This Row],[CPI]])*(1+CN61)-1</f>
        <v>1.1182525199935602</v>
      </c>
      <c r="CO62" s="11">
        <f>'Gilt yields'!B44</f>
        <v>8.0499999999999999E-3</v>
      </c>
      <c r="CP62" s="11">
        <f t="shared" si="15"/>
        <v>3.2899999999999999E-2</v>
      </c>
      <c r="CQ62" s="26">
        <f>(1+Table2[[#This Row],[Salary growth]])*(1+CQ61)-1</f>
        <v>3.3037210896540099</v>
      </c>
      <c r="CR62" s="15">
        <f t="shared" si="17"/>
        <v>21.182525199935604</v>
      </c>
      <c r="CS62" s="17">
        <f t="shared" si="18"/>
        <v>27.537282759916287</v>
      </c>
      <c r="CT62" s="17">
        <f>CT61*(1+Table2[[#This Row],[Salary growth]])</f>
        <v>43.037210896540088</v>
      </c>
      <c r="CU62" s="19">
        <f t="shared" si="19"/>
        <v>55.948374165502145</v>
      </c>
      <c r="CV62" s="112">
        <f>('Cash flows as at 31032017'!B47)/1000000000</f>
        <v>2.2742325710000002</v>
      </c>
      <c r="CW62" s="113">
        <v>0</v>
      </c>
      <c r="CX62" s="113">
        <f>Table2[[#This Row],[Annual contributions (closed scheme)]]-Table2[[#This Row],[Annual benefit payments (closed scheme)]]</f>
        <v>-2.2742325710000002</v>
      </c>
      <c r="CY62" s="113">
        <v>5.21</v>
      </c>
      <c r="CZ62" s="113">
        <v>0</v>
      </c>
      <c r="DA62" s="113">
        <v>-5.21</v>
      </c>
      <c r="DB62" s="17"/>
      <c r="DC62" s="84"/>
      <c r="DD62" s="84"/>
      <c r="DE62" s="84"/>
      <c r="DF62" s="84"/>
      <c r="DG62" s="84"/>
      <c r="DH62" s="84"/>
      <c r="DI62" s="84"/>
      <c r="DJ62" s="84"/>
      <c r="DK62" s="84"/>
      <c r="DL62" s="84"/>
      <c r="DM62" s="84"/>
      <c r="DN62" s="84"/>
      <c r="DO62" s="84"/>
      <c r="DP62" s="84"/>
      <c r="DQ62" s="84"/>
      <c r="DR62" s="84"/>
      <c r="DS62" s="84"/>
      <c r="DT62" s="84"/>
      <c r="DU62" s="84"/>
      <c r="DV62" s="84"/>
      <c r="DW62" s="84"/>
      <c r="DX62" s="84"/>
      <c r="DY62" s="84"/>
      <c r="DZ62" s="84"/>
      <c r="EA62" s="84"/>
      <c r="EB62" s="84"/>
      <c r="EC62" s="84"/>
      <c r="ED62" s="84"/>
      <c r="EE62" s="84"/>
      <c r="EF62" s="84"/>
      <c r="EG62" s="84"/>
      <c r="EH62" s="84"/>
      <c r="EI62" s="84"/>
      <c r="EJ62" s="84"/>
      <c r="EK62" s="84"/>
      <c r="EL62" s="84"/>
      <c r="EM62" s="84"/>
      <c r="EN62" s="84"/>
      <c r="EO62" s="84"/>
    </row>
    <row r="63" spans="1:147" x14ac:dyDescent="0.2">
      <c r="A63" s="8">
        <v>2056</v>
      </c>
      <c r="B63" s="50"/>
      <c r="C63" s="50"/>
      <c r="D63" s="50"/>
      <c r="E63" s="35">
        <v>6.0999999999999999E-2</v>
      </c>
      <c r="F63" s="16">
        <f>F62*(1+Table2[[#This Row],[2008 discount rate]])</f>
        <v>578.06947639583541</v>
      </c>
      <c r="G63" s="18">
        <v>6.0999999999999999E-2</v>
      </c>
      <c r="H63" s="16">
        <f>H62*(1+Table2[[#This Row],[2011 discount rate]])</f>
        <v>475.03510917089284</v>
      </c>
      <c r="I63" s="18">
        <v>5.1999999999999998E-2</v>
      </c>
      <c r="J63" s="16">
        <f>J62*(1+Table2[[#This Row],[2014 discount rate]])</f>
        <v>350.57126815970622</v>
      </c>
      <c r="K63" s="9">
        <v>3.0700000000000002E-2</v>
      </c>
      <c r="L63" s="18">
        <f t="shared" si="9"/>
        <v>2.4868865679771401</v>
      </c>
      <c r="M63" s="17">
        <f>Table2[[#This Row],[Annual benefit payments (closed scheme)]]/((1+L62)*(1+Table2[[#This Row],[Discount rate A1]])^0.5)+M62</f>
        <v>59.139209829546473</v>
      </c>
      <c r="N63" s="17">
        <f>N62*(1+Table2[Discount rate A1])</f>
        <v>226.37763281497689</v>
      </c>
      <c r="O63" s="17">
        <f>Table2[[#This Row],[Asset growth A1, under the assumption of full-funding at Year 0]]/(1+Table2[[#This Row],[Compounded CPI]])</f>
        <v>105.42566182531316</v>
      </c>
      <c r="P63" s="17">
        <f>(P62*((1+Table2[Discount rate A1])^0.5)-Table2[Annual benefit payments (closed scheme)])*(1+Table2[Discount rate A1])^0.5</f>
        <v>20.165916419549546</v>
      </c>
      <c r="Q63" s="17">
        <f>Table2[[#This Row],[Asset growth A1 with benefit payments deducted]]/(1+Table2[Compounded CPI])</f>
        <v>9.3914096477128037</v>
      </c>
      <c r="R63" s="17">
        <f>Table2[[#This Row],[Asset growth A1 with benefit payments deducted]]/(1+Table2[Compounded discount rate A1])</f>
        <v>5.7833588866208716</v>
      </c>
      <c r="S63" s="9">
        <v>3.0700000000000002E-2</v>
      </c>
      <c r="T63" s="18">
        <f t="shared" si="20"/>
        <v>2.3118671341269699</v>
      </c>
      <c r="U63" s="17">
        <f>Table2[[#This Row],[Annual benefit payments (closed scheme)]]/((1+T62)*(1+Table2[[#This Row],[Discount rate A2]])^0.5)+U62</f>
        <v>61.422318883712926</v>
      </c>
      <c r="V63" s="17">
        <f>V62*(1+Table2[Discount rate A2])</f>
        <v>223.58847563238473</v>
      </c>
      <c r="W63" s="17">
        <f>Table2[[#This Row],[Asset growth A2, under the assumption of full-funding at Year 0]]/(1+Table2[Compounded CPI])</f>
        <v>104.12673163396366</v>
      </c>
      <c r="X63" s="17">
        <f>(X62*((1+Table2[Discount rate A2])^0.5)-Table2[Annual benefit payments (closed scheme)])*(1+Table2[Discount rate A2])^0.5</f>
        <v>20.165916419549617</v>
      </c>
      <c r="Y63" s="17">
        <f>Table2[[#This Row],[Asset growth A2 with benefit payments deducted]]/(1+Table2[[#This Row],[Compounded CPI]])</f>
        <v>9.3914096477128357</v>
      </c>
      <c r="Z63" s="19">
        <f>Table2[[#This Row],[Asset growth A2 with benefit payments deducted]]/(1+Table2[Compounded discount rate A2])</f>
        <v>6.0889871491977852</v>
      </c>
      <c r="AA63" s="35">
        <f t="shared" si="16"/>
        <v>4.1700000000000001E-2</v>
      </c>
      <c r="AB63" s="18">
        <f t="shared" si="10"/>
        <v>3.469326408061626</v>
      </c>
      <c r="AC63" s="17">
        <f>Table2[[#This Row],[Annual benefit payments (closed scheme)]]/((1+AB62)*(1+Table2[[#This Row],[Discount rate B]])^0.5)+AC62</f>
        <v>56.256295243535469</v>
      </c>
      <c r="AD63" s="16">
        <f>AD62*(1+Table2[Discount rate B])</f>
        <v>268.15958448369759</v>
      </c>
      <c r="AE63" s="16">
        <f>Table2[[#This Row],[Asset growth B]]/(1+Table2[Compounded CPI])</f>
        <v>124.88381169751513</v>
      </c>
      <c r="AF63" s="17">
        <f>(AF62*((1+Table2[Discount rate B])^0.5)-Table2[Annual benefit payments (closed scheme)])*(1+Table2[Discount rate B])^0.5</f>
        <v>16.731838532052848</v>
      </c>
      <c r="AG63" s="17">
        <f>Table2[[#This Row],[Asset growth B with benefit payments deducted]]/(1+Table2[Compounded CPI])</f>
        <v>7.7921353309568033</v>
      </c>
      <c r="AH63" s="19">
        <f>Table2[[#This Row],[Asset growth B with benefit payments deducted]]/(1+Table2[Compounded discount rate B])</f>
        <v>3.7437047564645312</v>
      </c>
      <c r="AI63" s="11">
        <f>Table2[CPI]+2.56%</f>
        <v>3.9300000000000002E-2</v>
      </c>
      <c r="AJ63" s="18">
        <f t="shared" si="11"/>
        <v>4.2001247250578553</v>
      </c>
      <c r="AK63" s="17">
        <f>Table2[[#This Row],[Annual benefit payments (closed scheme)]]/((1+AJ62)*(1+Table2[[#This Row],[Discount rate C]])^0.5)+AK62</f>
        <v>48.708449837344311</v>
      </c>
      <c r="AL63" s="17">
        <f>AL62*(1+Table2[Discount rate C])</f>
        <v>312.00748350347135</v>
      </c>
      <c r="AM63" s="17">
        <f>Table2[[#This Row],[Asset growth C]]/(1+Table2[Compounded CPI])</f>
        <v>145.30408783666607</v>
      </c>
      <c r="AN63" s="17">
        <f>(AN62*((1+Table2[Discount rate C])^0.5)-Table2[Annual benefit payments (closed scheme)])*(1+Table2[Discount rate C])^0.5</f>
        <v>58.717469185056707</v>
      </c>
      <c r="AO63" s="17">
        <f>Table2[[#This Row],[Asset growth C with benefit payments deducted]]/(1+Table2[Compounded CPI])</f>
        <v>27.345139944110635</v>
      </c>
      <c r="AP63" s="19">
        <f>Table2[[#This Row],[Asset growth C with benefit payments deducted]]/(1+Table2[Compounded discount rate C])</f>
        <v>11.291550162655653</v>
      </c>
      <c r="AQ63" s="11">
        <f>Table2[CPI]+2.56%</f>
        <v>3.9300000000000002E-2</v>
      </c>
      <c r="AR63" s="18">
        <f t="shared" si="12"/>
        <v>3.8676657967849799</v>
      </c>
      <c r="AS63" s="17">
        <f>Table2[[#This Row],[Annual benefit payments (closed scheme)]]/((1+AR62)*(1+Table2[[#This Row],[Discount rate D]])^0.5)+AS62</f>
        <v>50.958991909946832</v>
      </c>
      <c r="AT63" s="16">
        <f>AT62*(1+Table2[Discount rate D])</f>
        <v>292.05994780709881</v>
      </c>
      <c r="AU63" s="17">
        <f>Table2[[#This Row],[Asset growth D]]/(1+Table2[Compounded CPI])</f>
        <v>136.0143796335021</v>
      </c>
      <c r="AV63" s="17">
        <f>(AV62*((1+Table2[Discount rate D])^0.5)-Table2[Annual benefit payments (closed scheme)])*(1+Table2[Discount rate D])^0.5</f>
        <v>44.008605848408223</v>
      </c>
      <c r="AW63" s="17">
        <f>Table2[[#This Row],[Asset growth D with benefit payments deducted]]/(1+Table2[Compounded CPI])</f>
        <v>20.495118443834311</v>
      </c>
      <c r="AX63" s="19">
        <f>Table2[[#This Row],[Asset growth D with benefit payments deducted]]/(1+Table2[Compounded discount rate D])</f>
        <v>9.0410080900531931</v>
      </c>
      <c r="AY63" s="11">
        <f>Table2[CPI]+4%</f>
        <v>5.3699999999999998E-2</v>
      </c>
      <c r="AZ63" s="18">
        <f t="shared" si="13"/>
        <v>6.2226513036000934</v>
      </c>
      <c r="BA63" s="17">
        <f>Table2[[#This Row],[Annual benefit payments (closed scheme)]]/((1+AZ62)*(1+Table2[[#This Row],[Discount rate E]])^0.5)+BA62</f>
        <v>45.915936151858965</v>
      </c>
      <c r="BB63" s="17">
        <f>BB62*(1+Table2[Discount rate E])</f>
        <v>433.35907821600591</v>
      </c>
      <c r="BC63" s="16">
        <f>Table2[[#This Row],[Asset growth E]]/(1+Table2[Compounded CPI])</f>
        <v>201.81838223509979</v>
      </c>
      <c r="BD63" s="17">
        <f>(BD62*((1+Table2[Discount rate E])^0.5)-Table2[Annual benefit payments (closed scheme)])*(1+Table2[Discount rate E])^0.5</f>
        <v>101.72428211276302</v>
      </c>
      <c r="BE63" s="17">
        <f>Table2[[#This Row],[Asset growth E with benefit payments deducted]]/(1+Table2[Compounded CPI])</f>
        <v>47.373716352128035</v>
      </c>
      <c r="BF63" s="19">
        <f>Table2[[#This Row],[Asset growth E with benefit payments deducted]]/(1+Table2[Compounded discount rate E])</f>
        <v>14.084063848141067</v>
      </c>
      <c r="BG63" s="11">
        <f>Table2[[#This Row],[Long-dated forward gilt yields]]+0.75%</f>
        <v>1.593E-2</v>
      </c>
      <c r="BH63" s="11">
        <f t="shared" si="14"/>
        <v>1.4620623615672854</v>
      </c>
      <c r="BI63" s="17">
        <f>((Table2[[#This Row],[Annual benefit payments (closed scheme)]])*1.005^(Table2[[#This Row],[Year]]-2018))/((1+BH62)*(1+Table2[[#This Row],[Discount rate F]])^0.5)+BI62</f>
        <v>70.492209384458235</v>
      </c>
      <c r="BJ63" s="17">
        <f>BJ62*(1+Table2[Discount rate F])</f>
        <v>202.73481940887712</v>
      </c>
      <c r="BK63" s="17">
        <f>Table2[[#This Row],[Asset growth F, under the assumption of full-funding at Year 0]]/(1+Table2[[#This Row],[Compounded CPI]])</f>
        <v>94.415036704112794</v>
      </c>
      <c r="BL63" s="17">
        <f>(BL62*((1+Table2[Discount rate F])^0.5)-Table2[Annual benefit payments (closed scheme)]*1.005^(Table2[Year]-2018))*(1+Table2[Discount rate F])^0.5</f>
        <v>29.178603899682294</v>
      </c>
      <c r="BM63" s="17">
        <f>Table2[[#This Row],[Asset growth F with benefit payments deducted]]/(1+Table2[Compounded CPI])</f>
        <v>13.58868183667637</v>
      </c>
      <c r="BN63" s="19">
        <f>Table2[[#This Row],[Asset growth F with benefit payments deducted]]/(1+Table2[Compounded discount rate F])</f>
        <v>11.851285473170527</v>
      </c>
      <c r="BO63" s="18">
        <f>(1+BO62)*(1+Table2[Discount rate A2])-1</f>
        <v>0.86261149894197198</v>
      </c>
      <c r="BP63" s="17">
        <f>Table2[[#This Row],[Annual benefit payments (ongoing scheme)]]/((1+BO62)*(1+Table2[[#This Row],[Discount rate A2]])^0.5)+BP62</f>
        <v>65.151824518310647</v>
      </c>
      <c r="BQ63" s="17">
        <f>(BQ62*((1+Table2[Discount rate A2])^0.5)-Table2[Annual benefit payments (ongoing scheme)])*(1+Table2[Discount rate A2])^0.5</f>
        <v>88.208342187338332</v>
      </c>
      <c r="BR63" s="18">
        <f>(1+BR62)*(1+Table2[Discount rate B])-1</f>
        <v>1.2777355200407605</v>
      </c>
      <c r="BS63" s="17">
        <f>Table2[[#This Row],[Annual benefit payments (ongoing scheme)]]/((1+BR62)*(1+Table2[[#This Row],[Discount rate B]])^0.5)+BS62</f>
        <v>59.353944214305329</v>
      </c>
      <c r="BT63" s="18">
        <f>(1+BT62)*(1+Table2[Discount rate E])-1</f>
        <v>1.8299866717566062</v>
      </c>
      <c r="BU63" s="17">
        <f>Table2[[#This Row],[Annual benefit payments (ongoing scheme)]]/((1+BT62)*(1+Table2[[#This Row],[Discount rate E]])^0.5)+BU62</f>
        <v>53.87244068689705</v>
      </c>
      <c r="BV63" s="18">
        <f>Table2[CPI]+0.75%+0.75%</f>
        <v>2.87E-2</v>
      </c>
      <c r="BW63" s="18">
        <f>(1+BW62)*(1+Table2[Self-sufficiency discount rate, from 2037])-1</f>
        <v>0.79529129073027161</v>
      </c>
      <c r="BX63" s="17">
        <f>(Table2[[#This Row],[Annual benefit payments (ongoing scheme)]]*1.005^(Table2[[#This Row],[Year]]-2038))/((1+BW62)*(1+Table2[[#This Row],[Self-sufficiency discount rate, from 2037]])^0.5)+BX62</f>
        <v>69.20519853492199</v>
      </c>
      <c r="BY63" s="17">
        <f>(BY62*((1+Table2[Self-sufficiency discount rate, from 2037])^0.5)-Table2[Annual benefit payments (ongoing scheme)]*1.005^(Table2[Year]-2038))*(1+Table2[Self-sufficiency discount rate, from 2037])^0.5</f>
        <v>105.64449573559726</v>
      </c>
      <c r="BZ63" s="17">
        <f>(BZ62*((1+Table2[Discount rate B])^0.5)-Table2[Annual benefit payments (ongoing scheme)])*(1+Table2[Discount rate B])^0.5</f>
        <v>77.805163259801546</v>
      </c>
      <c r="CA63" s="17">
        <f>(CA62*((1+Table2[Discount rate A2])^0.5)+Table2[Net cashflow (ongoing scheme)])*(1+Table2[Discount rate A2])^0.5</f>
        <v>87.591882489232049</v>
      </c>
      <c r="CB63" s="17">
        <f>Table2[[#This Row],[Asset growth, ongoing scheme, with November de-risking, net of contributions and payments]]/(1+Table2[Compounded discount rate A2])</f>
        <v>26.447885419872634</v>
      </c>
      <c r="CC63" s="17">
        <f>Table2[[#This Row],[Asset growth, ongoing scheme, with November de-risking, net of contributions and payments]]/(1+Table2[Compounded CPI])</f>
        <v>40.792158072877449</v>
      </c>
      <c r="CD63" s="17">
        <f>(CD62*((1+Table2[Discount rate A1])^0.5)+Table2[Net cashflow (ongoing scheme)])*(1+Table2[Discount rate A1])^0.5</f>
        <v>98.288158195581616</v>
      </c>
      <c r="CE63" s="17">
        <f>Table2[[#This Row],[Asset growth, ongoing scheme, with September de-risking, net of contributions and payments]]/(1+Table2[Compounded discount rate A1])</f>
        <v>28.187942532527483</v>
      </c>
      <c r="CF63" s="17">
        <f>Table2[[#This Row],[Asset growth, ongoing scheme, with September de-risking, net of contributions and payments]]/(1+Table2[Compounded CPI])</f>
        <v>45.773489184902921</v>
      </c>
      <c r="CG63" s="17">
        <f>(CG62*((1+Table2[Discount rate B])^0.5)+Table2[Net cashflow (ongoing scheme)])*(1+Table2[Discount rate B])^0.5</f>
        <v>146.21180659006663</v>
      </c>
      <c r="CH63" s="17">
        <f>Table2[[#This Row],[Asset growth, ongoing scheme, no de-risking, net of contributions and payments]]/(1+Table2[Compounded discount rate B])</f>
        <v>32.714506223205028</v>
      </c>
      <c r="CI63" s="17">
        <f>Table2[[#This Row],[Asset growth, ongoing scheme, no de-risking, net of contributions and payments]]/(1+Table2[Compounded CPI])</f>
        <v>68.091870582598716</v>
      </c>
      <c r="CJ63" s="17">
        <f>(CJ62*((1+Table2[Discount rate E])^0.5)+Table2[Net cashflow (ongoing scheme)])*(1+Table2[Discount rate E])^0.5</f>
        <v>299.33414393632114</v>
      </c>
      <c r="CK63" s="17">
        <f>Table2[[#This Row],[Asset growth, ongoing scheme, best-estimates, no de-risking, net of contributions and payments ]]/(1+Table2[Compounded discount rate E])</f>
        <v>41.44380385456509</v>
      </c>
      <c r="CL63" s="17">
        <f>Table2[[#This Row],[Asset growth, ongoing scheme, best-estimates, no de-risking, net of contributions and payments ]]/(1+Table2[Compounded CPI])</f>
        <v>139.40202412661856</v>
      </c>
      <c r="CM63" s="9">
        <v>1.37E-2</v>
      </c>
      <c r="CN63" s="11">
        <f>(1+Table2[[#This Row],[CPI]])*(1+CN62)-1</f>
        <v>1.1472725795174723</v>
      </c>
      <c r="CO63" s="11">
        <f>'Gilt yields'!B45</f>
        <v>8.43E-3</v>
      </c>
      <c r="CP63" s="11">
        <f t="shared" si="15"/>
        <v>3.3700000000000001E-2</v>
      </c>
      <c r="CQ63" s="26">
        <f>(1+Table2[[#This Row],[Salary growth]])*(1+CQ62)-1</f>
        <v>3.4487564903753505</v>
      </c>
      <c r="CR63" s="15">
        <f t="shared" si="17"/>
        <v>21.472725795174721</v>
      </c>
      <c r="CS63" s="17">
        <f t="shared" si="18"/>
        <v>27.914543533727141</v>
      </c>
      <c r="CT63" s="17">
        <f>CT62*(1+Table2[[#This Row],[Salary growth]])</f>
        <v>44.487564903753494</v>
      </c>
      <c r="CU63" s="19">
        <f t="shared" si="19"/>
        <v>57.833834374879572</v>
      </c>
      <c r="CV63" s="112">
        <f>('Cash flows as at 31032017'!B48)/1000000000</f>
        <v>2.1718818010000001</v>
      </c>
      <c r="CW63" s="113">
        <v>0</v>
      </c>
      <c r="CX63" s="113">
        <f>Table2[[#This Row],[Annual contributions (closed scheme)]]-Table2[[#This Row],[Annual benefit payments (closed scheme)]]</f>
        <v>-2.1718818010000001</v>
      </c>
      <c r="CY63" s="113">
        <v>5.0999999999999996</v>
      </c>
      <c r="CZ63" s="113">
        <v>0</v>
      </c>
      <c r="DA63" s="113">
        <v>-5.0999999999999996</v>
      </c>
      <c r="DB63" s="17"/>
      <c r="DC63" s="84"/>
      <c r="DD63" s="84"/>
      <c r="DE63" s="84"/>
      <c r="DF63" s="84"/>
      <c r="DG63" s="84"/>
      <c r="DH63" s="84"/>
      <c r="DI63" s="84"/>
      <c r="DJ63" s="84"/>
      <c r="DK63" s="84"/>
      <c r="DL63" s="84"/>
      <c r="DM63" s="84"/>
      <c r="DN63" s="84"/>
      <c r="DO63" s="84"/>
      <c r="DP63" s="84"/>
      <c r="DQ63" s="84"/>
      <c r="DR63" s="84"/>
      <c r="DS63" s="84"/>
      <c r="DT63" s="84"/>
      <c r="DU63" s="84"/>
      <c r="DV63" s="84"/>
      <c r="DW63" s="84"/>
      <c r="DX63" s="84"/>
      <c r="DY63" s="84"/>
      <c r="DZ63" s="84"/>
      <c r="EA63" s="84"/>
      <c r="EB63" s="84"/>
      <c r="EC63" s="84"/>
      <c r="ED63" s="84"/>
      <c r="EE63" s="84"/>
      <c r="EF63" s="84"/>
      <c r="EG63" s="84"/>
      <c r="EH63" s="84"/>
      <c r="EI63" s="84"/>
      <c r="EJ63" s="84"/>
      <c r="EK63" s="84"/>
      <c r="EL63" s="84"/>
      <c r="EM63" s="84"/>
      <c r="EN63" s="84"/>
      <c r="EO63" s="84"/>
      <c r="EP63" s="84"/>
    </row>
    <row r="64" spans="1:147" x14ac:dyDescent="0.2">
      <c r="A64" s="8">
        <v>2057</v>
      </c>
      <c r="B64" s="50"/>
      <c r="C64" s="50"/>
      <c r="D64" s="50"/>
      <c r="E64" s="35">
        <v>6.0999999999999999E-2</v>
      </c>
      <c r="F64" s="16">
        <f>F63*(1+Table2[[#This Row],[2008 discount rate]])</f>
        <v>613.33171445598134</v>
      </c>
      <c r="G64" s="18">
        <v>6.0999999999999999E-2</v>
      </c>
      <c r="H64" s="16">
        <f>H63*(1+Table2[[#This Row],[2011 discount rate]])</f>
        <v>504.01225083031727</v>
      </c>
      <c r="I64" s="18">
        <v>5.1999999999999998E-2</v>
      </c>
      <c r="J64" s="16">
        <f>J63*(1+Table2[[#This Row],[2014 discount rate]])</f>
        <v>368.80097410401095</v>
      </c>
      <c r="K64" s="9">
        <v>3.1699999999999999E-2</v>
      </c>
      <c r="L64" s="18">
        <f t="shared" si="9"/>
        <v>2.5974208721820156</v>
      </c>
      <c r="M64" s="17">
        <f>Table2[[#This Row],[Annual benefit payments (closed scheme)]]/((1+L63)*(1+Table2[[#This Row],[Discount rate A1]])^0.5)+M63</f>
        <v>59.72417732692243</v>
      </c>
      <c r="N64" s="17">
        <f>N63*(1+Table2[Discount rate A1])</f>
        <v>233.55380377521166</v>
      </c>
      <c r="O64" s="17">
        <f>Table2[[#This Row],[Asset growth A1, under the assumption of full-funding at Year 0]]/(1+Table2[[#This Row],[Compounded CPI]])</f>
        <v>107.19193387718104</v>
      </c>
      <c r="P64" s="17">
        <f>(P63*((1+Table2[Discount rate A1])^0.5)-Table2[Annual benefit payments (closed scheme)])*(1+Table2[Discount rate A1])^0.5</f>
        <v>18.700801685440936</v>
      </c>
      <c r="Q64" s="17">
        <f>Table2[[#This Row],[Asset growth A1 with benefit payments deducted]]/(1+Table2[Compounded CPI])</f>
        <v>8.5829263549284871</v>
      </c>
      <c r="R64" s="17">
        <f>Table2[[#This Row],[Asset growth A1 with benefit payments deducted]]/(1+Table2[Compounded discount rate A1])</f>
        <v>5.1983913892449189</v>
      </c>
      <c r="S64" s="9">
        <v>3.1699999999999999E-2</v>
      </c>
      <c r="T64" s="18">
        <f t="shared" si="20"/>
        <v>2.4168533222787949</v>
      </c>
      <c r="U64" s="17">
        <f>Table2[[#This Row],[Annual benefit payments (closed scheme)]]/((1+T63)*(1+Table2[[#This Row],[Discount rate A2]])^0.5)+U63</f>
        <v>62.038199662348418</v>
      </c>
      <c r="V64" s="17">
        <f>V63*(1+Table2[Discount rate A2])</f>
        <v>230.67623030993133</v>
      </c>
      <c r="W64" s="17">
        <f>Table2[[#This Row],[Asset growth A2, under the assumption of full-funding at Year 0]]/(1+Table2[Compounded CPI])</f>
        <v>105.87124177270161</v>
      </c>
      <c r="X64" s="17">
        <f>(X63*((1+Table2[Discount rate A2])^0.5)-Table2[Annual benefit payments (closed scheme)])*(1+Table2[Discount rate A2])^0.5</f>
        <v>18.700801685441007</v>
      </c>
      <c r="Y64" s="17">
        <f>Table2[[#This Row],[Asset growth A2 with benefit payments deducted]]/(1+Table2[[#This Row],[Compounded CPI]])</f>
        <v>8.5829263549285191</v>
      </c>
      <c r="Z64" s="19">
        <f>Table2[[#This Row],[Asset growth A2 with benefit payments deducted]]/(1+Table2[Compounded discount rate A2])</f>
        <v>5.4731063705622924</v>
      </c>
      <c r="AA64" s="35">
        <f t="shared" si="16"/>
        <v>4.2699999999999995E-2</v>
      </c>
      <c r="AB64" s="18">
        <f t="shared" si="10"/>
        <v>3.660166645685857</v>
      </c>
      <c r="AC64" s="17">
        <f>Table2[[#This Row],[Annual benefit payments (closed scheme)]]/((1+AB63)*(1+Table2[[#This Row],[Discount rate B]])^0.5)+AC63</f>
        <v>56.710262480168396</v>
      </c>
      <c r="AD64" s="16">
        <f>AD63*(1+Table2[Discount rate B])</f>
        <v>279.60999874115146</v>
      </c>
      <c r="AE64" s="16">
        <f>Table2[[#This Row],[Asset growth B]]/(1+Table2[Compounded CPI])</f>
        <v>128.32990091356956</v>
      </c>
      <c r="AF64" s="17">
        <f>(AF63*((1+Table2[Discount rate B])^0.5)-Table2[Annual benefit payments (closed scheme)])*(1+Table2[Discount rate B])^0.5</f>
        <v>15.33072506298056</v>
      </c>
      <c r="AG64" s="17">
        <f>Table2[[#This Row],[Asset growth B with benefit payments deducted]]/(1+Table2[Compounded CPI])</f>
        <v>7.0361948325273644</v>
      </c>
      <c r="AH64" s="19">
        <f>Table2[[#This Row],[Asset growth B with benefit payments deducted]]/(1+Table2[Compounded discount rate B])</f>
        <v>3.289737519831605</v>
      </c>
      <c r="AI64" s="11">
        <f>Table2[CPI]+2.56%</f>
        <v>4.0300000000000002E-2</v>
      </c>
      <c r="AJ64" s="18">
        <f t="shared" si="11"/>
        <v>4.4096897514776865</v>
      </c>
      <c r="AK64" s="17">
        <f>Table2[[#This Row],[Annual benefit payments (closed scheme)]]/((1+AJ63)*(1+Table2[[#This Row],[Discount rate C]])^0.5)+AK63</f>
        <v>49.099068700077261</v>
      </c>
      <c r="AL64" s="17">
        <f>AL63*(1+Table2[Discount rate C])</f>
        <v>324.58138508866125</v>
      </c>
      <c r="AM64" s="17">
        <f>Table2[[#This Row],[Asset growth C]]/(1+Table2[Compounded CPI])</f>
        <v>148.9699838144119</v>
      </c>
      <c r="AN64" s="17">
        <f>(AN63*((1+Table2[Discount rate C])^0.5)-Table2[Annual benefit payments (closed scheme)])*(1+Table2[Discount rate C])^0.5</f>
        <v>58.970656334754203</v>
      </c>
      <c r="AO64" s="17">
        <f>Table2[[#This Row],[Asset growth C with benefit payments deducted]]/(1+Table2[Compounded CPI])</f>
        <v>27.065192655191691</v>
      </c>
      <c r="AP64" s="19">
        <f>Table2[[#This Row],[Asset growth C with benefit payments deducted]]/(1+Table2[Compounded discount rate C])</f>
        <v>10.900931299922707</v>
      </c>
      <c r="AQ64" s="11">
        <f>Table2[CPI]+2.56%</f>
        <v>4.0300000000000002E-2</v>
      </c>
      <c r="AR64" s="18">
        <f t="shared" si="12"/>
        <v>4.0638327283954148</v>
      </c>
      <c r="AS64" s="17">
        <f>Table2[[#This Row],[Annual benefit payments (closed scheme)]]/((1+AR63)*(1+Table2[[#This Row],[Discount rate D]])^0.5)+AS63</f>
        <v>51.376289828697374</v>
      </c>
      <c r="AT64" s="16">
        <f>AT63*(1+Table2[Discount rate D])</f>
        <v>303.8299637037249</v>
      </c>
      <c r="AU64" s="17">
        <f>Table2[[#This Row],[Asset growth D]]/(1+Table2[Compounded CPI])</f>
        <v>139.4459043389497</v>
      </c>
      <c r="AV64" s="17">
        <f>(AV63*((1+Table2[Discount rate D])^0.5)-Table2[Annual benefit payments (closed scheme)])*(1+Table2[Discount rate D])^0.5</f>
        <v>43.669025805638789</v>
      </c>
      <c r="AW64" s="17">
        <f>Table2[[#This Row],[Asset growth D with benefit payments deducted]]/(1+Table2[Compounded CPI])</f>
        <v>20.042351059904949</v>
      </c>
      <c r="AX64" s="19">
        <f>Table2[[#This Row],[Asset growth D with benefit payments deducted]]/(1+Table2[Compounded discount rate D])</f>
        <v>8.6237101713026494</v>
      </c>
      <c r="AY64" s="11">
        <f>Table2[CPI]+4%</f>
        <v>5.4699999999999999E-2</v>
      </c>
      <c r="AZ64" s="18">
        <f t="shared" si="13"/>
        <v>6.617730329907018</v>
      </c>
      <c r="BA64" s="17">
        <f>Table2[[#This Row],[Annual benefit payments (closed scheme)]]/((1+AZ63)*(1+Table2[[#This Row],[Discount rate E]])^0.5)+BA63</f>
        <v>46.195245293004596</v>
      </c>
      <c r="BB64" s="17">
        <f>BB63*(1+Table2[Discount rate E])</f>
        <v>457.06381979442142</v>
      </c>
      <c r="BC64" s="16">
        <f>Table2[[#This Row],[Asset growth E]]/(1+Table2[Compounded CPI])</f>
        <v>209.77416748138342</v>
      </c>
      <c r="BD64" s="17">
        <f>(BD63*((1+Table2[Discount rate E])^0.5)-Table2[Annual benefit payments (closed scheme)])*(1+Table2[Discount rate E])^0.5</f>
        <v>105.16089862840577</v>
      </c>
      <c r="BE64" s="17">
        <f>Table2[[#This Row],[Asset growth E with benefit payments deducted]]/(1+Table2[Compounded CPI])</f>
        <v>48.264682099077895</v>
      </c>
      <c r="BF64" s="19">
        <f>Table2[[#This Row],[Asset growth E with benefit payments deducted]]/(1+Table2[Compounded discount rate E])</f>
        <v>13.804754706995432</v>
      </c>
      <c r="BG64" s="11">
        <f>Table2[[#This Row],[Long-dated forward gilt yields]]+0.75%</f>
        <v>1.644E-2</v>
      </c>
      <c r="BH64" s="11">
        <f t="shared" si="14"/>
        <v>1.5025386667914518</v>
      </c>
      <c r="BI64" s="17">
        <f>((Table2[[#This Row],[Annual benefit payments (closed scheme)]])*1.005^(Table2[[#This Row],[Year]]-2018))/((1+BH63)*(1+Table2[[#This Row],[Discount rate F]])^0.5)+BI63</f>
        <v>71.506080514223598</v>
      </c>
      <c r="BJ64" s="17">
        <f>BJ63*(1+Table2[Discount rate F])</f>
        <v>206.06777983995906</v>
      </c>
      <c r="BK64" s="17">
        <f>Table2[[#This Row],[Asset growth F, under the assumption of full-funding at Year 0]]/(1+Table2[[#This Row],[Compounded CPI]])</f>
        <v>94.576938905615876</v>
      </c>
      <c r="BL64" s="17">
        <f>(BL63*((1+Table2[Discount rate F])^0.5)-Table2[Annual benefit payments (closed scheme)]*1.005^(Table2[Year]-2018))*(1+Table2[Discount rate F])^0.5</f>
        <v>27.121048442411709</v>
      </c>
      <c r="BM64" s="17">
        <f>Table2[[#This Row],[Asset growth F with benefit payments deducted]]/(1+Table2[Compounded CPI])</f>
        <v>12.447485694203761</v>
      </c>
      <c r="BN64" s="19">
        <f>Table2[[#This Row],[Asset growth F with benefit payments deducted]]/(1+Table2[Compounded discount rate F])</f>
        <v>10.837414343405161</v>
      </c>
      <c r="BO64" s="18">
        <f>(1+BO63)*(1+Table2[Discount rate A2])-1</f>
        <v>0.92165628345843253</v>
      </c>
      <c r="BP64" s="17">
        <f>Table2[[#This Row],[Annual benefit payments (ongoing scheme)]]/((1+BO63)*(1+Table2[[#This Row],[Discount rate A2]])^0.5)+BP63</f>
        <v>67.905664673114899</v>
      </c>
      <c r="BQ64" s="17">
        <f>(BQ63*((1+Table2[Discount rate A2])^0.5)-Table2[Annual benefit payments (ongoing scheme)])*(1+Table2[Discount rate A2])^0.5</f>
        <v>85.712612397557223</v>
      </c>
      <c r="BR64" s="18">
        <f>(1+BR63)*(1+Table2[Discount rate B])-1</f>
        <v>1.3749948267465011</v>
      </c>
      <c r="BS64" s="17">
        <f>Table2[[#This Row],[Annual benefit payments (ongoing scheme)]]/((1+BR63)*(1+Table2[[#This Row],[Discount rate B]])^0.5)+BS63</f>
        <v>61.593978894327257</v>
      </c>
      <c r="BT64" s="18">
        <f>(1+BT63)*(1+Table2[Discount rate E])-1</f>
        <v>1.9847869427016924</v>
      </c>
      <c r="BU64" s="17">
        <f>Table2[[#This Row],[Annual benefit payments (ongoing scheme)]]/((1+BT63)*(1+Table2[[#This Row],[Discount rate E]])^0.5)+BU63</f>
        <v>55.665063257050015</v>
      </c>
      <c r="BV64" s="18">
        <f>Table2[CPI]+0.75%+0.75%</f>
        <v>2.9699999999999997E-2</v>
      </c>
      <c r="BW64" s="18">
        <f>(1+BW63)*(1+Table2[Self-sufficiency discount rate, from 2037])-1</f>
        <v>0.84861144206496086</v>
      </c>
      <c r="BX64" s="17">
        <f>(Table2[[#This Row],[Annual benefit payments (ongoing scheme)]]*1.005^(Table2[[#This Row],[Year]]-2038))/((1+BW63)*(1+Table2[[#This Row],[Self-sufficiency discount rate, from 2037]])^0.5)+BX63</f>
        <v>72.349343895887358</v>
      </c>
      <c r="BY64" s="17">
        <f>(BY63*((1+Table2[Self-sufficiency discount rate, from 2037])^0.5)-Table2[Annual benefit payments (ongoing scheme)]*1.005^(Table2[Year]-2038))*(1+Table2[Self-sufficiency discount rate, from 2037])^0.5</f>
        <v>102.96983416914847</v>
      </c>
      <c r="BZ64" s="17">
        <f>(BZ63*((1+Table2[Discount rate B])^0.5)-Table2[Annual benefit payments (ongoing scheme)])*(1+Table2[Discount rate B])^0.5</f>
        <v>75.807372954210223</v>
      </c>
      <c r="CA64" s="17">
        <f>(CA63*((1+Table2[Discount rate A2])^0.5)+Table2[Net cashflow (ongoing scheme)])*(1+Table2[Discount rate A2])^0.5</f>
        <v>85.076610927020965</v>
      </c>
      <c r="CB64" s="17">
        <f>Table2[[#This Row],[Asset growth, ongoing scheme, with November de-risking, net of contributions and payments]]/(1+Table2[Compounded discount rate A2])</f>
        <v>24.899111229709153</v>
      </c>
      <c r="CC64" s="17">
        <f>Table2[[#This Row],[Asset growth, ongoing scheme, with November de-risking, net of contributions and payments]]/(1+Table2[Compounded CPI])</f>
        <v>39.046790527809826</v>
      </c>
      <c r="CD64" s="17">
        <f>(CD63*((1+Table2[Discount rate A1])^0.5)+Table2[Net cashflow (ongoing scheme)])*(1+Table2[Discount rate A1])^0.5</f>
        <v>96.11195857326183</v>
      </c>
      <c r="CE64" s="17">
        <f>Table2[[#This Row],[Asset growth, ongoing scheme, with September de-risking, net of contributions and payments]]/(1+Table2[Compounded discount rate A1])</f>
        <v>26.716906914192979</v>
      </c>
      <c r="CF64" s="17">
        <f>Table2[[#This Row],[Asset growth, ongoing scheme, with September de-risking, net of contributions and payments]]/(1+Table2[Compounded CPI])</f>
        <v>44.111577468064759</v>
      </c>
      <c r="CG64" s="17">
        <f>(CG63*((1+Table2[Discount rate B])^0.5)+Table2[Net cashflow (ongoing scheme)])*(1+Table2[Discount rate B])^0.5</f>
        <v>147.13497995467759</v>
      </c>
      <c r="CH64" s="17">
        <f>Table2[[#This Row],[Asset growth, ongoing scheme, no de-risking, net of contributions and payments]]/(1+Table2[Compounded discount rate B])</f>
        <v>31.572900958571427</v>
      </c>
      <c r="CI64" s="17">
        <f>Table2[[#This Row],[Asset growth, ongoing scheme, no de-risking, net of contributions and payments]]/(1+Table2[Compounded CPI])</f>
        <v>67.529120859456938</v>
      </c>
      <c r="CJ64" s="17">
        <f>(CJ63*((1+Table2[Discount rate E])^0.5)+Table2[Net cashflow (ongoing scheme)])*(1+Table2[Discount rate E])^0.5</f>
        <v>310.35712516905295</v>
      </c>
      <c r="CK64" s="17">
        <f>Table2[[#This Row],[Asset growth, ongoing scheme, best-estimates, no de-risking, net of contributions and payments ]]/(1+Table2[Compounded discount rate E])</f>
        <v>40.741416633061775</v>
      </c>
      <c r="CL64" s="17">
        <f>Table2[[#This Row],[Asset growth, ongoing scheme, best-estimates, no de-risking, net of contributions and payments ]]/(1+Table2[Compounded CPI])</f>
        <v>142.44161260354525</v>
      </c>
      <c r="CM64" s="9">
        <v>1.47E-2</v>
      </c>
      <c r="CN64" s="11">
        <f>(1+Table2[[#This Row],[CPI]])*(1+CN63)-1</f>
        <v>1.1788374864363789</v>
      </c>
      <c r="CO64" s="11">
        <f>'Gilt yields'!B46</f>
        <v>8.94E-3</v>
      </c>
      <c r="CP64" s="11">
        <f t="shared" si="15"/>
        <v>3.4700000000000002E-2</v>
      </c>
      <c r="CQ64" s="26">
        <f>(1+Table2[[#This Row],[Salary growth]])*(1+CQ63)-1</f>
        <v>3.6031283405913745</v>
      </c>
      <c r="CR64" s="15">
        <f t="shared" si="17"/>
        <v>21.788374864363789</v>
      </c>
      <c r="CS64" s="17">
        <f t="shared" si="18"/>
        <v>28.324887323672929</v>
      </c>
      <c r="CT64" s="17">
        <f>CT63*(1+Table2[[#This Row],[Salary growth]])</f>
        <v>46.03128340591374</v>
      </c>
      <c r="CU64" s="19">
        <f t="shared" si="19"/>
        <v>59.840668427687888</v>
      </c>
      <c r="CV64" s="112">
        <f>('Cash flows as at 31032017'!B49)/1000000000</f>
        <v>2.0717925679999998</v>
      </c>
      <c r="CW64" s="113">
        <v>0</v>
      </c>
      <c r="CX64" s="113">
        <f>Table2[[#This Row],[Annual contributions (closed scheme)]]-Table2[[#This Row],[Annual benefit payments (closed scheme)]]</f>
        <v>-2.0717925679999998</v>
      </c>
      <c r="CY64" s="113">
        <v>5.21</v>
      </c>
      <c r="CZ64" s="113">
        <v>0</v>
      </c>
      <c r="DA64" s="113">
        <v>-5.21</v>
      </c>
      <c r="DB64" s="17"/>
      <c r="DC64" s="84"/>
      <c r="DD64" s="84"/>
      <c r="DE64" s="84"/>
      <c r="DF64" s="84"/>
      <c r="DG64" s="84"/>
      <c r="DH64" s="84"/>
      <c r="DI64" s="84"/>
      <c r="DJ64" s="84"/>
      <c r="DK64" s="84"/>
      <c r="DL64" s="84"/>
      <c r="DM64" s="84"/>
      <c r="DN64" s="84"/>
      <c r="DO64" s="84"/>
      <c r="DP64" s="84"/>
      <c r="DQ64" s="84"/>
      <c r="DR64" s="84"/>
      <c r="DS64" s="84"/>
      <c r="DT64" s="84"/>
      <c r="DU64" s="84"/>
      <c r="DV64" s="84"/>
      <c r="DW64" s="84"/>
      <c r="DX64" s="84"/>
      <c r="DY64" s="84"/>
      <c r="DZ64" s="84"/>
      <c r="EA64" s="84"/>
      <c r="EB64" s="84"/>
      <c r="EC64" s="84"/>
      <c r="ED64" s="84"/>
      <c r="EE64" s="84"/>
      <c r="EF64" s="84"/>
      <c r="EG64" s="84"/>
      <c r="EH64" s="84"/>
      <c r="EI64" s="84"/>
      <c r="EJ64" s="84"/>
      <c r="EK64" s="84"/>
      <c r="EL64" s="84"/>
      <c r="EM64" s="84"/>
      <c r="EN64" s="84"/>
      <c r="EO64" s="84"/>
      <c r="EP64" s="84"/>
      <c r="EQ64" s="84"/>
    </row>
    <row r="65" spans="1:163" x14ac:dyDescent="0.2">
      <c r="A65" s="8">
        <v>2058</v>
      </c>
      <c r="B65" s="50"/>
      <c r="C65" s="50"/>
      <c r="D65" s="50"/>
      <c r="E65" s="35">
        <v>6.0999999999999999E-2</v>
      </c>
      <c r="F65" s="16">
        <f>F64*(1+Table2[[#This Row],[2008 discount rate]])</f>
        <v>650.74494903779612</v>
      </c>
      <c r="G65" s="18">
        <v>6.0999999999999999E-2</v>
      </c>
      <c r="H65" s="16">
        <f>H64*(1+Table2[[#This Row],[2011 discount rate]])</f>
        <v>534.75699813096662</v>
      </c>
      <c r="I65" s="18">
        <v>5.1999999999999998E-2</v>
      </c>
      <c r="J65" s="16">
        <f>J64*(1+Table2[[#This Row],[2014 discount rate]])</f>
        <v>387.97862475741954</v>
      </c>
      <c r="K65" s="9">
        <v>3.27E-2</v>
      </c>
      <c r="L65" s="18">
        <f t="shared" si="9"/>
        <v>2.7150565347023674</v>
      </c>
      <c r="M65" s="17">
        <f>Table2[[#This Row],[Annual benefit payments (closed scheme)]]/((1+L64)*(1+Table2[[#This Row],[Discount rate A1]])^0.5)+M64</f>
        <v>60.264138352318035</v>
      </c>
      <c r="N65" s="17">
        <f>N64*(1+Table2[Discount rate A1])</f>
        <v>241.19101315866106</v>
      </c>
      <c r="O65" s="17">
        <f>Table2[[#This Row],[Asset growth A1, under the assumption of full-funding at Year 0]]/(1+Table2[[#This Row],[Compounded CPI]])</f>
        <v>108.98602945255965</v>
      </c>
      <c r="P65" s="17">
        <f>(P64*((1+Table2[Discount rate A1])^0.5)-Table2[Annual benefit payments (closed scheme)])*(1+Table2[Discount rate A1])^0.5</f>
        <v>17.306332164674316</v>
      </c>
      <c r="Q65" s="17">
        <f>Table2[[#This Row],[Asset growth A1 with benefit payments deducted]]/(1+Table2[Compounded CPI])</f>
        <v>7.820143886431719</v>
      </c>
      <c r="R65" s="17">
        <f>Table2[[#This Row],[Asset growth A1 with benefit payments deducted]]/(1+Table2[Compounded discount rate A1])</f>
        <v>4.6584303638493125</v>
      </c>
      <c r="S65" s="9">
        <v>3.27E-2</v>
      </c>
      <c r="T65" s="18">
        <f t="shared" si="20"/>
        <v>2.5285844259173111</v>
      </c>
      <c r="U65" s="17">
        <f>Table2[[#This Row],[Annual benefit payments (closed scheme)]]/((1+T64)*(1+Table2[[#This Row],[Discount rate A2]])^0.5)+U64</f>
        <v>62.606695550145986</v>
      </c>
      <c r="V65" s="17">
        <f>V64*(1+Table2[Discount rate A2])</f>
        <v>238.21934304106608</v>
      </c>
      <c r="W65" s="17">
        <f>Table2[[#This Row],[Asset growth A2, under the assumption of full-funding at Year 0]]/(1+Table2[Compounded CPI])</f>
        <v>107.64323262643393</v>
      </c>
      <c r="X65" s="17">
        <f>(X64*((1+Table2[Discount rate A2])^0.5)-Table2[Annual benefit payments (closed scheme)])*(1+Table2[Discount rate A2])^0.5</f>
        <v>17.306332164674387</v>
      </c>
      <c r="Y65" s="17">
        <f>Table2[[#This Row],[Asset growth A2 with benefit payments deducted]]/(1+Table2[[#This Row],[Compounded CPI]])</f>
        <v>7.820143886431751</v>
      </c>
      <c r="Z65" s="19">
        <f>Table2[[#This Row],[Asset growth A2 with benefit payments deducted]]/(1+Table2[Compounded discount rate A2])</f>
        <v>4.9046104827647232</v>
      </c>
      <c r="AA65" s="35">
        <f t="shared" si="16"/>
        <v>4.3699999999999996E-2</v>
      </c>
      <c r="AB65" s="18">
        <f t="shared" si="10"/>
        <v>3.863815928102329</v>
      </c>
      <c r="AC65" s="17">
        <f>Table2[[#This Row],[Annual benefit payments (closed scheme)]]/((1+AB64)*(1+Table2[[#This Row],[Discount rate B]])^0.5)+AC64</f>
        <v>57.124883640906837</v>
      </c>
      <c r="AD65" s="16">
        <f>AD64*(1+Table2[Discount rate B])</f>
        <v>291.82895568613981</v>
      </c>
      <c r="AE65" s="16">
        <f>Table2[[#This Row],[Asset growth B]]/(1+Table2[Compounded CPI])</f>
        <v>131.86759632124895</v>
      </c>
      <c r="AF65" s="17">
        <f>(AF64*((1+Table2[Discount rate B])^0.5)-Table2[Annual benefit payments (closed scheme)])*(1+Table2[Discount rate B])^0.5</f>
        <v>13.984036742504905</v>
      </c>
      <c r="AG65" s="17">
        <f>Table2[[#This Row],[Asset growth B with benefit payments deducted]]/(1+Table2[Compounded CPI])</f>
        <v>6.3189113902919374</v>
      </c>
      <c r="AH65" s="19">
        <f>Table2[[#This Row],[Asset growth B with benefit payments deducted]]/(1+Table2[Compounded discount rate B])</f>
        <v>2.8751163590931639</v>
      </c>
      <c r="AI65" s="11">
        <f>Table2[CPI]+2.56%</f>
        <v>4.1300000000000003E-2</v>
      </c>
      <c r="AJ65" s="18">
        <f t="shared" si="11"/>
        <v>4.6331099382137158</v>
      </c>
      <c r="AK65" s="17">
        <f>Table2[[#This Row],[Annual benefit payments (closed scheme)]]/((1+AJ64)*(1+Table2[[#This Row],[Discount rate C]])^0.5)+AK64</f>
        <v>49.456654660391386</v>
      </c>
      <c r="AL65" s="17">
        <f>AL64*(1+Table2[Discount rate C])</f>
        <v>337.98659629282298</v>
      </c>
      <c r="AM65" s="17">
        <f>Table2[[#This Row],[Asset growth C]]/(1+Table2[Compounded CPI])</f>
        <v>152.72466687599399</v>
      </c>
      <c r="AN65" s="17">
        <f>(AN64*((1+Table2[Discount rate C])^0.5)-Table2[Annual benefit payments (closed scheme)])*(1+Table2[Discount rate C])^0.5</f>
        <v>59.391823414568364</v>
      </c>
      <c r="AO65" s="17">
        <f>Table2[[#This Row],[Asset growth C with benefit payments deducted]]/(1+Table2[Compounded CPI])</f>
        <v>26.837148412504735</v>
      </c>
      <c r="AP65" s="19">
        <f>Table2[[#This Row],[Asset growth C with benefit payments deducted]]/(1+Table2[Compounded discount rate C])</f>
        <v>10.543345339608582</v>
      </c>
      <c r="AQ65" s="11">
        <f>Table2[CPI]+2.56%</f>
        <v>4.1300000000000003E-2</v>
      </c>
      <c r="AR65" s="18">
        <f t="shared" si="12"/>
        <v>4.2729690200781461</v>
      </c>
      <c r="AS65" s="17">
        <f>Table2[[#This Row],[Annual benefit payments (closed scheme)]]/((1+AR64)*(1+Table2[[#This Row],[Discount rate D]])^0.5)+AS64</f>
        <v>51.758298715747756</v>
      </c>
      <c r="AT65" s="16">
        <f>AT64*(1+Table2[Discount rate D])</f>
        <v>316.37814120468875</v>
      </c>
      <c r="AU65" s="17">
        <f>Table2[[#This Row],[Asset growth D]]/(1+Table2[Compounded CPI])</f>
        <v>142.96053971462865</v>
      </c>
      <c r="AV65" s="17">
        <f>(AV64*((1+Table2[Discount rate D])^0.5)-Table2[Annual benefit payments (closed scheme)])*(1+Table2[Discount rate D])^0.5</f>
        <v>43.458235544600484</v>
      </c>
      <c r="AW65" s="17">
        <f>Table2[[#This Row],[Asset growth D with benefit payments deducted]]/(1+Table2[Compounded CPI])</f>
        <v>19.637301062724209</v>
      </c>
      <c r="AX65" s="19">
        <f>Table2[[#This Row],[Asset growth D with benefit payments deducted]]/(1+Table2[Compounded discount rate D])</f>
        <v>8.2417012842522688</v>
      </c>
      <c r="AY65" s="11">
        <f>Table2[CPI]+4%</f>
        <v>5.57E-2</v>
      </c>
      <c r="AZ65" s="18">
        <f t="shared" si="13"/>
        <v>7.0420379092828398</v>
      </c>
      <c r="BA65" s="17">
        <f>Table2[[#This Row],[Annual benefit payments (closed scheme)]]/((1+AZ64)*(1+Table2[[#This Row],[Discount rate E]])^0.5)+BA64</f>
        <v>46.447445185320539</v>
      </c>
      <c r="BB65" s="17">
        <f>BB64*(1+Table2[Discount rate E])</f>
        <v>482.52227455697073</v>
      </c>
      <c r="BC65" s="16">
        <f>Table2[[#This Row],[Asset growth E]]/(1+Table2[Compounded CPI])</f>
        <v>218.03543232263118</v>
      </c>
      <c r="BD65" s="17">
        <f>(BD64*((1+Table2[Discount rate E])^0.5)-Table2[Annual benefit payments (closed scheme)])*(1+Table2[Discount rate E])^0.5</f>
        <v>108.9901595872861</v>
      </c>
      <c r="BE65" s="17">
        <f>Table2[[#This Row],[Asset growth E with benefit payments deducted]]/(1+Table2[Compounded CPI])</f>
        <v>49.248952468246607</v>
      </c>
      <c r="BF65" s="19">
        <f>Table2[[#This Row],[Asset growth E with benefit payments deducted]]/(1+Table2[Compounded discount rate E])</f>
        <v>13.552554814679487</v>
      </c>
      <c r="BG65" s="11">
        <f>Table2[[#This Row],[Long-dated forward gilt yields]]+0.75%</f>
        <v>1.7070000000000002E-2</v>
      </c>
      <c r="BH65" s="11">
        <f t="shared" si="14"/>
        <v>1.5452570018335816</v>
      </c>
      <c r="BI65" s="17">
        <f>((Table2[[#This Row],[Annual benefit payments (closed scheme)]])*1.005^(Table2[[#This Row],[Year]]-2018))/((1+BH64)*(1+Table2[[#This Row],[Discount rate F]])^0.5)+BI64</f>
        <v>72.460912598191271</v>
      </c>
      <c r="BJ65" s="17">
        <f>BJ64*(1+Table2[Discount rate F])</f>
        <v>209.58535684182715</v>
      </c>
      <c r="BK65" s="17">
        <f>Table2[[#This Row],[Asset growth F, under the assumption of full-funding at Year 0]]/(1+Table2[[#This Row],[Compounded CPI]])</f>
        <v>94.704506500674142</v>
      </c>
      <c r="BL65" s="17">
        <f>(BL64*((1+Table2[Discount rate F])^0.5)-Table2[Annual benefit payments (closed scheme)]*1.005^(Table2[Year]-2018))*(1+Table2[Discount rate F])^0.5</f>
        <v>25.153711692029603</v>
      </c>
      <c r="BM65" s="17">
        <f>Table2[[#This Row],[Asset growth F with benefit payments deducted]]/(1+Table2[Compounded CPI])</f>
        <v>11.366108245108508</v>
      </c>
      <c r="BN65" s="19">
        <f>Table2[[#This Row],[Asset growth F with benefit payments deducted]]/(1+Table2[Compounded discount rate F])</f>
        <v>9.8825822594374877</v>
      </c>
      <c r="BO65" s="18">
        <f>(1+BO64)*(1+Table2[Discount rate A2])-1</f>
        <v>0.98449444392752317</v>
      </c>
      <c r="BP65" s="17">
        <f>Table2[[#This Row],[Annual benefit payments (ongoing scheme)]]/((1+BO64)*(1+Table2[[#This Row],[Discount rate A2]])^0.5)+BP64</f>
        <v>70.578718500078352</v>
      </c>
      <c r="BQ65" s="17">
        <f>(BQ64*((1+Table2[Discount rate A2])^0.5)-Table2[Annual benefit payments (ongoing scheme)])*(1+Table2[Discount rate A2])^0.5</f>
        <v>83.210754355029181</v>
      </c>
      <c r="BR65" s="18">
        <f>(1+BR64)*(1+Table2[Discount rate B])-1</f>
        <v>1.4787821006753235</v>
      </c>
      <c r="BS65" s="17">
        <f>Table2[[#This Row],[Annual benefit payments (ongoing scheme)]]/((1+BR64)*(1+Table2[[#This Row],[Discount rate B]])^0.5)+BS64</f>
        <v>63.745373093482151</v>
      </c>
      <c r="BT65" s="18">
        <f>(1+BT64)*(1+Table2[Discount rate E])-1</f>
        <v>2.1510395754101768</v>
      </c>
      <c r="BU65" s="17">
        <f>Table2[[#This Row],[Annual benefit payments (ongoing scheme)]]/((1+BT64)*(1+Table2[[#This Row],[Discount rate E]])^0.5)+BU64</f>
        <v>57.367170446289911</v>
      </c>
      <c r="BV65" s="18">
        <f>Table2[CPI]+0.75%+0.75%</f>
        <v>3.0699999999999998E-2</v>
      </c>
      <c r="BW65" s="18">
        <f>(1+BW64)*(1+Table2[Self-sufficiency discount rate, from 2037])-1</f>
        <v>0.90536381333635507</v>
      </c>
      <c r="BX65" s="17">
        <f>(Table2[[#This Row],[Annual benefit payments (ongoing scheme)]]*1.005^(Table2[[#This Row],[Year]]-2038))/((1+BW64)*(1+Table2[[#This Row],[Self-sufficiency discount rate, from 2037]])^0.5)+BX64</f>
        <v>75.422467039682246</v>
      </c>
      <c r="BY65" s="17">
        <f>(BY64*((1+Table2[Self-sufficiency discount rate, from 2037])^0.5)-Table2[Annual benefit payments (ongoing scheme)]*1.005^(Table2[Year]-2038))*(1+Table2[Self-sufficiency discount rate, from 2037])^0.5</f>
        <v>100.27559044602809</v>
      </c>
      <c r="BZ65" s="17">
        <f>(BZ64*((1+Table2[Discount rate B])^0.5)-Table2[Annual benefit payments (ongoing scheme)])*(1+Table2[Discount rate B])^0.5</f>
        <v>73.787317719947339</v>
      </c>
      <c r="CA65" s="17">
        <f>(CA64*((1+Table2[Discount rate A2])^0.5)+Table2[Net cashflow (ongoing scheme)])*(1+Table2[Discount rate A2])^0.5</f>
        <v>82.5539556364064</v>
      </c>
      <c r="CB65" s="17">
        <f>Table2[[#This Row],[Asset growth, ongoing scheme, with November de-risking, net of contributions and payments]]/(1+Table2[Compounded discount rate A2])</f>
        <v>23.39577169531524</v>
      </c>
      <c r="CC65" s="17">
        <f>Table2[[#This Row],[Asset growth, ongoing scheme, with November de-risking, net of contributions and payments]]/(1+Table2[Compounded CPI])</f>
        <v>37.303329517074935</v>
      </c>
      <c r="CD65" s="17">
        <f>(CD64*((1+Table2[Discount rate A1])^0.5)+Table2[Net cashflow (ongoing scheme)])*(1+Table2[Discount rate A1])^0.5</f>
        <v>93.95015915067934</v>
      </c>
      <c r="CE65" s="17">
        <f>Table2[[#This Row],[Asset growth, ongoing scheme, with September de-risking, net of contributions and payments]]/(1+Table2[Compounded discount rate A1])</f>
        <v>25.289025422114115</v>
      </c>
      <c r="CF65" s="17">
        <f>Table2[[#This Row],[Asset growth, ongoing scheme, with September de-risking, net of contributions and payments]]/(1+Table2[Compounded CPI])</f>
        <v>42.452886938755817</v>
      </c>
      <c r="CG65" s="17">
        <f>(CG64*((1+Table2[Discount rate B])^0.5)+Table2[Net cashflow (ongoing scheme)])*(1+Table2[Discount rate B])^0.5</f>
        <v>148.23194114633512</v>
      </c>
      <c r="CH65" s="17">
        <f>Table2[[#This Row],[Asset growth, ongoing scheme, no de-risking, net of contributions and payments]]/(1+Table2[Compounded discount rate B])</f>
        <v>30.476470190797173</v>
      </c>
      <c r="CI65" s="17">
        <f>Table2[[#This Row],[Asset growth, ongoing scheme, no de-risking, net of contributions and payments]]/(1+Table2[Compounded CPI])</f>
        <v>66.980981140276953</v>
      </c>
      <c r="CJ65" s="17">
        <f>(CJ64*((1+Table2[Discount rate E])^0.5)+Table2[Net cashflow (ongoing scheme)])*(1+Table2[Discount rate E])^0.5</f>
        <v>322.28060992608403</v>
      </c>
      <c r="CK65" s="17">
        <f>Table2[[#This Row],[Asset growth, ongoing scheme, best-estimates, no de-risking, net of contributions and payments ]]/(1+Table2[Compounded discount rate E])</f>
        <v>40.074495241321721</v>
      </c>
      <c r="CL65" s="17">
        <f>Table2[[#This Row],[Asset growth, ongoing scheme, best-estimates, no de-risking, net of contributions and payments ]]/(1+Table2[Compounded CPI])</f>
        <v>145.62766491754667</v>
      </c>
      <c r="CM65" s="9">
        <v>1.5699999999999999E-2</v>
      </c>
      <c r="CN65" s="11">
        <f>(1+Table2[[#This Row],[CPI]])*(1+CN64)-1</f>
        <v>1.2130452349734302</v>
      </c>
      <c r="CO65" s="11">
        <f>'Gilt yields'!B47</f>
        <v>9.5700000000000004E-3</v>
      </c>
      <c r="CP65" s="11">
        <f t="shared" si="15"/>
        <v>3.5699999999999996E-2</v>
      </c>
      <c r="CQ65" s="26">
        <f>(1+Table2[[#This Row],[Salary growth]])*(1+CQ64)-1</f>
        <v>3.7674600223504866</v>
      </c>
      <c r="CR65" s="15">
        <f t="shared" si="17"/>
        <v>22.130452349734302</v>
      </c>
      <c r="CS65" s="17">
        <f t="shared" si="18"/>
        <v>28.769588054654594</v>
      </c>
      <c r="CT65" s="17">
        <f>CT64*(1+Table2[[#This Row],[Salary growth]])</f>
        <v>47.674600223504861</v>
      </c>
      <c r="CU65" s="19">
        <f t="shared" si="19"/>
        <v>61.976980290556348</v>
      </c>
      <c r="CV65" s="112">
        <f>('Cash flows as at 31032017'!B50)/1000000000</f>
        <v>1.9739709270000001</v>
      </c>
      <c r="CW65" s="113">
        <v>0</v>
      </c>
      <c r="CX65" s="113">
        <f>Table2[[#This Row],[Annual contributions (closed scheme)]]-Table2[[#This Row],[Annual benefit payments (closed scheme)]]</f>
        <v>-1.9739709270000001</v>
      </c>
      <c r="CY65" s="113">
        <v>5.22</v>
      </c>
      <c r="CZ65" s="113">
        <v>0</v>
      </c>
      <c r="DA65" s="113">
        <v>-5.22</v>
      </c>
      <c r="DB65" s="17"/>
      <c r="DC65" s="84"/>
      <c r="DD65" s="84"/>
      <c r="DE65" s="84"/>
      <c r="DF65" s="84"/>
      <c r="DG65" s="84"/>
      <c r="DH65" s="84"/>
      <c r="DI65" s="84"/>
      <c r="DJ65" s="84"/>
      <c r="DK65" s="84"/>
      <c r="DL65" s="84"/>
      <c r="DM65" s="84"/>
      <c r="DN65" s="84"/>
      <c r="DO65" s="84"/>
      <c r="DP65" s="84"/>
      <c r="DQ65" s="84"/>
      <c r="DR65" s="84"/>
      <c r="DS65" s="84"/>
      <c r="DT65" s="84"/>
      <c r="DU65" s="84"/>
      <c r="DV65" s="84"/>
      <c r="DW65" s="84"/>
      <c r="DX65" s="84"/>
      <c r="DY65" s="84"/>
      <c r="DZ65" s="84"/>
      <c r="EA65" s="84"/>
      <c r="EB65" s="84"/>
      <c r="EC65" s="84"/>
      <c r="ED65" s="84"/>
      <c r="EE65" s="84"/>
      <c r="EF65" s="84"/>
      <c r="EG65" s="84"/>
      <c r="EH65" s="84"/>
      <c r="EI65" s="84"/>
      <c r="EJ65" s="84"/>
      <c r="EK65" s="84"/>
      <c r="EL65" s="84"/>
      <c r="EM65" s="84"/>
      <c r="EN65" s="84"/>
      <c r="EO65" s="84"/>
      <c r="EP65" s="84"/>
      <c r="EQ65" s="84"/>
      <c r="ER65" s="84"/>
    </row>
    <row r="66" spans="1:163" x14ac:dyDescent="0.2">
      <c r="A66" s="8">
        <v>2059</v>
      </c>
      <c r="B66" s="50"/>
      <c r="C66" s="50"/>
      <c r="D66" s="50"/>
      <c r="E66" s="35">
        <v>6.0999999999999999E-2</v>
      </c>
      <c r="F66" s="16">
        <f>F65*(1+Table2[[#This Row],[2008 discount rate]])</f>
        <v>690.44039092910168</v>
      </c>
      <c r="G66" s="18">
        <v>6.0999999999999999E-2</v>
      </c>
      <c r="H66" s="16">
        <f>H65*(1+Table2[[#This Row],[2011 discount rate]])</f>
        <v>567.37717501695556</v>
      </c>
      <c r="I66" s="18">
        <v>5.1999999999999998E-2</v>
      </c>
      <c r="J66" s="16">
        <f>J65*(1+Table2[[#This Row],[2014 discount rate]])</f>
        <v>408.15351324480537</v>
      </c>
      <c r="K66" s="9">
        <v>3.39E-2</v>
      </c>
      <c r="L66" s="18">
        <f t="shared" si="9"/>
        <v>2.8409969512287776</v>
      </c>
      <c r="M66" s="17">
        <f>Table2[[#This Row],[Annual benefit payments (closed scheme)]]/((1+L65)*(1+Table2[[#This Row],[Discount rate A1]])^0.5)+M65</f>
        <v>60.761150451133247</v>
      </c>
      <c r="N66" s="17">
        <f>N65*(1+Table2[Discount rate A1])</f>
        <v>249.36738850473969</v>
      </c>
      <c r="O66" s="17">
        <f>Table2[[#This Row],[Asset growth A1, under the assumption of full-funding at Year 0]]/(1+Table2[[#This Row],[Compounded CPI]])</f>
        <v>110.80800064018236</v>
      </c>
      <c r="P66" s="17">
        <f>(P65*((1+Table2[Discount rate A1])^0.5)-Table2[Annual benefit payments (closed scheme)])*(1+Table2[Discount rate A1])^0.5</f>
        <v>15.98399486878372</v>
      </c>
      <c r="Q66" s="17">
        <f>Table2[[#This Row],[Asset growth A1 with benefit payments deducted]]/(1+Table2[Compounded CPI])</f>
        <v>7.1025907768978138</v>
      </c>
      <c r="R66" s="17">
        <f>Table2[[#This Row],[Asset growth A1 with benefit payments deducted]]/(1+Table2[Compounded discount rate A1])</f>
        <v>4.1614182650340981</v>
      </c>
      <c r="S66" s="9">
        <v>3.39E-2</v>
      </c>
      <c r="T66" s="18">
        <f t="shared" si="20"/>
        <v>2.6482034379559081</v>
      </c>
      <c r="U66" s="17">
        <f>Table2[[#This Row],[Annual benefit payments (closed scheme)]]/((1+T65)*(1+Table2[[#This Row],[Discount rate A2]])^0.5)+U65</f>
        <v>63.129972825862467</v>
      </c>
      <c r="V66" s="17">
        <f>V65*(1+Table2[Discount rate A2])</f>
        <v>246.29497877015822</v>
      </c>
      <c r="W66" s="17">
        <f>Table2[[#This Row],[Asset growth A2, under the assumption of full-funding at Year 0]]/(1+Table2[Compounded CPI])</f>
        <v>109.44275564211824</v>
      </c>
      <c r="X66" s="17">
        <f>(X65*((1+Table2[Discount rate A2])^0.5)-Table2[Annual benefit payments (closed scheme)])*(1+Table2[Discount rate A2])^0.5</f>
        <v>15.983994868783796</v>
      </c>
      <c r="Y66" s="17">
        <f>Table2[[#This Row],[Asset growth A2 with benefit payments deducted]]/(1+Table2[[#This Row],[Compounded CPI]])</f>
        <v>7.1025907768978476</v>
      </c>
      <c r="Z66" s="19">
        <f>Table2[[#This Row],[Asset growth A2 with benefit payments deducted]]/(1+Table2[Compounded discount rate A2])</f>
        <v>4.3813332070482458</v>
      </c>
      <c r="AA66" s="35">
        <f t="shared" si="16"/>
        <v>4.4899999999999995E-2</v>
      </c>
      <c r="AB66" s="18">
        <f t="shared" si="10"/>
        <v>4.0822012632741229</v>
      </c>
      <c r="AC66" s="17">
        <f>Table2[[#This Row],[Annual benefit payments (closed scheme)]]/((1+AB65)*(1+Table2[[#This Row],[Discount rate B]])^0.5)+AC65</f>
        <v>57.502505529989151</v>
      </c>
      <c r="AD66" s="16">
        <f>AD65*(1+Table2[Discount rate B])</f>
        <v>304.93207579644746</v>
      </c>
      <c r="AE66" s="16">
        <f>Table2[[#This Row],[Asset growth B]]/(1+Table2[Compounded CPI])</f>
        <v>135.49852630157639</v>
      </c>
      <c r="AF66" s="17">
        <f>(AF65*((1+Table2[Discount rate B])^0.5)-Table2[Annual benefit payments (closed scheme)])*(1+Table2[Discount rate B])^0.5</f>
        <v>12.692769550509285</v>
      </c>
      <c r="AG66" s="17">
        <f>Table2[[#This Row],[Asset growth B with benefit payments deducted]]/(1+Table2[Compounded CPI])</f>
        <v>5.6401136688801135</v>
      </c>
      <c r="AH66" s="19">
        <f>Table2[[#This Row],[Asset growth B with benefit payments deducted]]/(1+Table2[Compounded discount rate B])</f>
        <v>2.4974944700108512</v>
      </c>
      <c r="AI66" s="11">
        <f>Table2[CPI]+2.56%</f>
        <v>4.2499999999999996E-2</v>
      </c>
      <c r="AJ66" s="18">
        <f t="shared" si="11"/>
        <v>4.8725171105877987</v>
      </c>
      <c r="AK66" s="17">
        <f>Table2[[#This Row],[Annual benefit payments (closed scheme)]]/((1+AJ65)*(1+Table2[[#This Row],[Discount rate C]])^0.5)+AK65</f>
        <v>49.783081151547037</v>
      </c>
      <c r="AL66" s="17">
        <f>AL65*(1+Table2[Discount rate C])</f>
        <v>352.35102663526794</v>
      </c>
      <c r="AM66" s="17">
        <f>Table2[[#This Row],[Asset growth C]]/(1+Table2[Compounded CPI])</f>
        <v>156.56944165426663</v>
      </c>
      <c r="AN66" s="17">
        <f>(AN65*((1+Table2[Discount rate C])^0.5)-Table2[Annual benefit payments (closed scheme)])*(1+Table2[Discount rate C])^0.5</f>
        <v>59.999030755026816</v>
      </c>
      <c r="AO66" s="17">
        <f>Table2[[#This Row],[Asset growth C with benefit payments deducted]]/(1+Table2[Compounded CPI])</f>
        <v>26.660954658820465</v>
      </c>
      <c r="AP66" s="19">
        <f>Table2[[#This Row],[Asset growth C with benefit payments deducted]]/(1+Table2[Compounded discount rate C])</f>
        <v>10.216918848452929</v>
      </c>
      <c r="AQ66" s="11">
        <f>Table2[CPI]+2.56%</f>
        <v>4.2499999999999996E-2</v>
      </c>
      <c r="AR66" s="18">
        <f t="shared" si="12"/>
        <v>4.4970702034314671</v>
      </c>
      <c r="AS66" s="17">
        <f>Table2[[#This Row],[Annual benefit payments (closed scheme)]]/((1+AR65)*(1+Table2[[#This Row],[Discount rate D]])^0.5)+AS65</f>
        <v>52.107019958831764</v>
      </c>
      <c r="AT66" s="16">
        <f>AT65*(1+Table2[Discount rate D])</f>
        <v>329.82421220588799</v>
      </c>
      <c r="AU66" s="17">
        <f>Table2[[#This Row],[Asset growth D]]/(1+Table2[Compounded CPI])</f>
        <v>146.55950698446293</v>
      </c>
      <c r="AV66" s="17">
        <f>(AV65*((1+Table2[Discount rate D])^0.5)-Table2[Annual benefit payments (closed scheme)])*(1+Table2[Discount rate D])^0.5</f>
        <v>43.388265400585304</v>
      </c>
      <c r="AW66" s="17">
        <f>Table2[[#This Row],[Asset growth D with benefit payments deducted]]/(1+Table2[Compounded CPI])</f>
        <v>19.279854391197098</v>
      </c>
      <c r="AX66" s="19">
        <f>Table2[[#This Row],[Asset growth D with benefit payments deducted]]/(1+Table2[Compounded discount rate D])</f>
        <v>7.8929800411682578</v>
      </c>
      <c r="AY66" s="11">
        <f>Table2[CPI]+4%</f>
        <v>5.6899999999999999E-2</v>
      </c>
      <c r="AZ66" s="18">
        <f t="shared" si="13"/>
        <v>7.4996298663210332</v>
      </c>
      <c r="BA66" s="17">
        <f>Table2[[#This Row],[Annual benefit payments (closed scheme)]]/((1+AZ65)*(1+Table2[[#This Row],[Discount rate E]])^0.5)+BA65</f>
        <v>46.67453025995934</v>
      </c>
      <c r="BB66" s="17">
        <f>BB65*(1+Table2[Discount rate E])</f>
        <v>509.97779197926235</v>
      </c>
      <c r="BC66" s="16">
        <f>Table2[[#This Row],[Asset growth E]]/(1+Table2[Compounded CPI])</f>
        <v>226.61190719027326</v>
      </c>
      <c r="BD66" s="17">
        <f>(BD65*((1+Table2[Discount rate E])^0.5)-Table2[Annual benefit payments (closed scheme)])*(1+Table2[Discount rate E])^0.5</f>
        <v>113.26156058520698</v>
      </c>
      <c r="BE66" s="17">
        <f>Table2[[#This Row],[Asset growth E with benefit payments deducted]]/(1+Table2[Compounded CPI])</f>
        <v>50.328501866614872</v>
      </c>
      <c r="BF66" s="19">
        <f>Table2[[#This Row],[Asset growth E with benefit payments deducted]]/(1+Table2[Compounded discount rate E])</f>
        <v>13.325469740040685</v>
      </c>
      <c r="BG66" s="11">
        <f>Table2[[#This Row],[Long-dated forward gilt yields]]+0.75%</f>
        <v>1.7809999999999999E-2</v>
      </c>
      <c r="BH66" s="11">
        <f t="shared" si="14"/>
        <v>1.5905880290362377</v>
      </c>
      <c r="BI66" s="17">
        <f>((Table2[[#This Row],[Annual benefit payments (closed scheme)]])*1.005^(Table2[[#This Row],[Year]]-2018))/((1+BH65)*(1+Table2[[#This Row],[Discount rate F]])^0.5)+BI65</f>
        <v>73.357959581715676</v>
      </c>
      <c r="BJ66" s="17">
        <f>BJ65*(1+Table2[Discount rate F])</f>
        <v>213.31807204718012</v>
      </c>
      <c r="BK66" s="17">
        <f>Table2[[#This Row],[Asset growth F, under the assumption of full-funding at Year 0]]/(1+Table2[[#This Row],[Compounded CPI]])</f>
        <v>94.789255346102038</v>
      </c>
      <c r="BL66" s="17">
        <f>(BL65*((1+Table2[Discount rate F])^0.5)-Table2[Annual benefit payments (closed scheme)]*1.005^(Table2[Year]-2018))*(1+Table2[Discount rate F])^0.5</f>
        <v>23.277820120263261</v>
      </c>
      <c r="BM66" s="17">
        <f>Table2[[#This Row],[Asset growth F with benefit payments deducted]]/(1+Table2[Compounded CPI])</f>
        <v>10.343648871869849</v>
      </c>
      <c r="BN66" s="19">
        <f>Table2[[#This Row],[Asset growth F with benefit payments deducted]]/(1+Table2[Compounded discount rate F])</f>
        <v>8.9855352759130831</v>
      </c>
      <c r="BO66" s="18">
        <f>(1+BO65)*(1+Table2[Discount rate A2])-1</f>
        <v>1.0517688055766663</v>
      </c>
      <c r="BP66" s="17">
        <f>Table2[[#This Row],[Annual benefit payments (ongoing scheme)]]/((1+BO65)*(1+Table2[[#This Row],[Discount rate A2]])^0.5)+BP65</f>
        <v>73.12102676958753</v>
      </c>
      <c r="BQ66" s="17">
        <f>(BQ65*((1+Table2[Discount rate A2])^0.5)-Table2[Annual benefit payments (ongoing scheme)])*(1+Table2[Discount rate A2])^0.5</f>
        <v>80.815370126126183</v>
      </c>
      <c r="BR66" s="18">
        <f>(1+BR65)*(1+Table2[Discount rate B])-1</f>
        <v>1.5900794169956454</v>
      </c>
      <c r="BS66" s="17">
        <f>Table2[[#This Row],[Annual benefit payments (ongoing scheme)]]/((1+BR65)*(1+Table2[[#This Row],[Discount rate B]])^0.5)+BS65</f>
        <v>65.769984359106829</v>
      </c>
      <c r="BT66" s="18">
        <f>(1+BT65)*(1+Table2[Discount rate E])-1</f>
        <v>2.3303337272510158</v>
      </c>
      <c r="BU66" s="17">
        <f>Table2[[#This Row],[Annual benefit payments (ongoing scheme)]]/((1+BT65)*(1+Table2[[#This Row],[Discount rate E]])^0.5)+BU65</f>
        <v>58.95077433099992</v>
      </c>
      <c r="BV66" s="18">
        <f>Table2[CPI]+0.75%+0.75%</f>
        <v>3.1899999999999998E-2</v>
      </c>
      <c r="BW66" s="18">
        <f>(1+BW65)*(1+Table2[Self-sufficiency discount rate, from 2037])-1</f>
        <v>0.96614491898178478</v>
      </c>
      <c r="BX66" s="17">
        <f>(Table2[[#This Row],[Annual benefit payments (ongoing scheme)]]*1.005^(Table2[[#This Row],[Year]]-2038))/((1+BW65)*(1+Table2[[#This Row],[Self-sufficiency discount rate, from 2037]])^0.5)+BX65</f>
        <v>78.365586856417124</v>
      </c>
      <c r="BY66" s="17">
        <f>(BY65*((1+Table2[Self-sufficiency discount rate, from 2037])^0.5)-Table2[Annual benefit payments (ongoing scheme)]*1.005^(Table2[Year]-2038))*(1+Table2[Self-sufficiency discount rate, from 2037])^0.5</f>
        <v>97.687781707628503</v>
      </c>
      <c r="BZ66" s="17">
        <f>(BZ65*((1+Table2[Discount rate B])^0.5)-Table2[Annual benefit payments (ongoing scheme)])*(1+Table2[Discount rate B])^0.5</f>
        <v>71.856464319061004</v>
      </c>
      <c r="CA66" s="17">
        <f>(CA65*((1+Table2[Discount rate A2])^0.5)+Table2[Net cashflow (ongoing scheme)])*(1+Table2[Discount rate A2])^0.5</f>
        <v>80.136305930942086</v>
      </c>
      <c r="CB66" s="17">
        <f>Table2[[#This Row],[Asset growth, ongoing scheme, with November de-risking, net of contributions and payments]]/(1+Table2[Compounded discount rate A2])</f>
        <v>21.965964150245561</v>
      </c>
      <c r="CC66" s="17">
        <f>Table2[[#This Row],[Asset growth, ongoing scheme, with November de-risking, net of contributions and payments]]/(1+Table2[Compounded CPI])</f>
        <v>35.609082214569142</v>
      </c>
      <c r="CD66" s="17">
        <f>(CD65*((1+Table2[Discount rate A1])^0.5)+Table2[Net cashflow (ongoing scheme)])*(1+Table2[Discount rate A1])^0.5</f>
        <v>91.918840744348884</v>
      </c>
      <c r="CE66" s="17">
        <f>Table2[[#This Row],[Asset growth, ongoing scheme, with September de-risking, net of contributions and payments]]/(1+Table2[Compounded discount rate A1])</f>
        <v>23.930985083167801</v>
      </c>
      <c r="CF66" s="17">
        <f>Table2[[#This Row],[Asset growth, ongoing scheme, with September de-risking, net of contributions and payments]]/(1+Table2[Compounded CPI])</f>
        <v>40.844727232049593</v>
      </c>
      <c r="CG66" s="17">
        <f>(CG65*((1+Table2[Discount rate B])^0.5)+Table2[Net cashflow (ongoing scheme)])*(1+Table2[Discount rate B])^0.5</f>
        <v>149.64365133729359</v>
      </c>
      <c r="CH66" s="17">
        <f>Table2[[#This Row],[Asset growth, ongoing scheme, no de-risking, net of contributions and payments]]/(1+Table2[Compounded discount rate B])</f>
        <v>29.444652737126781</v>
      </c>
      <c r="CI66" s="17">
        <f>Table2[[#This Row],[Asset growth, ongoing scheme, no de-risking, net of contributions and payments]]/(1+Table2[Compounded CPI])</f>
        <v>66.495117555705917</v>
      </c>
      <c r="CJ66" s="17">
        <f>(CJ65*((1+Table2[Discount rate E])^0.5)+Table2[Net cashflow (ongoing scheme)])*(1+Table2[Discount rate E])^0.5</f>
        <v>335.34444720302264</v>
      </c>
      <c r="CK66" s="17">
        <f>Table2[[#This Row],[Asset growth, ongoing scheme, best-estimates, no de-risking, net of contributions and payments ]]/(1+Table2[Compounded discount rate E])</f>
        <v>39.454005936398808</v>
      </c>
      <c r="CL66" s="17">
        <f>Table2[[#This Row],[Asset growth, ongoing scheme, best-estimates, no de-risking, net of contributions and payments ]]/(1+Table2[Compounded CPI])</f>
        <v>149.01245885906152</v>
      </c>
      <c r="CM66" s="9">
        <v>1.6899999999999998E-2</v>
      </c>
      <c r="CN66" s="11">
        <f>(1+Table2[[#This Row],[CPI]])*(1+CN65)-1</f>
        <v>1.250445699444481</v>
      </c>
      <c r="CO66" s="11">
        <f>'Gilt yields'!B48</f>
        <v>1.031E-2</v>
      </c>
      <c r="CP66" s="11">
        <f t="shared" si="15"/>
        <v>3.6900000000000002E-2</v>
      </c>
      <c r="CQ66" s="26">
        <f>(1+Table2[[#This Row],[Salary growth]])*(1+CQ65)-1</f>
        <v>3.9433792971752188</v>
      </c>
      <c r="CR66" s="15">
        <f t="shared" si="17"/>
        <v>22.504456994444809</v>
      </c>
      <c r="CS66" s="17">
        <f t="shared" si="18"/>
        <v>29.255794092778256</v>
      </c>
      <c r="CT66" s="17">
        <f>CT65*(1+Table2[[#This Row],[Salary growth]])</f>
        <v>49.43379297175219</v>
      </c>
      <c r="CU66" s="19">
        <f t="shared" si="19"/>
        <v>64.263930863277878</v>
      </c>
      <c r="CV66" s="112">
        <f>('Cash flows as at 31032017'!B51)/1000000000</f>
        <v>1.8774641620000001</v>
      </c>
      <c r="CW66" s="113">
        <v>0</v>
      </c>
      <c r="CX66" s="113">
        <f>Table2[[#This Row],[Annual contributions (closed scheme)]]-Table2[[#This Row],[Annual benefit payments (closed scheme)]]</f>
        <v>-1.8774641620000001</v>
      </c>
      <c r="CY66" s="113">
        <v>5.13</v>
      </c>
      <c r="CZ66" s="113">
        <v>0</v>
      </c>
      <c r="DA66" s="113">
        <v>-5.13</v>
      </c>
      <c r="DB66" s="17"/>
      <c r="DC66" s="84"/>
      <c r="DD66" s="84"/>
      <c r="DE66" s="84"/>
      <c r="DF66" s="84"/>
      <c r="DG66" s="84"/>
      <c r="DH66" s="84"/>
      <c r="DI66" s="84"/>
      <c r="DJ66" s="84"/>
      <c r="DK66" s="84"/>
      <c r="DL66" s="84"/>
      <c r="DM66" s="84"/>
      <c r="DN66" s="84"/>
      <c r="DO66" s="84"/>
      <c r="DP66" s="84"/>
      <c r="DQ66" s="84"/>
      <c r="DR66" s="84"/>
      <c r="DS66" s="84"/>
      <c r="DT66" s="84"/>
      <c r="DU66" s="84"/>
      <c r="DV66" s="84"/>
      <c r="DW66" s="84"/>
      <c r="DX66" s="84"/>
      <c r="DY66" s="84"/>
      <c r="DZ66" s="84"/>
      <c r="EA66" s="84"/>
      <c r="EB66" s="84"/>
      <c r="EC66" s="84"/>
      <c r="ED66" s="84"/>
      <c r="EE66" s="84"/>
      <c r="EF66" s="84"/>
      <c r="EG66" s="84"/>
      <c r="EH66" s="84"/>
      <c r="EI66" s="84"/>
      <c r="EJ66" s="84"/>
      <c r="EK66" s="84"/>
      <c r="EL66" s="84"/>
      <c r="EM66" s="84"/>
      <c r="EN66" s="84"/>
      <c r="EO66" s="84"/>
      <c r="EP66" s="84"/>
      <c r="EQ66" s="84"/>
      <c r="ER66" s="84"/>
      <c r="ES66" s="84"/>
    </row>
    <row r="67" spans="1:163" x14ac:dyDescent="0.2">
      <c r="A67" s="8">
        <v>2060</v>
      </c>
      <c r="B67" s="50"/>
      <c r="C67" s="50"/>
      <c r="D67" s="50"/>
      <c r="E67" s="35">
        <v>6.0999999999999999E-2</v>
      </c>
      <c r="F67" s="16">
        <f>F66*(1+Table2[[#This Row],[2008 discount rate]])</f>
        <v>732.55725477577687</v>
      </c>
      <c r="G67" s="18">
        <v>6.0999999999999999E-2</v>
      </c>
      <c r="H67" s="16">
        <f>H66*(1+Table2[[#This Row],[2011 discount rate]])</f>
        <v>601.98718269298979</v>
      </c>
      <c r="I67" s="18">
        <v>5.1999999999999998E-2</v>
      </c>
      <c r="J67" s="16">
        <f>J66*(1+Table2[[#This Row],[2014 discount rate]])</f>
        <v>429.37749593353527</v>
      </c>
      <c r="K67" s="9">
        <v>3.5099999999999999E-2</v>
      </c>
      <c r="L67" s="18">
        <f t="shared" si="9"/>
        <v>2.9758159442169072</v>
      </c>
      <c r="M67" s="17">
        <f>Table2[[#This Row],[Annual benefit payments (closed scheme)]]/((1+L66)*(1+Table2[[#This Row],[Discount rate A1]])^0.5)+M66</f>
        <v>61.217388564850047</v>
      </c>
      <c r="N67" s="17">
        <f>N66*(1+Table2[Discount rate A1])</f>
        <v>258.12018384125605</v>
      </c>
      <c r="O67" s="17">
        <f>Table2[[#This Row],[Asset growth A1, under the assumption of full-funding at Year 0]]/(1+Table2[[#This Row],[Compounded CPI]])</f>
        <v>112.65824718854019</v>
      </c>
      <c r="P67" s="17">
        <f>(P66*((1+Table2[Discount rate A1])^0.5)-Table2[Annual benefit payments (closed scheme)])*(1+Table2[Discount rate A1])^0.5</f>
        <v>14.731114321803316</v>
      </c>
      <c r="Q67" s="17">
        <f>Table2[[#This Row],[Asset growth A1 with benefit payments deducted]]/(1+Table2[Compounded CPI])</f>
        <v>6.4294914637477767</v>
      </c>
      <c r="R67" s="17">
        <f>Table2[[#This Row],[Asset growth A1 with benefit payments deducted]]/(1+Table2[Compounded discount rate A1])</f>
        <v>3.7051801513172955</v>
      </c>
      <c r="S67" s="9">
        <v>3.5100000000000006E-2</v>
      </c>
      <c r="T67" s="18">
        <f t="shared" si="20"/>
        <v>2.7762553786281603</v>
      </c>
      <c r="U67" s="17">
        <f>Table2[[#This Row],[Annual benefit payments (closed scheme)]]/((1+T66)*(1+Table2[[#This Row],[Discount rate A2]])^0.5)+U66</f>
        <v>63.610321368267897</v>
      </c>
      <c r="V67" s="17">
        <f>V66*(1+Table2[Discount rate A2])</f>
        <v>254.93993252499075</v>
      </c>
      <c r="W67" s="17">
        <f>Table2[[#This Row],[Asset growth A2, under the assumption of full-funding at Year 0]]/(1+Table2[Compounded CPI])</f>
        <v>111.27020564301796</v>
      </c>
      <c r="X67" s="17">
        <f>(X66*((1+Table2[Discount rate A2])^0.5)-Table2[Annual benefit payments (closed scheme)])*(1+Table2[Discount rate A2])^0.5</f>
        <v>14.731114321803393</v>
      </c>
      <c r="Y67" s="17">
        <f>Table2[[#This Row],[Asset growth A2 with benefit payments deducted]]/(1+Table2[[#This Row],[Compounded CPI]])</f>
        <v>6.4294914637478096</v>
      </c>
      <c r="Z67" s="19">
        <f>Table2[[#This Row],[Asset growth A2 with benefit payments deducted]]/(1+Table2[Compounded discount rate A2])</f>
        <v>3.900984664642813</v>
      </c>
      <c r="AA67" s="35">
        <f t="shared" si="16"/>
        <v>4.6100000000000002E-2</v>
      </c>
      <c r="AB67" s="18">
        <f t="shared" si="10"/>
        <v>4.3164907415110605</v>
      </c>
      <c r="AC67" s="17">
        <f>Table2[[#This Row],[Annual benefit payments (closed scheme)]]/((1+AB66)*(1+Table2[[#This Row],[Discount rate B]])^0.5)+AC66</f>
        <v>57.845500869380174</v>
      </c>
      <c r="AD67" s="16">
        <f>AD66*(1+Table2[Discount rate B])</f>
        <v>318.98944449066369</v>
      </c>
      <c r="AE67" s="16">
        <f>Table2[[#This Row],[Asset growth B]]/(1+Table2[Compounded CPI])</f>
        <v>139.22503522647978</v>
      </c>
      <c r="AF67" s="17">
        <f>(AF66*((1+Table2[Discount rate B])^0.5)-Table2[Annual benefit payments (closed scheme)])*(1+Table2[Discount rate B])^0.5</f>
        <v>11.454374680533938</v>
      </c>
      <c r="AG67" s="17">
        <f>Table2[[#This Row],[Asset growth B with benefit payments deducted]]/(1+Table2[Compounded CPI])</f>
        <v>4.9993369559327556</v>
      </c>
      <c r="AH67" s="19">
        <f>Table2[[#This Row],[Asset growth B with benefit payments deducted]]/(1+Table2[Compounded discount rate B])</f>
        <v>2.1544991306198269</v>
      </c>
      <c r="AI67" s="11">
        <f>Table2[CPI]+2.56%</f>
        <v>4.3700000000000003E-2</v>
      </c>
      <c r="AJ67" s="18">
        <f t="shared" si="11"/>
        <v>5.1291461083204863</v>
      </c>
      <c r="AK67" s="17">
        <f>Table2[[#This Row],[Annual benefit payments (closed scheme)]]/((1+AJ66)*(1+Table2[[#This Row],[Discount rate C]])^0.5)+AK66</f>
        <v>50.080257708818621</v>
      </c>
      <c r="AL67" s="17">
        <f>AL66*(1+Table2[Discount rate C])</f>
        <v>367.74876649922919</v>
      </c>
      <c r="AM67" s="17">
        <f>Table2[[#This Row],[Asset growth C]]/(1+Table2[Compounded CPI])</f>
        <v>160.50636111831659</v>
      </c>
      <c r="AN67" s="17">
        <f>(AN66*((1+Table2[Discount rate C])^0.5)-Table2[Annual benefit payments (closed scheme)])*(1+Table2[Discount rate C])^0.5</f>
        <v>60.799549859536299</v>
      </c>
      <c r="AO67" s="17">
        <f>Table2[[#This Row],[Asset growth C with benefit payments deducted]]/(1+Table2[Compounded CPI])</f>
        <v>26.536362306483174</v>
      </c>
      <c r="AP67" s="19">
        <f>Table2[[#This Row],[Asset growth C with benefit payments deducted]]/(1+Table2[Compounded discount rate C])</f>
        <v>9.9197422911813469</v>
      </c>
      <c r="AQ67" s="11">
        <f>Table2[CPI]+2.56%</f>
        <v>4.3700000000000003E-2</v>
      </c>
      <c r="AR67" s="18">
        <f t="shared" si="12"/>
        <v>4.7372921713214229</v>
      </c>
      <c r="AS67" s="17">
        <f>Table2[[#This Row],[Annual benefit payments (closed scheme)]]/((1+AR66)*(1+Table2[[#This Row],[Discount rate D]])^0.5)+AS66</f>
        <v>52.424493513445192</v>
      </c>
      <c r="AT67" s="16">
        <f>AT66*(1+Table2[Discount rate D])</f>
        <v>344.23753027928529</v>
      </c>
      <c r="AU67" s="17">
        <f>Table2[[#This Row],[Asset growth D]]/(1+Table2[Compounded CPI])</f>
        <v>150.24472786532164</v>
      </c>
      <c r="AV67" s="17">
        <f>(AV66*((1+Table2[Discount rate D])^0.5)-Table2[Annual benefit payments (closed scheme)])*(1+Table2[Discount rate D])^0.5</f>
        <v>43.462894059105693</v>
      </c>
      <c r="AW67" s="17">
        <f>Table2[[#This Row],[Asset growth D with benefit payments deducted]]/(1+Table2[Compounded CPI])</f>
        <v>18.969665175240163</v>
      </c>
      <c r="AX67" s="19">
        <f>Table2[[#This Row],[Asset growth D with benefit payments deducted]]/(1+Table2[Compounded discount rate D])</f>
        <v>7.5755064865548318</v>
      </c>
      <c r="AY67" s="11">
        <f>Table2[CPI]+4%</f>
        <v>5.8099999999999999E-2</v>
      </c>
      <c r="AZ67" s="18">
        <f t="shared" si="13"/>
        <v>7.9934583615542856</v>
      </c>
      <c r="BA67" s="17">
        <f>Table2[[#This Row],[Annual benefit payments (closed scheme)]]/((1+AZ66)*(1+Table2[[#This Row],[Discount rate E]])^0.5)+BA66</f>
        <v>46.878451896895285</v>
      </c>
      <c r="BB67" s="17">
        <f>BB66*(1+Table2[Discount rate E])</f>
        <v>539.60750169325752</v>
      </c>
      <c r="BC67" s="16">
        <f>Table2[[#This Row],[Asset growth E]]/(1+Table2[Compounded CPI])</f>
        <v>235.51523327573733</v>
      </c>
      <c r="BD67" s="17">
        <f>(BD66*((1+Table2[Discount rate E])^0.5)-Table2[Annual benefit payments (closed scheme)])*(1+Table2[Discount rate E])^0.5</f>
        <v>118.00809650440408</v>
      </c>
      <c r="BE67" s="17">
        <f>Table2[[#This Row],[Asset growth E with benefit payments deducted]]/(1+Table2[Compounded CPI])</f>
        <v>51.505407707358643</v>
      </c>
      <c r="BF67" s="19">
        <f>Table2[[#This Row],[Asset growth E with benefit payments deducted]]/(1+Table2[Compounded discount rate E])</f>
        <v>13.121548103104738</v>
      </c>
      <c r="BG67" s="11">
        <f>Table2[[#This Row],[Long-dated forward gilt yields]]+0.75%</f>
        <v>1.864E-2</v>
      </c>
      <c r="BH67" s="11">
        <f t="shared" si="14"/>
        <v>1.6388765898974733</v>
      </c>
      <c r="BI67" s="17">
        <f>((Table2[[#This Row],[Annual benefit payments (closed scheme)]])*1.005^(Table2[[#This Row],[Year]]-2018))/((1+BH66)*(1+Table2[[#This Row],[Discount rate F]])^0.5)+BI66</f>
        <v>74.1987592973842</v>
      </c>
      <c r="BJ67" s="17">
        <f>BJ66*(1+Table2[Discount rate F])</f>
        <v>217.29432091013956</v>
      </c>
      <c r="BK67" s="17">
        <f>Table2[[#This Row],[Asset growth F, under the assumption of full-funding at Year 0]]/(1+Table2[[#This Row],[Compounded CPI]])</f>
        <v>94.839531544792635</v>
      </c>
      <c r="BL67" s="17">
        <f>(BL66*((1+Table2[Discount rate F])^0.5)-Table2[Annual benefit payments (closed scheme)]*1.005^(Table2[Year]-2018))*(1+Table2[Discount rate F])^0.5</f>
        <v>21.492952000834833</v>
      </c>
      <c r="BM67" s="17">
        <f>Table2[[#This Row],[Asset growth F with benefit payments deducted]]/(1+Table2[Compounded CPI])</f>
        <v>9.3807398681019674</v>
      </c>
      <c r="BN67" s="19">
        <f>Table2[[#This Row],[Asset growth F with benefit payments deducted]]/(1+Table2[Compounded discount rate F])</f>
        <v>8.1447355602445537</v>
      </c>
      <c r="BO67" s="18">
        <f>(1+BO66)*(1+Table2[Discount rate A2])-1</f>
        <v>1.1237858906524072</v>
      </c>
      <c r="BP67" s="17">
        <f>Table2[[#This Row],[Annual benefit payments (ongoing scheme)]]/((1+BO66)*(1+Table2[[#This Row],[Discount rate A2]])^0.5)+BP66</f>
        <v>75.588131875428815</v>
      </c>
      <c r="BQ67" s="17">
        <f>(BQ66*((1+Table2[Discount rate A2])^0.5)-Table2[Annual benefit payments (ongoing scheme)])*(1+Table2[Discount rate A2])^0.5</f>
        <v>78.412386603010972</v>
      </c>
      <c r="BR67" s="18">
        <f>(1+BR66)*(1+Table2[Discount rate B])-1</f>
        <v>1.7094820781191449</v>
      </c>
      <c r="BS67" s="17">
        <f>Table2[[#This Row],[Annual benefit payments (ongoing scheme)]]/((1+BR66)*(1+Table2[[#This Row],[Discount rate B]])^0.5)+BS66</f>
        <v>67.714034881950838</v>
      </c>
      <c r="BT67" s="18">
        <f>(1+BT66)*(1+Table2[Discount rate E])-1</f>
        <v>2.5238261168043001</v>
      </c>
      <c r="BU67" s="17">
        <f>Table2[[#This Row],[Annual benefit payments (ongoing scheme)]]/((1+BT66)*(1+Table2[[#This Row],[Discount rate E]])^0.5)+BU66</f>
        <v>60.454110534200311</v>
      </c>
      <c r="BV67" s="18">
        <f>Table2[CPI]+0.75%+0.75%</f>
        <v>3.3100000000000004E-2</v>
      </c>
      <c r="BW67" s="18">
        <f>(1+BW66)*(1+Table2[Self-sufficiency discount rate, from 2037])-1</f>
        <v>1.0312243158000816</v>
      </c>
      <c r="BX67" s="17">
        <f>(Table2[[#This Row],[Annual benefit payments (ongoing scheme)]]*1.005^(Table2[[#This Row],[Year]]-2038))/((1+BW66)*(1+Table2[[#This Row],[Self-sufficiency discount rate, from 2037]])^0.5)+BX66</f>
        <v>81.241487523996028</v>
      </c>
      <c r="BY67" s="17">
        <f>(BY66*((1+Table2[Self-sufficiency discount rate, from 2037])^0.5)-Table2[Annual benefit payments (ongoing scheme)]*1.005^(Table2[Year]-2038))*(1+Table2[Self-sufficiency discount rate, from 2037])^0.5</f>
        <v>95.079647916339013</v>
      </c>
      <c r="BZ67" s="17">
        <f>(BZ66*((1+Table2[Discount rate B])^0.5)-Table2[Annual benefit payments (ongoing scheme)])*(1+Table2[Discount rate B])^0.5</f>
        <v>69.90167727356571</v>
      </c>
      <c r="CA67" s="17">
        <f>(CA66*((1+Table2[Discount rate A2])^0.5)+Table2[Net cashflow (ongoing scheme)])*(1+Table2[Discount rate A2])^0.5</f>
        <v>77.709487254575919</v>
      </c>
      <c r="CB67" s="17">
        <f>Table2[[#This Row],[Asset growth, ongoing scheme, with November de-risking, net of contributions and payments]]/(1+Table2[Compounded discount rate A2])</f>
        <v>20.578451260043291</v>
      </c>
      <c r="CC67" s="17">
        <f>Table2[[#This Row],[Asset growth, ongoing scheme, with November de-risking, net of contributions and payments]]/(1+Table2[Compounded CPI])</f>
        <v>33.916815390945231</v>
      </c>
      <c r="CD67" s="17">
        <f>(CD66*((1+Table2[Discount rate A1])^0.5)+Table2[Net cashflow (ongoing scheme)])*(1+Table2[Discount rate A1])^0.5</f>
        <v>89.90558903993329</v>
      </c>
      <c r="CE67" s="17">
        <f>Table2[[#This Row],[Asset growth, ongoing scheme, with September de-risking, net of contributions and payments]]/(1+Table2[Compounded discount rate A1])</f>
        <v>22.61311647756407</v>
      </c>
      <c r="CF67" s="17">
        <f>Table2[[#This Row],[Asset growth, ongoing scheme, with September de-risking, net of contributions and payments]]/(1+Table2[Compounded CPI])</f>
        <v>39.239884006595965</v>
      </c>
      <c r="CG67" s="17">
        <f>(CG66*((1+Table2[Discount rate B])^0.5)+Table2[Net cashflow (ongoing scheme)])*(1+Table2[Discount rate B])^0.5</f>
        <v>151.27485361333882</v>
      </c>
      <c r="CH67" s="17">
        <f>Table2[[#This Row],[Asset growth, ongoing scheme, no de-risking, net of contributions and payments]]/(1+Table2[Compounded discount rate B])</f>
        <v>28.453892044274166</v>
      </c>
      <c r="CI67" s="17">
        <f>Table2[[#This Row],[Asset growth, ongoing scheme, no de-risking, net of contributions and payments]]/(1+Table2[Compounded CPI])</f>
        <v>66.024902036575369</v>
      </c>
      <c r="CJ67" s="17">
        <f>(CJ66*((1+Table2[Discount rate E])^0.5)+Table2[Net cashflow (ongoing scheme)])*(1+Table2[Discount rate E])^0.5</f>
        <v>349.53046421034338</v>
      </c>
      <c r="CK67" s="17">
        <f>Table2[[#This Row],[Asset growth, ongoing scheme, best-estimates, no de-risking, net of contributions and payments ]]/(1+Table2[Compounded discount rate E])</f>
        <v>38.864967197105713</v>
      </c>
      <c r="CL67" s="17">
        <f>Table2[[#This Row],[Asset growth, ongoing scheme, best-estimates, no de-risking, net of contributions and payments ]]/(1+Table2[Compounded CPI])</f>
        <v>152.55486359467039</v>
      </c>
      <c r="CM67" s="9">
        <v>1.8100000000000002E-2</v>
      </c>
      <c r="CN67" s="11">
        <f>(1+Table2[[#This Row],[CPI]])*(1+CN66)-1</f>
        <v>1.2911787666044261</v>
      </c>
      <c r="CO67" s="11">
        <f>'Gilt yields'!B49</f>
        <v>1.1140000000000001E-2</v>
      </c>
      <c r="CP67" s="11">
        <f t="shared" si="15"/>
        <v>3.8100000000000002E-2</v>
      </c>
      <c r="CQ67" s="26">
        <f>(1+Table2[[#This Row],[Salary growth]])*(1+CQ66)-1</f>
        <v>4.1317220483975952</v>
      </c>
      <c r="CR67" s="15">
        <f t="shared" si="17"/>
        <v>22.911787666044258</v>
      </c>
      <c r="CS67" s="17">
        <f t="shared" si="18"/>
        <v>29.785323965857543</v>
      </c>
      <c r="CT67" s="17">
        <f>CT66*(1+Table2[[#This Row],[Salary growth]])</f>
        <v>51.317220483975952</v>
      </c>
      <c r="CU67" s="19">
        <f t="shared" si="19"/>
        <v>66.712386629168762</v>
      </c>
      <c r="CV67" s="112">
        <f>('Cash flows as at 31032017'!B52)/1000000000</f>
        <v>1.782898747</v>
      </c>
      <c r="CW67" s="113">
        <v>0</v>
      </c>
      <c r="CX67" s="113">
        <f>Table2[[#This Row],[Annual contributions (closed scheme)]]-Table2[[#This Row],[Annual benefit payments (closed scheme)]]</f>
        <v>-1.782898747</v>
      </c>
      <c r="CY67" s="113">
        <v>5.15</v>
      </c>
      <c r="CZ67" s="113">
        <v>0</v>
      </c>
      <c r="DA67" s="113">
        <v>-5.15</v>
      </c>
      <c r="DB67" s="17"/>
      <c r="DC67" s="84"/>
      <c r="DD67" s="84"/>
      <c r="DE67" s="84"/>
      <c r="DF67" s="84"/>
      <c r="DG67" s="84"/>
      <c r="DH67" s="84"/>
      <c r="DI67" s="84"/>
      <c r="DJ67" s="84"/>
      <c r="DK67" s="84"/>
      <c r="DL67" s="84"/>
      <c r="DM67" s="84"/>
      <c r="DN67" s="84"/>
      <c r="DO67" s="84"/>
      <c r="DP67" s="84"/>
      <c r="DQ67" s="84"/>
      <c r="DR67" s="84"/>
      <c r="DS67" s="84"/>
      <c r="DT67" s="84"/>
      <c r="DU67" s="84"/>
      <c r="DV67" s="84"/>
      <c r="DW67" s="84"/>
      <c r="DX67" s="84"/>
      <c r="DY67" s="84"/>
      <c r="DZ67" s="84"/>
      <c r="EA67" s="84"/>
      <c r="EB67" s="84"/>
      <c r="EC67" s="84"/>
      <c r="ED67" s="84"/>
      <c r="EE67" s="84"/>
      <c r="EF67" s="84"/>
      <c r="EG67" s="84"/>
      <c r="EH67" s="84"/>
      <c r="EI67" s="84"/>
      <c r="EJ67" s="84"/>
      <c r="EK67" s="84"/>
      <c r="EL67" s="84"/>
      <c r="EM67" s="84"/>
      <c r="EN67" s="84"/>
      <c r="EO67" s="84"/>
      <c r="EP67" s="84"/>
      <c r="EQ67" s="84"/>
      <c r="ER67" s="84"/>
      <c r="ES67" s="84"/>
      <c r="ET67" s="84"/>
    </row>
    <row r="68" spans="1:163" x14ac:dyDescent="0.2">
      <c r="A68" s="8">
        <v>2061</v>
      </c>
      <c r="B68" s="50"/>
      <c r="C68" s="50"/>
      <c r="D68" s="50"/>
      <c r="E68" s="35">
        <v>6.0999999999999999E-2</v>
      </c>
      <c r="F68" s="16">
        <f>F67*(1+Table2[[#This Row],[2008 discount rate]])</f>
        <v>777.24324731709919</v>
      </c>
      <c r="G68" s="18">
        <v>6.0999999999999999E-2</v>
      </c>
      <c r="H68" s="16">
        <f>H67*(1+Table2[[#This Row],[2011 discount rate]])</f>
        <v>638.70840083726216</v>
      </c>
      <c r="I68" s="18">
        <v>5.1999999999999998E-2</v>
      </c>
      <c r="J68" s="16">
        <f>J67*(1+Table2[[#This Row],[2014 discount rate]])</f>
        <v>451.70512572207912</v>
      </c>
      <c r="K68" s="9">
        <v>3.6400000000000002E-2</v>
      </c>
      <c r="L68" s="18">
        <f t="shared" si="9"/>
        <v>3.1205356445864023</v>
      </c>
      <c r="M68" s="17">
        <f>Table2[[#This Row],[Annual benefit payments (closed scheme)]]/((1+L67)*(1+Table2[[#This Row],[Discount rate A1]])^0.5)+M67</f>
        <v>61.634987598255186</v>
      </c>
      <c r="N68" s="17">
        <f>N67*(1+Table2[Discount rate A1])</f>
        <v>267.51575853307776</v>
      </c>
      <c r="O68" s="17">
        <f>Table2[[#This Row],[Asset growth A1, under the assumption of full-funding at Year 0]]/(1+Table2[[#This Row],[Compounded CPI]])</f>
        <v>114.53698978438594</v>
      </c>
      <c r="P68" s="17">
        <f>(P67*((1+Table2[Discount rate A1])^0.5)-Table2[Annual benefit payments (closed scheme)])*(1+Table2[Discount rate A1])^0.5</f>
        <v>13.546595180826259</v>
      </c>
      <c r="Q68" s="17">
        <f>Table2[[#This Row],[Asset growth A1 with benefit payments deducted]]/(1+Table2[Compounded CPI])</f>
        <v>5.7999806902876658</v>
      </c>
      <c r="R68" s="17">
        <f>Table2[[#This Row],[Asset growth A1 with benefit payments deducted]]/(1+Table2[Compounded discount rate A1])</f>
        <v>3.2875811179121581</v>
      </c>
      <c r="S68" s="9">
        <v>3.6400000000000002E-2</v>
      </c>
      <c r="T68" s="18">
        <f t="shared" si="20"/>
        <v>2.9137110744102253</v>
      </c>
      <c r="U68" s="17">
        <f>Table2[[#This Row],[Annual benefit payments (closed scheme)]]/((1+T67)*(1+Table2[[#This Row],[Discount rate A2]])^0.5)+U67</f>
        <v>64.049988903651823</v>
      </c>
      <c r="V68" s="17">
        <f>V67*(1+Table2[Discount rate A2])</f>
        <v>264.21974606890041</v>
      </c>
      <c r="W68" s="17">
        <f>Table2[[#This Row],[Asset growth A2, under the assumption of full-funding at Year 0]]/(1+Table2[Compounded CPI])</f>
        <v>113.125800596845</v>
      </c>
      <c r="X68" s="17">
        <f>(X67*((1+Table2[Discount rate A2])^0.5)-Table2[Annual benefit payments (closed scheme)])*(1+Table2[Discount rate A2])^0.5</f>
        <v>13.546595180826337</v>
      </c>
      <c r="Y68" s="17">
        <f>Table2[[#This Row],[Asset growth A2 with benefit payments deducted]]/(1+Table2[[#This Row],[Compounded CPI]])</f>
        <v>5.7999806902876996</v>
      </c>
      <c r="Z68" s="19">
        <f>Table2[[#This Row],[Asset growth A2 with benefit payments deducted]]/(1+Table2[Compounded discount rate A2])</f>
        <v>3.4613171292588927</v>
      </c>
      <c r="AA68" s="35">
        <f t="shared" si="16"/>
        <v>4.7399999999999998E-2</v>
      </c>
      <c r="AB68" s="18">
        <f t="shared" si="10"/>
        <v>4.5684924026586851</v>
      </c>
      <c r="AC68" s="17">
        <f>Table2[[#This Row],[Annual benefit payments (closed scheme)]]/((1+AB67)*(1+Table2[[#This Row],[Discount rate B]])^0.5)+AC67</f>
        <v>58.156148547036878</v>
      </c>
      <c r="AD68" s="16">
        <f>AD67*(1+Table2[Discount rate B])</f>
        <v>334.10954415952119</v>
      </c>
      <c r="AE68" s="16">
        <f>Table2[[#This Row],[Asset growth B]]/(1+Table2[Compounded CPI])</f>
        <v>143.04914841692653</v>
      </c>
      <c r="AF68" s="17">
        <f>(AF67*((1+Table2[Discount rate B])^0.5)-Table2[Annual benefit payments (closed scheme)])*(1+Table2[Discount rate B])^0.5</f>
        <v>10.26747280745635</v>
      </c>
      <c r="AG68" s="17">
        <f>Table2[[#This Row],[Asset growth B with benefit payments deducted]]/(1+Table2[Compounded CPI])</f>
        <v>4.3960230025614653</v>
      </c>
      <c r="AH68" s="19">
        <f>Table2[[#This Row],[Asset growth B with benefit payments deducted]]/(1+Table2[Compounded discount rate B])</f>
        <v>1.8438514529631269</v>
      </c>
      <c r="AI68" s="11">
        <f>Table2[CPI]+2.56%</f>
        <v>4.4999999999999998E-2</v>
      </c>
      <c r="AJ68" s="18">
        <f t="shared" si="11"/>
        <v>5.4049576831949082</v>
      </c>
      <c r="AK68" s="17">
        <f>Table2[[#This Row],[Annual benefit payments (closed scheme)]]/((1+AJ67)*(1+Table2[[#This Row],[Discount rate C]])^0.5)+AK67</f>
        <v>50.350026271733064</v>
      </c>
      <c r="AL68" s="17">
        <f>AL67*(1+Table2[Discount rate C])</f>
        <v>384.29746099169449</v>
      </c>
      <c r="AM68" s="17">
        <f>Table2[[#This Row],[Asset growth C]]/(1+Table2[Compounded CPI])</f>
        <v>164.5371271028456</v>
      </c>
      <c r="AN68" s="17">
        <f>(AN67*((1+Table2[Discount rate C])^0.5)-Table2[Annual benefit payments (closed scheme)])*(1+Table2[Discount rate C])^0.5</f>
        <v>61.807673373492108</v>
      </c>
      <c r="AO68" s="17">
        <f>Table2[[#This Row],[Asset growth C with benefit payments deducted]]/(1+Table2[Compounded CPI])</f>
        <v>26.462982564449533</v>
      </c>
      <c r="AP68" s="19">
        <f>Table2[[#This Row],[Asset growth C with benefit payments deducted]]/(1+Table2[Compounded discount rate C])</f>
        <v>9.649973728266902</v>
      </c>
      <c r="AQ68" s="11">
        <f>Table2[CPI]+2.56%</f>
        <v>4.4999999999999998E-2</v>
      </c>
      <c r="AR68" s="18">
        <f t="shared" si="12"/>
        <v>4.9954703190308862</v>
      </c>
      <c r="AS68" s="17">
        <f>Table2[[#This Row],[Annual benefit payments (closed scheme)]]/((1+AR67)*(1+Table2[[#This Row],[Discount rate D]])^0.5)+AS67</f>
        <v>52.712687122583532</v>
      </c>
      <c r="AT68" s="16">
        <f>AT67*(1+Table2[Discount rate D])</f>
        <v>359.72821914185312</v>
      </c>
      <c r="AU68" s="17">
        <f>Table2[[#This Row],[Asset growth D]]/(1+Table2[Compounded CPI])</f>
        <v>154.01779538871992</v>
      </c>
      <c r="AV68" s="17">
        <f>(AV67*((1+Table2[Discount rate D])^0.5)-Table2[Annual benefit payments (closed scheme)])*(1+Table2[Discount rate D])^0.5</f>
        <v>43.690868062042121</v>
      </c>
      <c r="AW68" s="17">
        <f>Table2[[#This Row],[Asset growth D with benefit payments deducted]]/(1+Table2[Compounded CPI])</f>
        <v>18.706264394791944</v>
      </c>
      <c r="AX68" s="19">
        <f>Table2[[#This Row],[Asset growth D with benefit payments deducted]]/(1+Table2[Compounded discount rate D])</f>
        <v>7.2873128774164888</v>
      </c>
      <c r="AY68" s="11">
        <f>Table2[CPI]+4%</f>
        <v>5.9400000000000001E-2</v>
      </c>
      <c r="AZ68" s="18">
        <f t="shared" si="13"/>
        <v>8.5276697882306092</v>
      </c>
      <c r="BA68" s="17">
        <f>Table2[[#This Row],[Annual benefit payments (closed scheme)]]/((1+AZ67)*(1+Table2[[#This Row],[Discount rate E]])^0.5)+BA67</f>
        <v>47.061048521609344</v>
      </c>
      <c r="BB68" s="17">
        <f>BB67*(1+Table2[Discount rate E])</f>
        <v>571.660187293837</v>
      </c>
      <c r="BC68" s="16">
        <f>Table2[[#This Row],[Asset growth E]]/(1+Table2[Compounded CPI])</f>
        <v>244.75656085179131</v>
      </c>
      <c r="BD68" s="17">
        <f>(BD67*((1+Table2[Discount rate E])^0.5)-Table2[Annual benefit payments (closed scheme)])*(1+Table2[Discount rate E])^0.5</f>
        <v>123.27805709204459</v>
      </c>
      <c r="BE68" s="17">
        <f>Table2[[#This Row],[Asset growth E with benefit payments deducted]]/(1+Table2[Compounded CPI])</f>
        <v>52.781554414651659</v>
      </c>
      <c r="BF68" s="19">
        <f>Table2[[#This Row],[Asset growth E with benefit payments deducted]]/(1+Table2[Compounded discount rate E])</f>
        <v>12.938951478390672</v>
      </c>
      <c r="BG68" s="11">
        <f>Table2[[#This Row],[Long-dated forward gilt yields]]+0.75%</f>
        <v>1.9540000000000002E-2</v>
      </c>
      <c r="BH68" s="11">
        <f t="shared" si="14"/>
        <v>1.6904402384640704</v>
      </c>
      <c r="BI68" s="17">
        <f>((Table2[[#This Row],[Annual benefit payments (closed scheme)]])*1.005^(Table2[[#This Row],[Year]]-2018))/((1+BH67)*(1+Table2[[#This Row],[Discount rate F]])^0.5)+BI67</f>
        <v>74.984843191872329</v>
      </c>
      <c r="BJ68" s="17">
        <f>BJ67*(1+Table2[Discount rate F])</f>
        <v>221.54025194072372</v>
      </c>
      <c r="BK68" s="17">
        <f>Table2[[#This Row],[Asset growth F, under the assumption of full-funding at Year 0]]/(1+Table2[[#This Row],[Compounded CPI]])</f>
        <v>94.852556397074636</v>
      </c>
      <c r="BL68" s="17">
        <f>(BL67*((1+Table2[Discount rate F])^0.5)-Table2[Annual benefit payments (closed scheme)]*1.005^(Table2[Year]-2018))*(1+Table2[Discount rate F])^0.5</f>
        <v>19.798012542391728</v>
      </c>
      <c r="BM68" s="17">
        <f>Table2[[#This Row],[Asset growth F with benefit payments deducted]]/(1+Table2[Compounded CPI])</f>
        <v>8.4765277857030679</v>
      </c>
      <c r="BN68" s="19">
        <f>Table2[[#This Row],[Asset growth F with benefit payments deducted]]/(1+Table2[Compounded discount rate F])</f>
        <v>7.3586516657564189</v>
      </c>
      <c r="BO68" s="18">
        <f>(1+BO67)*(1+Table2[Discount rate A2])-1</f>
        <v>1.2010916970721546</v>
      </c>
      <c r="BP68" s="17">
        <f>Table2[[#This Row],[Annual benefit payments (ongoing scheme)]]/((1+BO67)*(1+Table2[[#This Row],[Discount rate A2]])^0.5)+BP67</f>
        <v>78.02095934431587</v>
      </c>
      <c r="BQ68" s="17">
        <f>(BQ67*((1+Table2[Discount rate A2])^0.5)-Table2[Annual benefit payments (ongoing scheme)])*(1+Table2[Discount rate A2])^0.5</f>
        <v>75.911721133184201</v>
      </c>
      <c r="BR68" s="18">
        <f>(1+BR67)*(1+Table2[Discount rate B])-1</f>
        <v>1.8379115286219925</v>
      </c>
      <c r="BS68" s="17">
        <f>Table2[[#This Row],[Annual benefit payments (ongoing scheme)]]/((1+BR67)*(1+Table2[[#This Row],[Discount rate B]])^0.5)+BS67</f>
        <v>69.610929379100938</v>
      </c>
      <c r="BT68" s="18">
        <f>(1+BT67)*(1+Table2[Discount rate E])-1</f>
        <v>2.7331413881424753</v>
      </c>
      <c r="BU68" s="17">
        <f>Table2[[#This Row],[Annual benefit payments (ongoing scheme)]]/((1+BT67)*(1+Table2[[#This Row],[Discount rate E]])^0.5)+BU67</f>
        <v>61.904355243739921</v>
      </c>
      <c r="BV68" s="18">
        <f>Table2[CPI]+0.75%+0.75%</f>
        <v>3.44E-2</v>
      </c>
      <c r="BW68" s="18">
        <f>(1+BW67)*(1+Table2[Self-sufficiency discount rate, from 2037])-1</f>
        <v>1.1010984322636044</v>
      </c>
      <c r="BX68" s="17">
        <f>(Table2[[#This Row],[Annual benefit payments (ongoing scheme)]]*1.005^(Table2[[#This Row],[Year]]-2038))/((1+BW67)*(1+Table2[[#This Row],[Self-sufficiency discount rate, from 2037]])^0.5)+BX67</f>
        <v>84.097124664550421</v>
      </c>
      <c r="BY68" s="17">
        <f>(BY67*((1+Table2[Self-sufficiency discount rate, from 2037])^0.5)-Table2[Annual benefit payments (ongoing scheme)]*1.005^(Table2[Year]-2038))*(1+Table2[Self-sufficiency discount rate, from 2037])^0.5</f>
        <v>92.35041308552853</v>
      </c>
      <c r="BZ68" s="17">
        <f>(BZ67*((1+Table2[Discount rate B])^0.5)-Table2[Annual benefit payments (ongoing scheme)])*(1+Table2[Discount rate B])^0.5</f>
        <v>67.831798014290825</v>
      </c>
      <c r="CA68" s="17">
        <f>(CA67*((1+Table2[Discount rate A2])^0.5)+Table2[Net cashflow (ongoing scheme)])*(1+Table2[Discount rate A2])^0.5</f>
        <v>75.183236248466116</v>
      </c>
      <c r="CB68" s="17">
        <f>Table2[[#This Row],[Asset growth, ongoing scheme, with November de-risking, net of contributions and payments]]/(1+Table2[Compounded discount rate A2])</f>
        <v>19.210216293188125</v>
      </c>
      <c r="CC68" s="17">
        <f>Table2[[#This Row],[Asset growth, ongoing scheme, with November de-risking, net of contributions and payments]]/(1+Table2[Compounded CPI])</f>
        <v>32.189735697693017</v>
      </c>
      <c r="CD68" s="17">
        <f>(CD67*((1+Table2[Discount rate A1])^0.5)+Table2[Net cashflow (ongoing scheme)])*(1+Table2[Discount rate A1])^0.5</f>
        <v>87.823276138810485</v>
      </c>
      <c r="CE68" s="17">
        <f>Table2[[#This Row],[Asset growth, ongoing scheme, with September de-risking, net of contributions and payments]]/(1+Table2[Compounded discount rate A1])</f>
        <v>21.313558166689692</v>
      </c>
      <c r="CF68" s="17">
        <f>Table2[[#This Row],[Asset growth, ongoing scheme, with September de-risking, net of contributions and payments]]/(1+Table2[Compounded CPI])</f>
        <v>37.601574341268069</v>
      </c>
      <c r="CG68" s="17">
        <f>(CG67*((1+Table2[Discount rate B])^0.5)+Table2[Net cashflow (ongoing scheme)])*(1+Table2[Discount rate B])^0.5</f>
        <v>153.06206291256922</v>
      </c>
      <c r="CH68" s="17">
        <f>Table2[[#This Row],[Asset growth, ongoing scheme, no de-risking, net of contributions and payments]]/(1+Table2[Compounded discount rate B])</f>
        <v>27.487163821843325</v>
      </c>
      <c r="CI68" s="17">
        <f>Table2[[#This Row],[Asset growth, ongoing scheme, no de-risking, net of contributions and payments]]/(1+Table2[Compounded CPI])</f>
        <v>65.533589618520637</v>
      </c>
      <c r="CJ68" s="17">
        <f>(CJ67*((1+Table2[Discount rate E])^0.5)+Table2[Net cashflow (ongoing scheme)])*(1+Table2[Discount rate E])^0.5</f>
        <v>364.87860523632071</v>
      </c>
      <c r="CK68" s="17">
        <f>Table2[[#This Row],[Asset growth, ongoing scheme, best-estimates, no de-risking, net of contributions and payments ]]/(1+Table2[Compounded discount rate E])</f>
        <v>38.296730821533082</v>
      </c>
      <c r="CL68" s="17">
        <f>Table2[[#This Row],[Asset growth, ongoing scheme, best-estimates, no de-risking, net of contributions and payments ]]/(1+Table2[Compounded CPI])</f>
        <v>156.22293546242042</v>
      </c>
      <c r="CM68" s="9">
        <v>1.9400000000000001E-2</v>
      </c>
      <c r="CN68" s="11">
        <f>(1+Table2[[#This Row],[CPI]])*(1+CN67)-1</f>
        <v>1.3356276346765523</v>
      </c>
      <c r="CO68" s="11">
        <f>'Gilt yields'!B50</f>
        <v>1.204E-2</v>
      </c>
      <c r="CP68" s="11">
        <f t="shared" si="15"/>
        <v>3.9400000000000004E-2</v>
      </c>
      <c r="CQ68" s="26">
        <f>(1+Table2[[#This Row],[Salary growth]])*(1+CQ67)-1</f>
        <v>4.3339118971044606</v>
      </c>
      <c r="CR68" s="15">
        <f t="shared" si="17"/>
        <v>23.356276346765519</v>
      </c>
      <c r="CS68" s="17">
        <f t="shared" si="18"/>
        <v>30.363159250795182</v>
      </c>
      <c r="CT68" s="17">
        <f>CT67*(1+Table2[[#This Row],[Salary growth]])</f>
        <v>53.339118971044613</v>
      </c>
      <c r="CU68" s="19">
        <f t="shared" si="19"/>
        <v>69.340854662358012</v>
      </c>
      <c r="CV68" s="112">
        <f>('Cash flows as at 31032017'!B53)/1000000000</f>
        <v>1.690244214</v>
      </c>
      <c r="CW68" s="113">
        <v>0</v>
      </c>
      <c r="CX68" s="113">
        <f>Table2[[#This Row],[Annual contributions (closed scheme)]]-Table2[[#This Row],[Annual benefit payments (closed scheme)]]</f>
        <v>-1.690244214</v>
      </c>
      <c r="CY68" s="113">
        <v>5.26</v>
      </c>
      <c r="CZ68" s="113">
        <v>0</v>
      </c>
      <c r="DA68" s="113">
        <v>-5.26</v>
      </c>
      <c r="DB68" s="17"/>
      <c r="DC68" s="84"/>
      <c r="DD68" s="84"/>
      <c r="DE68" s="84"/>
      <c r="DF68" s="84"/>
      <c r="DG68" s="84"/>
      <c r="DH68" s="84"/>
      <c r="DI68" s="84"/>
      <c r="DJ68" s="84"/>
      <c r="DK68" s="84"/>
      <c r="DL68" s="84"/>
      <c r="DM68" s="84"/>
      <c r="DN68" s="84"/>
      <c r="DO68" s="84"/>
      <c r="DP68" s="84"/>
      <c r="DQ68" s="84"/>
      <c r="DR68" s="84"/>
      <c r="DS68" s="84"/>
      <c r="DT68" s="84"/>
      <c r="DU68" s="84"/>
      <c r="DV68" s="84"/>
      <c r="DW68" s="84"/>
      <c r="DX68" s="84"/>
      <c r="DY68" s="84"/>
      <c r="DZ68" s="84"/>
      <c r="EA68" s="84"/>
      <c r="EB68" s="84"/>
      <c r="EC68" s="84"/>
      <c r="ED68" s="84"/>
      <c r="EE68" s="84"/>
      <c r="EF68" s="84"/>
      <c r="EG68" s="84"/>
      <c r="EH68" s="84"/>
      <c r="EI68" s="84"/>
      <c r="EJ68" s="84"/>
      <c r="EK68" s="84"/>
      <c r="EL68" s="84"/>
      <c r="EM68" s="84"/>
      <c r="EN68" s="84"/>
      <c r="EO68" s="84"/>
      <c r="EP68" s="84"/>
      <c r="EQ68" s="84"/>
      <c r="ER68" s="84"/>
      <c r="ES68" s="84"/>
      <c r="ET68" s="84"/>
      <c r="EU68" s="84"/>
    </row>
    <row r="69" spans="1:163" x14ac:dyDescent="0.2">
      <c r="A69" s="8">
        <v>2062</v>
      </c>
      <c r="B69" s="50"/>
      <c r="C69" s="50"/>
      <c r="D69" s="50"/>
      <c r="E69" s="35">
        <v>6.0999999999999999E-2</v>
      </c>
      <c r="F69" s="16">
        <f>F68*(1+Table2[[#This Row],[2008 discount rate]])</f>
        <v>824.65508540344217</v>
      </c>
      <c r="G69" s="18">
        <v>6.0999999999999999E-2</v>
      </c>
      <c r="H69" s="16">
        <f>H68*(1+Table2[[#This Row],[2011 discount rate]])</f>
        <v>677.66961328833509</v>
      </c>
      <c r="I69" s="18">
        <v>5.1999999999999998E-2</v>
      </c>
      <c r="J69" s="16">
        <f>J68*(1+Table2[[#This Row],[2014 discount rate]])</f>
        <v>475.19379225962723</v>
      </c>
      <c r="K69" s="9">
        <v>3.7699999999999997E-2</v>
      </c>
      <c r="L69" s="18">
        <f t="shared" si="9"/>
        <v>3.2758798383873096</v>
      </c>
      <c r="M69" s="17">
        <f>Table2[[#This Row],[Annual benefit payments (closed scheme)]]/((1+L68)*(1+Table2[[#This Row],[Discount rate A1]])^0.5)+M68</f>
        <v>62.016067513727201</v>
      </c>
      <c r="N69" s="17">
        <f>N68*(1+Table2[Discount rate A1])</f>
        <v>277.6011026297748</v>
      </c>
      <c r="O69" s="17">
        <f>Table2[[#This Row],[Asset growth A1, under the assumption of full-funding at Year 0]]/(1+Table2[[#This Row],[Compounded CPI]])</f>
        <v>116.44463044896375</v>
      </c>
      <c r="P69" s="17">
        <f>(P68*((1+Table2[Discount rate A1])^0.5)-Table2[Annual benefit payments (closed scheme)])*(1+Table2[Discount rate A1])^0.5</f>
        <v>12.427849891762294</v>
      </c>
      <c r="Q69" s="17">
        <f>Table2[[#This Row],[Asset growth A1 with benefit payments deducted]]/(1+Table2[Compounded CPI])</f>
        <v>5.2130786737236692</v>
      </c>
      <c r="R69" s="17">
        <f>Table2[[#This Row],[Asset growth A1 with benefit payments deducted]]/(1+Table2[Compounded discount rate A1])</f>
        <v>2.9065012024401464</v>
      </c>
      <c r="S69" s="9">
        <v>3.7699999999999997E-2</v>
      </c>
      <c r="T69" s="18">
        <f t="shared" si="20"/>
        <v>3.0612579819154906</v>
      </c>
      <c r="U69" s="17">
        <f>Table2[[#This Row],[Annual benefit payments (closed scheme)]]/((1+T68)*(1+Table2[[#This Row],[Discount rate A2]])^0.5)+U68</f>
        <v>64.451207426246782</v>
      </c>
      <c r="V69" s="17">
        <f>V68*(1+Table2[Discount rate A2])</f>
        <v>274.18083049569799</v>
      </c>
      <c r="W69" s="17">
        <f>Table2[[#This Row],[Asset growth A2, under the assumption of full-funding at Year 0]]/(1+Table2[Compounded CPI])</f>
        <v>115.00993757161369</v>
      </c>
      <c r="X69" s="17">
        <f>(X68*((1+Table2[Discount rate A2])^0.5)-Table2[Annual benefit payments (closed scheme)])*(1+Table2[Discount rate A2])^0.5</f>
        <v>12.427849891762374</v>
      </c>
      <c r="Y69" s="17">
        <f>Table2[[#This Row],[Asset growth A2 with benefit payments deducted]]/(1+Table2[[#This Row],[Compounded CPI]])</f>
        <v>5.213078673723702</v>
      </c>
      <c r="Z69" s="19">
        <f>Table2[[#This Row],[Asset growth A2 with benefit payments deducted]]/(1+Table2[Compounded discount rate A2])</f>
        <v>3.0600986066639342</v>
      </c>
      <c r="AA69" s="35">
        <f t="shared" si="16"/>
        <v>4.8699999999999993E-2</v>
      </c>
      <c r="AB69" s="18">
        <f t="shared" si="10"/>
        <v>4.8396779826681628</v>
      </c>
      <c r="AC69" s="17">
        <f>Table2[[#This Row],[Annual benefit payments (closed scheme)]]/((1+AB68)*(1+Table2[[#This Row],[Discount rate B]])^0.5)+AC68</f>
        <v>58.436654691225179</v>
      </c>
      <c r="AD69" s="16">
        <f>AD68*(1+Table2[Discount rate B])</f>
        <v>350.38067896008988</v>
      </c>
      <c r="AE69" s="16">
        <f>Table2[[#This Row],[Asset growth B]]/(1+Table2[Compounded CPI])</f>
        <v>146.97329474363758</v>
      </c>
      <c r="AF69" s="17">
        <f>(AF68*((1+Table2[Discount rate B])^0.5)-Table2[Annual benefit payments (closed scheme)])*(1+Table2[Discount rate B])^0.5</f>
        <v>9.1294331789599319</v>
      </c>
      <c r="AG69" s="17">
        <f>Table2[[#This Row],[Asset growth B with benefit payments deducted]]/(1+Table2[Compounded CPI])</f>
        <v>3.8295001808774338</v>
      </c>
      <c r="AH69" s="19">
        <f>Table2[[#This Row],[Asset growth B with benefit payments deducted]]/(1+Table2[Compounded discount rate B])</f>
        <v>1.5633453087748295</v>
      </c>
      <c r="AI69" s="11">
        <f>Table2[CPI]+2.56%</f>
        <v>4.6300000000000001E-2</v>
      </c>
      <c r="AJ69" s="18">
        <f t="shared" si="11"/>
        <v>5.701507223926833</v>
      </c>
      <c r="AK69" s="17">
        <f>Table2[[#This Row],[Annual benefit payments (closed scheme)]]/((1+AJ68)*(1+Table2[[#This Row],[Discount rate C]])^0.5)+AK68</f>
        <v>50.594178822839559</v>
      </c>
      <c r="AL69" s="17">
        <f>AL68*(1+Table2[Discount rate C])</f>
        <v>402.09043343560995</v>
      </c>
      <c r="AM69" s="17">
        <f>Table2[[#This Row],[Asset growth C]]/(1+Table2[Compounded CPI])</f>
        <v>168.66385430362237</v>
      </c>
      <c r="AN69" s="17">
        <f>(AN68*((1+Table2[Discount rate C])^0.5)-Table2[Annual benefit payments (closed scheme)])*(1+Table2[Discount rate C])^0.5</f>
        <v>63.033178565704461</v>
      </c>
      <c r="AO69" s="17">
        <f>Table2[[#This Row],[Asset growth C with benefit payments deducted]]/(1+Table2[Compounded CPI])</f>
        <v>26.440367543841816</v>
      </c>
      <c r="AP69" s="19">
        <f>Table2[[#This Row],[Asset growth C with benefit payments deducted]]/(1+Table2[Compounded discount rate C])</f>
        <v>9.4058211771604086</v>
      </c>
      <c r="AQ69" s="11">
        <f>Table2[CPI]+2.56%</f>
        <v>4.6300000000000001E-2</v>
      </c>
      <c r="AR69" s="18">
        <f t="shared" si="12"/>
        <v>5.2730605948020166</v>
      </c>
      <c r="AS69" s="17">
        <f>Table2[[#This Row],[Annual benefit payments (closed scheme)]]/((1+AR68)*(1+Table2[[#This Row],[Discount rate D]])^0.5)+AS68</f>
        <v>52.973515160230114</v>
      </c>
      <c r="AT69" s="16">
        <f>AT68*(1+Table2[Discount rate D])</f>
        <v>376.38363568812093</v>
      </c>
      <c r="AU69" s="17">
        <f>Table2[[#This Row],[Asset growth D]]/(1+Table2[Compounded CPI])</f>
        <v>157.88068905184448</v>
      </c>
      <c r="AV69" s="17">
        <f>(AV68*((1+Table2[Discount rate D])^0.5)-Table2[Annual benefit payments (closed scheme)])*(1+Table2[Discount rate D])^0.5</f>
        <v>44.077565168334338</v>
      </c>
      <c r="AW69" s="17">
        <f>Table2[[#This Row],[Asset growth D with benefit payments deducted]]/(1+Table2[Compounded CPI])</f>
        <v>18.489104468586859</v>
      </c>
      <c r="AX69" s="19">
        <f>Table2[[#This Row],[Asset growth D with benefit payments deducted]]/(1+Table2[Compounded discount rate D])</f>
        <v>7.0264848397699025</v>
      </c>
      <c r="AY69" s="11">
        <f>Table2[CPI]+4%</f>
        <v>6.0700000000000004E-2</v>
      </c>
      <c r="AZ69" s="18">
        <f t="shared" si="13"/>
        <v>9.1059993443762064</v>
      </c>
      <c r="BA69" s="17">
        <f>Table2[[#This Row],[Annual benefit payments (closed scheme)]]/((1+AZ68)*(1+Table2[[#This Row],[Discount rate E]])^0.5)+BA68</f>
        <v>47.224061680239984</v>
      </c>
      <c r="BB69" s="17">
        <f>BB68*(1+Table2[Discount rate E])</f>
        <v>606.35996066257292</v>
      </c>
      <c r="BC69" s="16">
        <f>Table2[[#This Row],[Asset growth E]]/(1+Table2[Compounded CPI])</f>
        <v>254.34827480699039</v>
      </c>
      <c r="BD69" s="17">
        <f>(BD68*((1+Table2[Discount rate E])^0.5)-Table2[Annual benefit payments (closed scheme)])*(1+Table2[Discount rate E])^0.5</f>
        <v>129.11362428328576</v>
      </c>
      <c r="BE69" s="17">
        <f>Table2[[#This Row],[Asset growth E with benefit payments deducted]]/(1+Table2[Compounded CPI])</f>
        <v>54.158964511191357</v>
      </c>
      <c r="BF69" s="19">
        <f>Table2[[#This Row],[Asset growth E with benefit payments deducted]]/(1+Table2[Compounded discount rate E])</f>
        <v>12.775938319760034</v>
      </c>
      <c r="BG69" s="11">
        <f>Table2[[#This Row],[Long-dated forward gilt yields]]+0.75%</f>
        <v>2.0499999999999997E-2</v>
      </c>
      <c r="BH69" s="11">
        <f t="shared" si="14"/>
        <v>1.7455942633525838</v>
      </c>
      <c r="BI69" s="17">
        <f>((Table2[[#This Row],[Annual benefit payments (closed scheme)]])*1.005^(Table2[[#This Row],[Year]]-2018))/((1+BH68)*(1+Table2[[#This Row],[Discount rate F]])^0.5)+BI68</f>
        <v>75.717806959767429</v>
      </c>
      <c r="BJ69" s="17">
        <f>BJ68*(1+Table2[Discount rate F])</f>
        <v>226.08182710550855</v>
      </c>
      <c r="BK69" s="17">
        <f>Table2[[#This Row],[Asset growth F, under the assumption of full-funding at Year 0]]/(1+Table2[[#This Row],[Compounded CPI]])</f>
        <v>94.833970611555472</v>
      </c>
      <c r="BL69" s="17">
        <f>(BL68*((1+Table2[Discount rate F])^0.5)-Table2[Annual benefit payments (closed scheme)]*1.005^(Table2[Year]-2018))*(1+Table2[Discount rate F])^0.5</f>
        <v>18.191450683132675</v>
      </c>
      <c r="BM69" s="17">
        <f>Table2[[#This Row],[Asset growth F with benefit payments deducted]]/(1+Table2[Compounded CPI])</f>
        <v>7.6307216796361903</v>
      </c>
      <c r="BN69" s="19">
        <f>Table2[[#This Row],[Asset growth F with benefit payments deducted]]/(1+Table2[Compounded discount rate F])</f>
        <v>6.6256878978613178</v>
      </c>
      <c r="BO69" s="18">
        <f>(1+BO68)*(1+Table2[Discount rate A2])-1</f>
        <v>1.2840728540517747</v>
      </c>
      <c r="BP69" s="17">
        <f>Table2[[#This Row],[Annual benefit payments (ongoing scheme)]]/((1+BO68)*(1+Table2[[#This Row],[Discount rate A2]])^0.5)+BP68</f>
        <v>80.282132991862966</v>
      </c>
      <c r="BQ69" s="17">
        <f>(BQ68*((1+Table2[Discount rate A2])^0.5)-Table2[Annual benefit payments (ongoing scheme)])*(1+Table2[Discount rate A2])^0.5</f>
        <v>73.608907673245682</v>
      </c>
      <c r="BR69" s="18">
        <f>(1+BR68)*(1+Table2[Discount rate B])-1</f>
        <v>1.9761178200658835</v>
      </c>
      <c r="BS69" s="17">
        <f>Table2[[#This Row],[Annual benefit payments (ongoing scheme)]]/((1+BR68)*(1+Table2[[#This Row],[Discount rate B]])^0.5)+BS68</f>
        <v>71.355479587622767</v>
      </c>
      <c r="BT69" s="18">
        <f>(1+BT68)*(1+Table2[Discount rate E])-1</f>
        <v>2.9597430704027237</v>
      </c>
      <c r="BU69" s="17">
        <f>Table2[[#This Row],[Annual benefit payments (ongoing scheme)]]/((1+BT68)*(1+Table2[[#This Row],[Discount rate E]])^0.5)+BU68</f>
        <v>63.223028614953925</v>
      </c>
      <c r="BV69" s="18">
        <f>Table2[CPI]+0.75%+0.75%</f>
        <v>3.5699999999999996E-2</v>
      </c>
      <c r="BW69" s="18">
        <f>(1+BW68)*(1+Table2[Self-sufficiency discount rate, from 2037])-1</f>
        <v>1.176107646295415</v>
      </c>
      <c r="BX69" s="17">
        <f>(Table2[[#This Row],[Annual benefit payments (ongoing scheme)]]*1.005^(Table2[[#This Row],[Year]]-2038))/((1+BW68)*(1+Table2[[#This Row],[Self-sufficiency discount rate, from 2037]])^0.5)+BX68</f>
        <v>86.769700606540411</v>
      </c>
      <c r="BY69" s="17">
        <f>(BY68*((1+Table2[Self-sufficiency discount rate, from 2037])^0.5)-Table2[Annual benefit payments (ongoing scheme)]*1.005^(Table2[Year]-2038))*(1+Table2[Self-sufficiency discount rate, from 2037])^0.5</f>
        <v>89.831509890012299</v>
      </c>
      <c r="BZ69" s="17">
        <f>(BZ68*((1+Table2[Discount rate B])^0.5)-Table2[Annual benefit payments (ongoing scheme)])*(1+Table2[Discount rate B])^0.5</f>
        <v>65.943219614005315</v>
      </c>
      <c r="CA69" s="17">
        <f>(CA68*((1+Table2[Discount rate A2])^0.5)+Table2[Net cashflow (ongoing scheme)])*(1+Table2[Discount rate A2])^0.5</f>
        <v>72.852958908373722</v>
      </c>
      <c r="CB69" s="17">
        <f>Table2[[#This Row],[Asset growth, ongoing scheme, with November de-risking, net of contributions and payments]]/(1+Table2[Compounded discount rate A2])</f>
        <v>17.938520338472234</v>
      </c>
      <c r="CC69" s="17">
        <f>Table2[[#This Row],[Asset growth, ongoing scheme, with November de-risking, net of contributions and payments]]/(1+Table2[Compounded CPI])</f>
        <v>30.559445898574101</v>
      </c>
      <c r="CD69" s="17">
        <f>(CD68*((1+Table2[Discount rate A1])^0.5)+Table2[Net cashflow (ongoing scheme)])*(1+Table2[Discount rate A1])^0.5</f>
        <v>85.969528302584067</v>
      </c>
      <c r="CE69" s="17">
        <f>Table2[[#This Row],[Asset growth, ongoing scheme, with September de-risking, net of contributions and payments]]/(1+Table2[Compounded discount rate A1])</f>
        <v>20.105693226170811</v>
      </c>
      <c r="CF69" s="17">
        <f>Table2[[#This Row],[Asset growth, ongoing scheme, with September de-risking, net of contributions and payments]]/(1+Table2[Compounded CPI])</f>
        <v>36.061419995211537</v>
      </c>
      <c r="CG69" s="17">
        <f>(CG68*((1+Table2[Discount rate B])^0.5)+Table2[Net cashflow (ongoing scheme)])*(1+Table2[Discount rate B])^0.5</f>
        <v>155.3241984128299</v>
      </c>
      <c r="CH69" s="17">
        <f>Table2[[#This Row],[Asset growth, ongoing scheme, no de-risking, net of contributions and payments]]/(1+Table2[Compounded discount rate B])</f>
        <v>26.598075933951055</v>
      </c>
      <c r="CI69" s="17">
        <f>Table2[[#This Row],[Asset growth, ongoing scheme, no de-risking, net of contributions and payments]]/(1+Table2[Compounded CPI])</f>
        <v>65.153447564237339</v>
      </c>
      <c r="CJ69" s="17">
        <f>(CJ68*((1+Table2[Discount rate E])^0.5)+Table2[Net cashflow (ongoing scheme)])*(1+Table2[Discount rate E])^0.5</f>
        <v>381.80512883037608</v>
      </c>
      <c r="CK69" s="17">
        <f>Table2[[#This Row],[Asset growth, ongoing scheme, best-estimates, no de-risking, net of contributions and payments ]]/(1+Table2[Compounded discount rate E])</f>
        <v>37.780046863237061</v>
      </c>
      <c r="CL69" s="17">
        <f>Table2[[#This Row],[Asset growth, ongoing scheme, best-estimates, no de-risking, net of contributions and payments ]]/(1+Table2[Compounded CPI])</f>
        <v>160.15482902985977</v>
      </c>
      <c r="CM69" s="9">
        <v>2.07E-2</v>
      </c>
      <c r="CN69" s="11">
        <f>(1+Table2[[#This Row],[CPI]])*(1+CN68)-1</f>
        <v>1.3839751267143567</v>
      </c>
      <c r="CO69" s="11">
        <f>'Gilt yields'!B51</f>
        <v>1.2999999999999999E-2</v>
      </c>
      <c r="CP69" s="11">
        <f t="shared" si="15"/>
        <v>4.07E-2</v>
      </c>
      <c r="CQ69" s="26">
        <f>(1+Table2[[#This Row],[Salary growth]])*(1+CQ68)-1</f>
        <v>4.5510021113166115</v>
      </c>
      <c r="CR69" s="15">
        <f t="shared" si="17"/>
        <v>23.839751267143562</v>
      </c>
      <c r="CS69" s="17">
        <f t="shared" si="18"/>
        <v>30.991676647286639</v>
      </c>
      <c r="CT69" s="17">
        <f>CT68*(1+Table2[[#This Row],[Salary growth]])</f>
        <v>55.510021113166125</v>
      </c>
      <c r="CU69" s="19">
        <f t="shared" si="19"/>
        <v>72.163027447115979</v>
      </c>
      <c r="CV69" s="112">
        <f>('Cash flows as at 31032017'!B54)/1000000000</f>
        <v>1.599578816</v>
      </c>
      <c r="CW69" s="113">
        <v>0</v>
      </c>
      <c r="CX69" s="113">
        <f>Table2[[#This Row],[Annual contributions (closed scheme)]]-Table2[[#This Row],[Annual benefit payments (closed scheme)]]</f>
        <v>-1.599578816</v>
      </c>
      <c r="CY69" s="113">
        <v>5.07</v>
      </c>
      <c r="CZ69" s="113">
        <v>0</v>
      </c>
      <c r="DA69" s="113">
        <v>-5.07</v>
      </c>
      <c r="DB69" s="17"/>
      <c r="DC69" s="84"/>
      <c r="DD69" s="84"/>
      <c r="DE69" s="84"/>
      <c r="DF69" s="84"/>
      <c r="DG69" s="84"/>
      <c r="DH69" s="84"/>
      <c r="DI69" s="84"/>
      <c r="DJ69" s="84"/>
      <c r="DK69" s="84"/>
      <c r="DL69" s="84"/>
      <c r="DM69" s="84"/>
      <c r="DN69" s="84"/>
      <c r="DO69" s="84"/>
      <c r="DP69" s="84"/>
      <c r="DQ69" s="84"/>
      <c r="DR69" s="84"/>
      <c r="DS69" s="84"/>
      <c r="DT69" s="84"/>
      <c r="DU69" s="84"/>
      <c r="DV69" s="84"/>
      <c r="DW69" s="84"/>
      <c r="DX69" s="84"/>
      <c r="DY69" s="84"/>
      <c r="DZ69" s="84"/>
      <c r="EA69" s="84"/>
      <c r="EB69" s="84"/>
      <c r="EC69" s="84"/>
      <c r="ED69" s="84"/>
      <c r="EE69" s="84"/>
      <c r="EF69" s="84"/>
      <c r="EG69" s="84"/>
      <c r="EH69" s="84"/>
      <c r="EI69" s="84"/>
      <c r="EJ69" s="84"/>
      <c r="EK69" s="84"/>
      <c r="EL69" s="84"/>
      <c r="EM69" s="84"/>
      <c r="EN69" s="84"/>
      <c r="EO69" s="84"/>
      <c r="EP69" s="84"/>
      <c r="EQ69" s="84"/>
      <c r="ER69" s="84"/>
      <c r="ES69" s="84"/>
      <c r="ET69" s="84"/>
      <c r="EU69" s="84"/>
      <c r="EV69" s="84"/>
    </row>
    <row r="70" spans="1:163" x14ac:dyDescent="0.2">
      <c r="A70" s="8">
        <v>2063</v>
      </c>
      <c r="B70" s="50"/>
      <c r="C70" s="50"/>
      <c r="D70" s="50"/>
      <c r="E70" s="35">
        <v>6.0999999999999999E-2</v>
      </c>
      <c r="F70" s="16">
        <f>F69*(1+Table2[[#This Row],[2008 discount rate]])</f>
        <v>874.95904561305213</v>
      </c>
      <c r="G70" s="18">
        <v>6.0999999999999999E-2</v>
      </c>
      <c r="H70" s="16">
        <f>H69*(1+Table2[[#This Row],[2011 discount rate]])</f>
        <v>719.00745969892353</v>
      </c>
      <c r="I70" s="18">
        <v>5.1999999999999998E-2</v>
      </c>
      <c r="J70" s="16">
        <f>J69*(1+Table2[[#This Row],[2014 discount rate]])</f>
        <v>499.90386945712788</v>
      </c>
      <c r="K70" s="9">
        <v>3.9100000000000003E-2</v>
      </c>
      <c r="L70" s="18">
        <f t="shared" si="9"/>
        <v>3.4430667400682529</v>
      </c>
      <c r="M70" s="17">
        <f>Table2[[#This Row],[Annual benefit payments (closed scheme)]]/((1+L69)*(1+Table2[[#This Row],[Discount rate A1]])^0.5)+M69</f>
        <v>62.362679579021638</v>
      </c>
      <c r="N70" s="17">
        <f>N69*(1+Table2[Discount rate A1])</f>
        <v>288.45530574259897</v>
      </c>
      <c r="O70" s="17">
        <f>Table2[[#This Row],[Asset growth A1, under the assumption of full-funding at Year 0]]/(1+Table2[[#This Row],[Compounded CPI]])</f>
        <v>118.38138685013034</v>
      </c>
      <c r="P70" s="17">
        <f>(P69*((1+Table2[Discount rate A1])^0.5)-Table2[Annual benefit payments (closed scheme)])*(1+Table2[Discount rate A1])^0.5</f>
        <v>11.373758283514132</v>
      </c>
      <c r="Q70" s="17">
        <f>Table2[[#This Row],[Asset growth A1 with benefit payments deducted]]/(1+Table2[Compounded CPI])</f>
        <v>4.667763956826116</v>
      </c>
      <c r="R70" s="17">
        <f>Table2[[#This Row],[Asset growth A1 with benefit payments deducted]]/(1+Table2[Compounded discount rate A1])</f>
        <v>2.5598891371457122</v>
      </c>
      <c r="S70" s="9">
        <v>3.9100000000000003E-2</v>
      </c>
      <c r="T70" s="18">
        <f t="shared" si="20"/>
        <v>3.220053169008386</v>
      </c>
      <c r="U70" s="17">
        <f>Table2[[#This Row],[Annual benefit payments (closed scheme)]]/((1+T69)*(1+Table2[[#This Row],[Discount rate A2]])^0.5)+U69</f>
        <v>64.816136605415849</v>
      </c>
      <c r="V70" s="17">
        <f>V69*(1+Table2[Discount rate A2])</f>
        <v>284.90130096807974</v>
      </c>
      <c r="W70" s="17">
        <f>Table2[[#This Row],[Asset growth A2, under the assumption of full-funding at Year 0]]/(1+Table2[Compounded CPI])</f>
        <v>116.92283155333506</v>
      </c>
      <c r="X70" s="17">
        <f>(X69*((1+Table2[Discount rate A2])^0.5)-Table2[Annual benefit payments (closed scheme)])*(1+Table2[Discount rate A2])^0.5</f>
        <v>11.373758283514215</v>
      </c>
      <c r="Y70" s="17">
        <f>Table2[[#This Row],[Asset growth A2 with benefit payments deducted]]/(1+Table2[[#This Row],[Compounded CPI]])</f>
        <v>4.6677639568261506</v>
      </c>
      <c r="Z70" s="19">
        <f>Table2[[#This Row],[Asset growth A2 with benefit payments deducted]]/(1+Table2[Compounded discount rate A2])</f>
        <v>2.6951694274948634</v>
      </c>
      <c r="AA70" s="35">
        <f t="shared" si="16"/>
        <v>5.0099999999999999E-2</v>
      </c>
      <c r="AB70" s="18">
        <f t="shared" si="10"/>
        <v>5.1322458495998378</v>
      </c>
      <c r="AC70" s="17">
        <f>Table2[[#This Row],[Annual benefit payments (closed scheme)]]/((1+AB69)*(1+Table2[[#This Row],[Discount rate B]])^0.5)+AC69</f>
        <v>58.689115292294908</v>
      </c>
      <c r="AD70" s="16">
        <f>AD69*(1+Table2[Discount rate B])</f>
        <v>367.93475097599037</v>
      </c>
      <c r="AE70" s="16">
        <f>Table2[[#This Row],[Asset growth B]]/(1+Table2[Compounded CPI])</f>
        <v>150.99956639300831</v>
      </c>
      <c r="AF70" s="17">
        <f>(AF69*((1+Table2[Discount rate B])^0.5)-Table2[Annual benefit payments (closed scheme)])*(1+Table2[Discount rate B])^0.5</f>
        <v>8.0386673081284847</v>
      </c>
      <c r="AG70" s="17">
        <f>Table2[[#This Row],[Asset growth B with benefit payments deducted]]/(1+Table2[Compounded CPI])</f>
        <v>3.2990503742449202</v>
      </c>
      <c r="AH70" s="19">
        <f>Table2[[#This Row],[Asset growth B with benefit payments deducted]]/(1+Table2[Compounded discount rate B])</f>
        <v>1.3108847077050982</v>
      </c>
      <c r="AI70" s="11">
        <f>Table2[CPI]+2.56%</f>
        <v>4.7700000000000006E-2</v>
      </c>
      <c r="AJ70" s="18">
        <f t="shared" si="11"/>
        <v>6.0211691185081433</v>
      </c>
      <c r="AK70" s="17">
        <f>Table2[[#This Row],[Annual benefit payments (closed scheme)]]/((1+AJ69)*(1+Table2[[#This Row],[Discount rate C]])^0.5)+AK69</f>
        <v>50.814424239045735</v>
      </c>
      <c r="AL70" s="17">
        <f>AL69*(1+Table2[Discount rate C])</f>
        <v>421.27014711048855</v>
      </c>
      <c r="AM70" s="17">
        <f>Table2[[#This Row],[Asset growth C]]/(1+Table2[Compounded CPI])</f>
        <v>172.88828896771858</v>
      </c>
      <c r="AN70" s="17">
        <f>(AN69*((1+Table2[Discount rate C])^0.5)-Table2[Annual benefit payments (closed scheme)])*(1+Table2[Discount rate C])^0.5</f>
        <v>64.493480868528778</v>
      </c>
      <c r="AO70" s="17">
        <f>Table2[[#This Row],[Asset growth C with benefit payments deducted]]/(1+Table2[Compounded CPI])</f>
        <v>26.467974608245441</v>
      </c>
      <c r="AP70" s="19">
        <f>Table2[[#This Row],[Asset growth C with benefit payments deducted]]/(1+Table2[Compounded discount rate C])</f>
        <v>9.1855757609542295</v>
      </c>
      <c r="AQ70" s="11">
        <f>Table2[CPI]+2.56%</f>
        <v>4.7700000000000006E-2</v>
      </c>
      <c r="AR70" s="18">
        <f t="shared" si="12"/>
        <v>5.5722855851740736</v>
      </c>
      <c r="AS70" s="17">
        <f>Table2[[#This Row],[Annual benefit payments (closed scheme)]]/((1+AR69)*(1+Table2[[#This Row],[Discount rate D]])^0.5)+AS69</f>
        <v>53.20880321865657</v>
      </c>
      <c r="AT70" s="16">
        <f>AT69*(1+Table2[Discount rate D])</f>
        <v>394.33713511044431</v>
      </c>
      <c r="AU70" s="17">
        <f>Table2[[#This Row],[Asset growth D]]/(1+Table2[Compounded CPI])</f>
        <v>161.83504345916984</v>
      </c>
      <c r="AV70" s="17">
        <f>(AV69*((1+Table2[Discount rate D])^0.5)-Table2[Annual benefit payments (closed scheme)])*(1+Table2[Discount rate D])^0.5</f>
        <v>44.633684712104099</v>
      </c>
      <c r="AW70" s="17">
        <f>Table2[[#This Row],[Asset growth D with benefit payments deducted]]/(1+Table2[Compounded CPI])</f>
        <v>18.317560437474853</v>
      </c>
      <c r="AX70" s="19">
        <f>Table2[[#This Row],[Asset growth D with benefit payments deducted]]/(1+Table2[Compounded discount rate D])</f>
        <v>6.7911967813434462</v>
      </c>
      <c r="AY70" s="11">
        <f>Table2[CPI]+4%</f>
        <v>6.2100000000000002E-2</v>
      </c>
      <c r="AZ70" s="18">
        <f t="shared" si="13"/>
        <v>9.7335819036619693</v>
      </c>
      <c r="BA70" s="17">
        <f>Table2[[#This Row],[Annual benefit payments (closed scheme)]]/((1+AZ69)*(1+Table2[[#This Row],[Discount rate E]])^0.5)+BA69</f>
        <v>47.369117738041595</v>
      </c>
      <c r="BB70" s="17">
        <f>BB69*(1+Table2[Discount rate E])</f>
        <v>644.01491421971878</v>
      </c>
      <c r="BC70" s="16">
        <f>Table2[[#This Row],[Asset growth E]]/(1+Table2[Compounded CPI])</f>
        <v>264.30222353243767</v>
      </c>
      <c r="BD70" s="17">
        <f>(BD69*((1+Table2[Discount rate E])^0.5)-Table2[Annual benefit payments (closed scheme)])*(1+Table2[Discount rate E])^0.5</f>
        <v>135.57460927424194</v>
      </c>
      <c r="BE70" s="17">
        <f>Table2[[#This Row],[Asset growth E with benefit payments deducted]]/(1+Table2[Compounded CPI])</f>
        <v>55.639504450200576</v>
      </c>
      <c r="BF70" s="19">
        <f>Table2[[#This Row],[Asset growth E with benefit payments deducted]]/(1+Table2[Compounded discount rate E])</f>
        <v>12.630882261958428</v>
      </c>
      <c r="BG70" s="11">
        <f>Table2[[#This Row],[Long-dated forward gilt yields]]+0.75%</f>
        <v>2.1490000000000002E-2</v>
      </c>
      <c r="BH70" s="11">
        <f t="shared" si="14"/>
        <v>1.8045970840720309</v>
      </c>
      <c r="BI70" s="17">
        <f>((Table2[[#This Row],[Annual benefit payments (closed scheme)]])*1.005^(Table2[[#This Row],[Year]]-2018))/((1+BH69)*(1+Table2[[#This Row],[Discount rate F]])^0.5)+BI69</f>
        <v>76.399230607762689</v>
      </c>
      <c r="BJ70" s="17">
        <f>BJ69*(1+Table2[Discount rate F])</f>
        <v>230.94032557000594</v>
      </c>
      <c r="BK70" s="17">
        <f>Table2[[#This Row],[Asset growth F, under the assumption of full-funding at Year 0]]/(1+Table2[[#This Row],[Compounded CPI]])</f>
        <v>94.77737270325585</v>
      </c>
      <c r="BL70" s="17">
        <f>(BL69*((1+Table2[Discount rate F])^0.5)-Table2[Annual benefit payments (closed scheme)]*1.005^(Table2[Year]-2018))*(1+Table2[Discount rate F])^0.5</f>
        <v>16.671266182127955</v>
      </c>
      <c r="BM70" s="17">
        <f>Table2[[#This Row],[Asset growth F with benefit payments deducted]]/(1+Table2[Compounded CPI])</f>
        <v>6.8418488822981951</v>
      </c>
      <c r="BN70" s="19">
        <f>Table2[[#This Row],[Asset growth F with benefit payments deducted]]/(1+Table2[Compounded discount rate F])</f>
        <v>5.9442642498660545</v>
      </c>
      <c r="BO70" s="18">
        <f>(1+BO69)*(1+Table2[Discount rate A2])-1</f>
        <v>1.3733801026451991</v>
      </c>
      <c r="BP70" s="17">
        <f>Table2[[#This Row],[Annual benefit payments (ongoing scheme)]]/((1+BO69)*(1+Table2[[#This Row],[Discount rate A2]])^0.5)+BP69</f>
        <v>82.506933807340559</v>
      </c>
      <c r="BQ70" s="17">
        <f>(BQ69*((1+Table2[Discount rate A2])^0.5)-Table2[Annual benefit payments (ongoing scheme)])*(1+Table2[Discount rate A2])^0.5</f>
        <v>71.206717975466262</v>
      </c>
      <c r="BR70" s="18">
        <f>(1+BR69)*(1+Table2[Discount rate B])-1</f>
        <v>2.1252213228511843</v>
      </c>
      <c r="BS70" s="17">
        <f>Table2[[#This Row],[Annual benefit payments (ongoing scheme)]]/((1+BR69)*(1+Table2[[#This Row],[Discount rate B]])^0.5)+BS69</f>
        <v>73.053974734208253</v>
      </c>
      <c r="BT70" s="18">
        <f>(1+BT69)*(1+Table2[Discount rate E])-1</f>
        <v>3.2056431150747331</v>
      </c>
      <c r="BU70" s="17">
        <f>Table2[[#This Row],[Annual benefit payments (ongoing scheme)]]/((1+BT69)*(1+Table2[[#This Row],[Discount rate E]])^0.5)+BU69</f>
        <v>64.492374699931332</v>
      </c>
      <c r="BV70" s="18">
        <f>Table2[CPI]+0.75%+0.75%</f>
        <v>3.7100000000000001E-2</v>
      </c>
      <c r="BW70" s="18">
        <f>(1+BW69)*(1+Table2[Self-sufficiency discount rate, from 2037])-1</f>
        <v>1.2568412399729745</v>
      </c>
      <c r="BX70" s="17">
        <f>(Table2[[#This Row],[Annual benefit payments (ongoing scheme)]]*1.005^(Table2[[#This Row],[Year]]-2038))/((1+BW69)*(1+Table2[[#This Row],[Self-sufficiency discount rate, from 2037]])^0.5)+BX69</f>
        <v>89.417533735079132</v>
      </c>
      <c r="BY70" s="17">
        <f>(BY69*((1+Table2[Self-sufficiency discount rate, from 2037])^0.5)-Table2[Annual benefit payments (ongoing scheme)]*1.005^(Table2[Year]-2038))*(1+Table2[Self-sufficiency discount rate, from 2037])^0.5</f>
        <v>87.188519905878877</v>
      </c>
      <c r="BZ70" s="17">
        <f>(BZ69*((1+Table2[Discount rate B])^0.5)-Table2[Annual benefit payments (ongoing scheme)])*(1+Table2[Discount rate B])^0.5</f>
        <v>63.938801667798792</v>
      </c>
      <c r="CA70" s="17">
        <f>(CA69*((1+Table2[Discount rate A2])^0.5)+Table2[Net cashflow (ongoing scheme)])*(1+Table2[Discount rate A2])^0.5</f>
        <v>70.421211613887806</v>
      </c>
      <c r="CB70" s="17">
        <f>Table2[[#This Row],[Asset growth, ongoing scheme, with November de-risking, net of contributions and payments]]/(1+Table2[Compounded discount rate A2])</f>
        <v>16.687280655858455</v>
      </c>
      <c r="CC70" s="17">
        <f>Table2[[#This Row],[Asset growth, ongoing scheme, with November de-risking, net of contributions and payments]]/(1+Table2[Compounded CPI])</f>
        <v>28.900701524823447</v>
      </c>
      <c r="CD70" s="17">
        <f>(CD69*((1+Table2[Discount rate A1])^0.5)+Table2[Net cashflow (ongoing scheme)])*(1+Table2[Discount rate A1])^0.5</f>
        <v>84.050638871411778</v>
      </c>
      <c r="CE70" s="17">
        <f>Table2[[#This Row],[Asset growth, ongoing scheme, with September de-risking, net of contributions and payments]]/(1+Table2[Compounded discount rate A1])</f>
        <v>18.917257783555289</v>
      </c>
      <c r="CF70" s="17">
        <f>Table2[[#This Row],[Asset growth, ongoing scheme, with September de-risking, net of contributions and payments]]/(1+Table2[Compounded CPI])</f>
        <v>34.494186784402707</v>
      </c>
      <c r="CG70" s="17">
        <f>(CG69*((1+Table2[Discount rate B])^0.5)+Table2[Net cashflow (ongoing scheme)])*(1+Table2[Discount rate B])^0.5</f>
        <v>157.79776750444447</v>
      </c>
      <c r="CH70" s="17">
        <f>Table2[[#This Row],[Asset growth, ongoing scheme, no de-risking, net of contributions and payments]]/(1+Table2[Compounded discount rate B])</f>
        <v>25.732459424264867</v>
      </c>
      <c r="CI70" s="17">
        <f>Table2[[#This Row],[Asset growth, ongoing scheme, no de-risking, net of contributions and payments]]/(1+Table2[Compounded CPI])</f>
        <v>64.759836921494582</v>
      </c>
      <c r="CJ70" s="17">
        <f>(CJ69*((1+Table2[Discount rate E])^0.5)+Table2[Net cashflow (ongoing scheme)])*(1+Table2[Discount rate E])^0.5</f>
        <v>400.17681070781009</v>
      </c>
      <c r="CK70" s="17">
        <f>Table2[[#This Row],[Asset growth, ongoing scheme, best-estimates, no de-risking, net of contributions and payments ]]/(1+Table2[Compounded discount rate E])</f>
        <v>37.282690373032139</v>
      </c>
      <c r="CL70" s="17">
        <f>Table2[[#This Row],[Asset growth, ongoing scheme, best-estimates, no de-risking, net of contributions and payments ]]/(1+Table2[Compounded CPI])</f>
        <v>164.23163274772986</v>
      </c>
      <c r="CM70" s="9">
        <v>2.2100000000000002E-2</v>
      </c>
      <c r="CN70" s="11">
        <f>(1+Table2[[#This Row],[CPI]])*(1+CN69)-1</f>
        <v>1.436660977014744</v>
      </c>
      <c r="CO70" s="11">
        <f>'Gilt yields'!B52</f>
        <v>1.3990000000000001E-2</v>
      </c>
      <c r="CP70" s="11">
        <f t="shared" si="15"/>
        <v>4.2099999999999999E-2</v>
      </c>
      <c r="CQ70" s="26">
        <f>(1+Table2[[#This Row],[Salary growth]])*(1+CQ69)-1</f>
        <v>4.7846993002030409</v>
      </c>
      <c r="CR70" s="15">
        <f t="shared" si="17"/>
        <v>24.366609770147434</v>
      </c>
      <c r="CS70" s="17">
        <f t="shared" si="18"/>
        <v>31.676592701191673</v>
      </c>
      <c r="CT70" s="17">
        <f>CT69*(1+Table2[[#This Row],[Salary growth]])</f>
        <v>57.846993002030423</v>
      </c>
      <c r="CU70" s="19">
        <f t="shared" si="19"/>
        <v>75.201090902639564</v>
      </c>
      <c r="CV70" s="112">
        <f>('Cash flows as at 31032017'!B55)/1000000000</f>
        <v>1.5107682200000001</v>
      </c>
      <c r="CW70" s="113">
        <v>0</v>
      </c>
      <c r="CX70" s="113">
        <f>Table2[[#This Row],[Annual contributions (closed scheme)]]-Table2[[#This Row],[Annual benefit payments (closed scheme)]]</f>
        <v>-1.5107682200000001</v>
      </c>
      <c r="CY70" s="113">
        <v>5.18</v>
      </c>
      <c r="CZ70" s="113">
        <v>0</v>
      </c>
      <c r="DA70" s="113">
        <v>-5.18</v>
      </c>
      <c r="DB70" s="17"/>
      <c r="DC70" s="84"/>
      <c r="DD70" s="84"/>
      <c r="DE70" s="84"/>
      <c r="DF70" s="84"/>
      <c r="DG70" s="84"/>
      <c r="DH70" s="84"/>
      <c r="DI70" s="84"/>
      <c r="DJ70" s="84"/>
      <c r="DK70" s="84"/>
      <c r="DL70" s="84"/>
      <c r="DM70" s="84"/>
      <c r="DN70" s="84"/>
      <c r="DO70" s="84"/>
      <c r="DP70" s="84"/>
      <c r="DQ70" s="84"/>
      <c r="DR70" s="84"/>
      <c r="DS70" s="84"/>
      <c r="DT70" s="84"/>
      <c r="DU70" s="84"/>
      <c r="DV70" s="84"/>
      <c r="DW70" s="84"/>
      <c r="DX70" s="84"/>
      <c r="DY70" s="84"/>
      <c r="DZ70" s="84"/>
      <c r="EA70" s="84"/>
      <c r="EB70" s="84"/>
      <c r="EC70" s="84"/>
      <c r="ED70" s="84"/>
      <c r="EE70" s="84"/>
      <c r="EF70" s="84"/>
      <c r="EG70" s="84"/>
      <c r="EH70" s="84"/>
      <c r="EI70" s="84"/>
      <c r="EJ70" s="84"/>
      <c r="EK70" s="84"/>
      <c r="EL70" s="84"/>
      <c r="EM70" s="84"/>
      <c r="EN70" s="84"/>
      <c r="EO70" s="84"/>
      <c r="EP70" s="84"/>
      <c r="EQ70" s="84"/>
      <c r="ER70" s="84"/>
      <c r="ES70" s="84"/>
      <c r="ET70" s="84"/>
      <c r="EU70" s="84"/>
      <c r="EV70" s="84"/>
      <c r="EW70" s="84"/>
    </row>
    <row r="71" spans="1:163" x14ac:dyDescent="0.2">
      <c r="A71" s="8">
        <v>2064</v>
      </c>
      <c r="B71" s="50"/>
      <c r="C71" s="50"/>
      <c r="D71" s="50"/>
      <c r="E71" s="35">
        <v>6.0999999999999999E-2</v>
      </c>
      <c r="F71" s="16">
        <f>F70*(1+Table2[[#This Row],[2008 discount rate]])</f>
        <v>928.3315473954483</v>
      </c>
      <c r="G71" s="18">
        <v>6.0999999999999999E-2</v>
      </c>
      <c r="H71" s="16">
        <f>H70*(1+Table2[[#This Row],[2011 discount rate]])</f>
        <v>762.86691474055783</v>
      </c>
      <c r="I71" s="18">
        <v>5.1999999999999998E-2</v>
      </c>
      <c r="J71" s="16">
        <f>J70*(1+Table2[[#This Row],[2014 discount rate]])</f>
        <v>525.89887066889855</v>
      </c>
      <c r="K71" s="9">
        <v>4.0500000000000001E-2</v>
      </c>
      <c r="L71" s="18">
        <f t="shared" si="9"/>
        <v>3.6230109430410167</v>
      </c>
      <c r="M71" s="17">
        <f>Table2[[#This Row],[Annual benefit payments (closed scheme)]]/((1+L70)*(1+Table2[[#This Row],[Discount rate A1]])^0.5)+M70</f>
        <v>62.676875740570722</v>
      </c>
      <c r="N71" s="17">
        <f>N70*(1+Table2[Discount rate A1])</f>
        <v>300.1377456251742</v>
      </c>
      <c r="O71" s="17">
        <f>Table2[[#This Row],[Asset growth A1, under the assumption of full-funding at Year 0]]/(1+Table2[[#This Row],[Compounded CPI]])</f>
        <v>120.34766293850572</v>
      </c>
      <c r="P71" s="17">
        <f>(P70*((1+Table2[Discount rate A1])^0.5)-Table2[Annual benefit payments (closed scheme)])*(1+Table2[Discount rate A1])^0.5</f>
        <v>10.381863200893539</v>
      </c>
      <c r="Q71" s="17">
        <f>Table2[[#This Row],[Asset growth A1 with benefit payments deducted]]/(1+Table2[Compounded CPI])</f>
        <v>4.1628651890227797</v>
      </c>
      <c r="R71" s="17">
        <f>Table2[[#This Row],[Asset growth A1 with benefit payments deducted]]/(1+Table2[Compounded discount rate A1])</f>
        <v>2.2456929755966248</v>
      </c>
      <c r="S71" s="9">
        <v>4.0500000000000001E-2</v>
      </c>
      <c r="T71" s="18">
        <f t="shared" si="20"/>
        <v>3.3909653223532255</v>
      </c>
      <c r="U71" s="17">
        <f>Table2[[#This Row],[Annual benefit payments (closed scheme)]]/((1+T70)*(1+Table2[[#This Row],[Discount rate A2]])^0.5)+U70</f>
        <v>65.146936825064245</v>
      </c>
      <c r="V71" s="17">
        <f>V70*(1+Table2[Discount rate A2])</f>
        <v>296.43980365728697</v>
      </c>
      <c r="W71" s="17">
        <f>Table2[[#This Row],[Asset growth A2, under the assumption of full-funding at Year 0]]/(1+Table2[Compounded CPI])</f>
        <v>118.86488151562787</v>
      </c>
      <c r="X71" s="17">
        <f>(X70*((1+Table2[Discount rate A2])^0.5)-Table2[Annual benefit payments (closed scheme)])*(1+Table2[Discount rate A2])^0.5</f>
        <v>10.381863200893626</v>
      </c>
      <c r="Y71" s="17">
        <f>Table2[[#This Row],[Asset growth A2 with benefit payments deducted]]/(1+Table2[[#This Row],[Compounded CPI]])</f>
        <v>4.1628651890228143</v>
      </c>
      <c r="Z71" s="19">
        <f>Table2[[#This Row],[Asset growth A2 with benefit payments deducted]]/(1+Table2[Compounded discount rate A2])</f>
        <v>2.3643692078464724</v>
      </c>
      <c r="AA71" s="35">
        <f t="shared" si="16"/>
        <v>5.1499999999999997E-2</v>
      </c>
      <c r="AB71" s="18">
        <f t="shared" si="10"/>
        <v>5.4480565108542303</v>
      </c>
      <c r="AC71" s="17">
        <f>Table2[[#This Row],[Annual benefit payments (closed scheme)]]/((1+AB70)*(1+Table2[[#This Row],[Discount rate B]])^0.5)+AC70</f>
        <v>58.91556958506856</v>
      </c>
      <c r="AD71" s="16">
        <f>AD70*(1+Table2[Discount rate B])</f>
        <v>386.88339065125393</v>
      </c>
      <c r="AE71" s="16">
        <f>Table2[[#This Row],[Asset growth B]]/(1+Table2[Compounded CPI])</f>
        <v>155.13047783316881</v>
      </c>
      <c r="AF71" s="17">
        <f>(AF70*((1+Table2[Discount rate B])^0.5)-Table2[Annual benefit payments (closed scheme)])*(1+Table2[Discount rate B])^0.5</f>
        <v>6.9924685975670711</v>
      </c>
      <c r="AG71" s="17">
        <f>Table2[[#This Row],[Asset growth B with benefit payments deducted]]/(1+Table2[Compounded CPI])</f>
        <v>2.8038034740856137</v>
      </c>
      <c r="AH71" s="19">
        <f>Table2[[#This Row],[Asset growth B with benefit payments deducted]]/(1+Table2[Compounded discount rate B])</f>
        <v>1.084430414931447</v>
      </c>
      <c r="AI71" s="11">
        <f>Table2[CPI]+2.56%</f>
        <v>4.9100000000000005E-2</v>
      </c>
      <c r="AJ71" s="18">
        <f t="shared" si="11"/>
        <v>6.365908522226893</v>
      </c>
      <c r="AK71" s="17">
        <f>Table2[[#This Row],[Annual benefit payments (closed scheme)]]/((1+AJ70)*(1+Table2[[#This Row],[Discount rate C]])^0.5)+AK70</f>
        <v>51.012434126419571</v>
      </c>
      <c r="AL71" s="17">
        <f>AL70*(1+Table2[Discount rate C])</f>
        <v>441.95451133361348</v>
      </c>
      <c r="AM71" s="17">
        <f>Table2[[#This Row],[Asset growth C]]/(1+Table2[Compounded CPI])</f>
        <v>177.21260767565562</v>
      </c>
      <c r="AN71" s="17">
        <f>(AN70*((1+Table2[Discount rate C])^0.5)-Table2[Annual benefit payments (closed scheme)])*(1+Table2[Discount rate C])^0.5</f>
        <v>66.201588062281374</v>
      </c>
      <c r="AO71" s="17">
        <f>Table2[[#This Row],[Asset growth C with benefit payments deducted]]/(1+Table2[Compounded CPI])</f>
        <v>26.545166418565216</v>
      </c>
      <c r="AP71" s="19">
        <f>Table2[[#This Row],[Asset growth C with benefit payments deducted]]/(1+Table2[Compounded discount rate C])</f>
        <v>8.9875658735803885</v>
      </c>
      <c r="AQ71" s="11">
        <f>Table2[CPI]+2.56%</f>
        <v>4.9100000000000005E-2</v>
      </c>
      <c r="AR71" s="18">
        <f t="shared" si="12"/>
        <v>5.8949848074061197</v>
      </c>
      <c r="AS71" s="17">
        <f>Table2[[#This Row],[Annual benefit payments (closed scheme)]]/((1+AR70)*(1+Table2[[#This Row],[Discount rate D]])^0.5)+AS70</f>
        <v>53.420337073716773</v>
      </c>
      <c r="AT71" s="16">
        <f>AT70*(1+Table2[Discount rate D])</f>
        <v>413.69908844436708</v>
      </c>
      <c r="AU71" s="17">
        <f>Table2[[#This Row],[Asset growth D]]/(1+Table2[Compounded CPI])</f>
        <v>165.88289603616516</v>
      </c>
      <c r="AV71" s="17">
        <f>(AV70*((1+Table2[Discount rate D])^0.5)-Table2[Annual benefit payments (closed scheme)])*(1+Table2[Discount rate D])^0.5</f>
        <v>45.366675914576263</v>
      </c>
      <c r="AW71" s="17">
        <f>Table2[[#This Row],[Asset growth D with benefit payments deducted]]/(1+Table2[Compounded CPI])</f>
        <v>18.190892352560901</v>
      </c>
      <c r="AX71" s="19">
        <f>Table2[[#This Row],[Asset growth D with benefit payments deducted]]/(1+Table2[Compounded discount rate D])</f>
        <v>6.5796629262832447</v>
      </c>
      <c r="AY71" s="11">
        <f>Table2[CPI]+4%</f>
        <v>6.3500000000000001E-2</v>
      </c>
      <c r="AZ71" s="18">
        <f t="shared" si="13"/>
        <v>10.415164354544503</v>
      </c>
      <c r="BA71" s="17">
        <f>Table2[[#This Row],[Annual benefit payments (closed scheme)]]/((1+AZ70)*(1+Table2[[#This Row],[Discount rate E]])^0.5)+BA70</f>
        <v>47.497762270395008</v>
      </c>
      <c r="BB71" s="17">
        <f>BB70*(1+Table2[Discount rate E])</f>
        <v>684.90986127267081</v>
      </c>
      <c r="BC71" s="16">
        <f>Table2[[#This Row],[Asset growth E]]/(1+Table2[Compounded CPI])</f>
        <v>274.63157276672922</v>
      </c>
      <c r="BD71" s="17">
        <f>(BD70*((1+Table2[Discount rate E])^0.5)-Table2[Annual benefit payments (closed scheme)])*(1+Table2[Discount rate E])^0.5</f>
        <v>142.71509848302856</v>
      </c>
      <c r="BE71" s="17">
        <f>Table2[[#This Row],[Asset growth E with benefit payments deducted]]/(1+Table2[Compounded CPI])</f>
        <v>57.225153513082738</v>
      </c>
      <c r="BF71" s="19">
        <f>Table2[[#This Row],[Asset growth E with benefit payments deducted]]/(1+Table2[Compounded discount rate E])</f>
        <v>12.502237729605014</v>
      </c>
      <c r="BG71" s="11">
        <f>Table2[[#This Row],[Long-dated forward gilt yields]]+0.75%</f>
        <v>2.2519999999999998E-2</v>
      </c>
      <c r="BH71" s="11">
        <f t="shared" si="14"/>
        <v>1.8677566104053334</v>
      </c>
      <c r="BI71" s="17">
        <f>((Table2[[#This Row],[Annual benefit payments (closed scheme)]])*1.005^(Table2[[#This Row],[Year]]-2018))/((1+BH70)*(1+Table2[[#This Row],[Discount rate F]])^0.5)+BI70</f>
        <v>77.030823466942664</v>
      </c>
      <c r="BJ71" s="17">
        <f>BJ70*(1+Table2[Discount rate F])</f>
        <v>236.1411017018425</v>
      </c>
      <c r="BK71" s="17">
        <f>Table2[[#This Row],[Asset growth F, under the assumption of full-funding at Year 0]]/(1+Table2[[#This Row],[Compounded CPI]])</f>
        <v>94.686623484644045</v>
      </c>
      <c r="BL71" s="17">
        <f>(BL70*((1+Table2[Discount rate F])^0.5)-Table2[Annual benefit payments (closed scheme)]*1.005^(Table2[Year]-2018))*(1+Table2[Discount rate F])^0.5</f>
        <v>15.235448499551302</v>
      </c>
      <c r="BM71" s="17">
        <f>Table2[[#This Row],[Asset growth F with benefit payments deducted]]/(1+Table2[Compounded CPI])</f>
        <v>6.1090304284179737</v>
      </c>
      <c r="BN71" s="19">
        <f>Table2[[#This Row],[Asset growth F with benefit payments deducted]]/(1+Table2[Compounded discount rate F])</f>
        <v>5.3126713906860799</v>
      </c>
      <c r="BO71" s="18">
        <f>(1+BO70)*(1+Table2[Discount rate A2])-1</f>
        <v>1.4695019968023297</v>
      </c>
      <c r="BP71" s="17">
        <f>Table2[[#This Row],[Annual benefit payments (ongoing scheme)]]/((1+BO70)*(1+Table2[[#This Row],[Discount rate A2]])^0.5)+BP70</f>
        <v>84.605271456119212</v>
      </c>
      <c r="BQ71" s="17">
        <f>(BQ70*((1+Table2[Discount rate A2])^0.5)-Table2[Annual benefit payments (ongoing scheme)])*(1+Table2[Discount rate A2])^0.5</f>
        <v>68.908741039848266</v>
      </c>
      <c r="BR71" s="18">
        <f>(1+BR70)*(1+Table2[Discount rate B])-1</f>
        <v>2.2861702209780206</v>
      </c>
      <c r="BS71" s="17">
        <f>Table2[[#This Row],[Annual benefit payments (ongoing scheme)]]/((1+BR70)*(1+Table2[[#This Row],[Discount rate B]])^0.5)+BS70</f>
        <v>74.639153678426666</v>
      </c>
      <c r="BT71" s="18">
        <f>(1+BT70)*(1+Table2[Discount rate E])-1</f>
        <v>3.472701452881978</v>
      </c>
      <c r="BU71" s="17">
        <f>Table2[[#This Row],[Annual benefit payments (ongoing scheme)]]/((1+BT70)*(1+Table2[[#This Row],[Discount rate E]])^0.5)+BU70</f>
        <v>65.663659611777859</v>
      </c>
      <c r="BV71" s="18">
        <f>Table2[CPI]+0.75%+0.75%</f>
        <v>3.85E-2</v>
      </c>
      <c r="BW71" s="18">
        <f>(1+BW70)*(1+Table2[Self-sufficiency discount rate, from 2037])-1</f>
        <v>1.3437296277119342</v>
      </c>
      <c r="BX71" s="17">
        <f>(Table2[[#This Row],[Annual benefit payments (ongoing scheme)]]*1.005^(Table2[[#This Row],[Year]]-2038))/((1+BW70)*(1+Table2[[#This Row],[Self-sufficiency discount rate, from 2037]])^0.5)+BX70</f>
        <v>91.932180907770302</v>
      </c>
      <c r="BY71" s="17">
        <f>(BY70*((1+Table2[Self-sufficiency discount rate, from 2037])^0.5)-Table2[Annual benefit payments (ongoing scheme)]*1.005^(Table2[Year]-2038))*(1+Table2[Self-sufficiency discount rate, from 2037])^0.5</f>
        <v>84.651624840376883</v>
      </c>
      <c r="BZ71" s="17">
        <f>(BZ70*((1+Table2[Discount rate B])^0.5)-Table2[Annual benefit payments (ongoing scheme)])*(1+Table2[Discount rate B])^0.5</f>
        <v>62.022482112278539</v>
      </c>
      <c r="CA71" s="17">
        <f>(CA70*((1+Table2[Discount rate A2])^0.5)+Table2[Net cashflow (ongoing scheme)])*(1+Table2[Discount rate A2])^0.5</f>
        <v>68.091421670625877</v>
      </c>
      <c r="CB71" s="17">
        <f>Table2[[#This Row],[Asset growth, ongoing scheme, with November de-risking, net of contributions and payments]]/(1+Table2[Compounded discount rate A2])</f>
        <v>15.507164523479776</v>
      </c>
      <c r="CC71" s="17">
        <f>Table2[[#This Row],[Asset growth, ongoing scheme, with November de-risking, net of contributions and payments]]/(1+Table2[Compounded CPI])</f>
        <v>27.302942011345664</v>
      </c>
      <c r="CD71" s="17">
        <f>(CD70*((1+Table2[Discount rate A1])^0.5)+Table2[Net cashflow (ongoing scheme)])*(1+Table2[Discount rate A1])^0.5</f>
        <v>82.272840732079587</v>
      </c>
      <c r="CE71" s="17">
        <f>Table2[[#This Row],[Asset growth, ongoing scheme, with September de-risking, net of contributions and payments]]/(1+Table2[Compounded discount rate A1])</f>
        <v>17.796375943241983</v>
      </c>
      <c r="CF71" s="17">
        <f>Table2[[#This Row],[Asset growth, ongoing scheme, with September de-risking, net of contributions and payments]]/(1+Table2[Compounded CPI])</f>
        <v>32.989333230292637</v>
      </c>
      <c r="CG71" s="17">
        <f>(CG70*((1+Table2[Discount rate B])^0.5)+Table2[Net cashflow (ongoing scheme)])*(1+Table2[Discount rate B])^0.5</f>
        <v>160.71518468951149</v>
      </c>
      <c r="CH71" s="17">
        <f>Table2[[#This Row],[Asset growth, ongoing scheme, no de-risking, net of contributions and payments]]/(1+Table2[Compounded discount rate B])</f>
        <v>24.924593079941875</v>
      </c>
      <c r="CI71" s="17">
        <f>Table2[[#This Row],[Asset growth, ongoing scheme, no de-risking, net of contributions and payments]]/(1+Table2[Compounded CPI])</f>
        <v>64.442733904811234</v>
      </c>
      <c r="CJ71" s="17">
        <f>(CJ70*((1+Table2[Discount rate E])^0.5)+Table2[Net cashflow (ongoing scheme)])*(1+Table2[Discount rate E])^0.5</f>
        <v>420.34923046080132</v>
      </c>
      <c r="CK71" s="17">
        <f>Table2[[#This Row],[Asset growth, ongoing scheme, best-estimates, no de-risking, net of contributions and payments ]]/(1+Table2[Compounded discount rate E])</f>
        <v>36.823756312668039</v>
      </c>
      <c r="CL71" s="17">
        <f>Table2[[#This Row],[Asset growth, ongoing scheme, best-estimates, no de-risking, net of contributions and payments ]]/(1+Table2[Compounded CPI])</f>
        <v>168.54943518877982</v>
      </c>
      <c r="CM71" s="9">
        <v>2.35E-2</v>
      </c>
      <c r="CN71" s="11">
        <f>(1+Table2[[#This Row],[CPI]])*(1+CN70)-1</f>
        <v>1.4939225099745905</v>
      </c>
      <c r="CO71" s="11">
        <f>'Gilt yields'!B53</f>
        <v>1.502E-2</v>
      </c>
      <c r="CP71" s="11">
        <f t="shared" si="15"/>
        <v>4.3499999999999997E-2</v>
      </c>
      <c r="CQ71" s="26">
        <f>(1+Table2[[#This Row],[Salary growth]])*(1+CQ70)-1</f>
        <v>5.0363337197618741</v>
      </c>
      <c r="CR71" s="15">
        <f t="shared" si="17"/>
        <v>24.939225099745901</v>
      </c>
      <c r="CS71" s="17">
        <f t="shared" si="18"/>
        <v>32.420992629669676</v>
      </c>
      <c r="CT71" s="17">
        <f>CT70*(1+Table2[[#This Row],[Salary growth]])</f>
        <v>60.363337197618755</v>
      </c>
      <c r="CU71" s="19">
        <f t="shared" si="19"/>
        <v>78.472338356904388</v>
      </c>
      <c r="CV71" s="112">
        <f>('Cash flows as at 31032017'!B56)/1000000000</f>
        <v>1.4239828349999999</v>
      </c>
      <c r="CW71" s="113">
        <v>0</v>
      </c>
      <c r="CX71" s="113">
        <f>Table2[[#This Row],[Annual contributions (closed scheme)]]-Table2[[#This Row],[Annual benefit payments (closed scheme)]]</f>
        <v>-1.4239828349999999</v>
      </c>
      <c r="CY71" s="113">
        <v>5.08</v>
      </c>
      <c r="CZ71" s="113">
        <v>0</v>
      </c>
      <c r="DA71" s="113">
        <v>-5.08</v>
      </c>
      <c r="DB71" s="17"/>
      <c r="DC71" s="84"/>
      <c r="DD71" s="84"/>
      <c r="DE71" s="84"/>
      <c r="DF71" s="84"/>
      <c r="DG71" s="84"/>
      <c r="DH71" s="84"/>
      <c r="DI71" s="84"/>
      <c r="DJ71" s="84"/>
      <c r="DK71" s="84"/>
      <c r="DL71" s="84"/>
      <c r="DM71" s="84"/>
      <c r="DN71" s="84"/>
      <c r="DO71" s="84"/>
      <c r="DP71" s="84"/>
      <c r="DQ71" s="84"/>
      <c r="DR71" s="84"/>
      <c r="DS71" s="84"/>
      <c r="DT71" s="84"/>
      <c r="DU71" s="84"/>
      <c r="DV71" s="84"/>
      <c r="DW71" s="84"/>
      <c r="DX71" s="84"/>
      <c r="DY71" s="84"/>
      <c r="DZ71" s="84"/>
      <c r="EA71" s="84"/>
      <c r="EB71" s="84"/>
      <c r="EC71" s="84"/>
      <c r="ED71" s="84"/>
      <c r="EE71" s="84"/>
      <c r="EF71" s="84"/>
      <c r="EG71" s="84"/>
      <c r="EH71" s="84"/>
      <c r="EI71" s="84"/>
      <c r="EJ71" s="84"/>
      <c r="EK71" s="84"/>
      <c r="EL71" s="84"/>
      <c r="EM71" s="84"/>
      <c r="EN71" s="84"/>
      <c r="EO71" s="84"/>
      <c r="EP71" s="84"/>
      <c r="EQ71" s="84"/>
      <c r="ER71" s="84"/>
      <c r="ES71" s="84"/>
      <c r="ET71" s="84"/>
      <c r="EU71" s="84"/>
      <c r="EV71" s="84"/>
      <c r="EW71" s="84"/>
      <c r="EX71" s="84"/>
    </row>
    <row r="72" spans="1:163" x14ac:dyDescent="0.2">
      <c r="A72" s="8">
        <v>2065</v>
      </c>
      <c r="B72" s="50"/>
      <c r="C72" s="50"/>
      <c r="D72" s="50"/>
      <c r="E72" s="35">
        <v>6.0999999999999999E-2</v>
      </c>
      <c r="F72" s="16">
        <f>F71*(1+Table2[[#This Row],[2008 discount rate]])</f>
        <v>984.95977178657063</v>
      </c>
      <c r="G72" s="18">
        <v>6.0999999999999999E-2</v>
      </c>
      <c r="H72" s="16">
        <f>H71*(1+Table2[[#This Row],[2011 discount rate]])</f>
        <v>809.40179653973178</v>
      </c>
      <c r="I72" s="18">
        <v>5.1999999999999998E-2</v>
      </c>
      <c r="J72" s="16">
        <f>J71*(1+Table2[[#This Row],[2014 discount rate]])</f>
        <v>553.2456119436813</v>
      </c>
      <c r="K72" s="9">
        <v>4.19E-2</v>
      </c>
      <c r="L72" s="18">
        <f t="shared" si="9"/>
        <v>3.8167151015544354</v>
      </c>
      <c r="M72" s="17">
        <f>Table2[[#This Row],[Annual benefit payments (closed scheme)]]/((1+L71)*(1+Table2[[#This Row],[Discount rate A1]])^0.5)+M71</f>
        <v>62.960647964449009</v>
      </c>
      <c r="N72" s="17">
        <f>N71*(1+Table2[Discount rate A1])</f>
        <v>312.713517166869</v>
      </c>
      <c r="O72" s="17">
        <f>Table2[[#This Row],[Asset growth A1, under the assumption of full-funding at Year 0]]/(1+Table2[[#This Row],[Compounded CPI]])</f>
        <v>122.34386770965861</v>
      </c>
      <c r="P72" s="17">
        <f>(P71*((1+Table2[Discount rate A1])^0.5)-Table2[Annual benefit payments (closed scheme)])*(1+Table2[Discount rate A1])^0.5</f>
        <v>9.4500133128547539</v>
      </c>
      <c r="Q72" s="17">
        <f>Table2[[#This Row],[Asset growth A1 with benefit payments deducted]]/(1+Table2[Compounded CPI])</f>
        <v>3.6971576703077846</v>
      </c>
      <c r="R72" s="17">
        <f>Table2[[#This Row],[Asset growth A1 with benefit payments deducted]]/(1+Table2[Compounded discount rate A1])</f>
        <v>1.961920751718339</v>
      </c>
      <c r="S72" s="9">
        <v>4.19E-2</v>
      </c>
      <c r="T72" s="18">
        <f t="shared" si="20"/>
        <v>3.5749467693598262</v>
      </c>
      <c r="U72" s="17">
        <f>Table2[[#This Row],[Annual benefit payments (closed scheme)]]/((1+T71)*(1+Table2[[#This Row],[Discount rate A2]])^0.5)+U71</f>
        <v>65.445705319008383</v>
      </c>
      <c r="V72" s="17">
        <f>V71*(1+Table2[Discount rate A2])</f>
        <v>308.86063143052729</v>
      </c>
      <c r="W72" s="17">
        <f>Table2[[#This Row],[Asset growth A2, under the assumption of full-funding at Year 0]]/(1+Table2[Compounded CPI])</f>
        <v>120.83649141490163</v>
      </c>
      <c r="X72" s="17">
        <f>(X71*((1+Table2[Discount rate A2])^0.5)-Table2[Annual benefit payments (closed scheme)])*(1+Table2[Discount rate A2])^0.5</f>
        <v>9.4500133128548445</v>
      </c>
      <c r="Y72" s="17">
        <f>Table2[[#This Row],[Asset growth A2 with benefit payments deducted]]/(1+Table2[[#This Row],[Compounded CPI]])</f>
        <v>3.6971576703078202</v>
      </c>
      <c r="Z72" s="19">
        <f>Table2[[#This Row],[Asset growth A2 with benefit payments deducted]]/(1+Table2[Compounded discount rate A2])</f>
        <v>2.0656007139023362</v>
      </c>
      <c r="AA72" s="35">
        <f t="shared" si="16"/>
        <v>5.2899999999999996E-2</v>
      </c>
      <c r="AB72" s="18">
        <f t="shared" si="10"/>
        <v>5.7891587002784188</v>
      </c>
      <c r="AC72" s="17">
        <f>Table2[[#This Row],[Annual benefit payments (closed scheme)]]/((1+AB71)*(1+Table2[[#This Row],[Discount rate B]])^0.5)+AC71</f>
        <v>59.117957896191733</v>
      </c>
      <c r="AD72" s="16">
        <f>AD71*(1+Table2[Discount rate B])</f>
        <v>407.34952201670524</v>
      </c>
      <c r="AE72" s="16">
        <f>Table2[[#This Row],[Asset growth B]]/(1+Table2[Compounded CPI])</f>
        <v>159.36860192266897</v>
      </c>
      <c r="AF72" s="17">
        <f>(AF71*((1+Table2[Discount rate B])^0.5)-Table2[Annual benefit payments (closed scheme)])*(1+Table2[Discount rate B])^0.5</f>
        <v>5.9883238230818101</v>
      </c>
      <c r="AG72" s="17">
        <f>Table2[[#This Row],[Asset growth B with benefit payments deducted]]/(1+Table2[Compounded CPI])</f>
        <v>2.3428302820142322</v>
      </c>
      <c r="AH72" s="19">
        <f>Table2[[#This Row],[Asset growth B with benefit payments deducted]]/(1+Table2[Compounded discount rate B])</f>
        <v>0.88204210380827197</v>
      </c>
      <c r="AI72" s="11">
        <f>Table2[CPI]+2.56%</f>
        <v>5.0500000000000003E-2</v>
      </c>
      <c r="AJ72" s="18">
        <f t="shared" si="11"/>
        <v>6.7378869025993513</v>
      </c>
      <c r="AK72" s="17">
        <f>Table2[[#This Row],[Annual benefit payments (closed scheme)]]/((1+AJ71)*(1+Table2[[#This Row],[Discount rate C]])^0.5)+AK71</f>
        <v>51.189805477750141</v>
      </c>
      <c r="AL72" s="17">
        <f>AL71*(1+Table2[Discount rate C])</f>
        <v>464.27321415596094</v>
      </c>
      <c r="AM72" s="17">
        <f>Table2[[#This Row],[Asset growth C]]/(1+Table2[Compounded CPI])</f>
        <v>181.63903245514317</v>
      </c>
      <c r="AN72" s="17">
        <f>(AN71*((1+Table2[Discount rate C])^0.5)-Table2[Annual benefit payments (closed scheme)])*(1+Table2[Discount rate C])^0.5</f>
        <v>68.172288803069407</v>
      </c>
      <c r="AO72" s="17">
        <f>Table2[[#This Row],[Asset growth C with benefit payments deducted]]/(1+Table2[Compounded CPI])</f>
        <v>26.671253479384326</v>
      </c>
      <c r="AP72" s="19">
        <f>Table2[[#This Row],[Asset growth C with benefit payments deducted]]/(1+Table2[Compounded discount rate C])</f>
        <v>8.8101945222498159</v>
      </c>
      <c r="AQ72" s="11">
        <f>Table2[CPI]+2.56%</f>
        <v>5.0500000000000003E-2</v>
      </c>
      <c r="AR72" s="18">
        <f t="shared" si="12"/>
        <v>6.2431815401801289</v>
      </c>
      <c r="AS72" s="17">
        <f>Table2[[#This Row],[Annual benefit payments (closed scheme)]]/((1+AR71)*(1+Table2[[#This Row],[Discount rate D]])^0.5)+AS71</f>
        <v>53.609822791939301</v>
      </c>
      <c r="AT72" s="16">
        <f>AT71*(1+Table2[Discount rate D])</f>
        <v>434.59089241080761</v>
      </c>
      <c r="AU72" s="17">
        <f>Table2[[#This Row],[Asset growth D]]/(1+Table2[Compounded CPI])</f>
        <v>170.02632674991852</v>
      </c>
      <c r="AV72" s="17">
        <f>(AV71*((1+Table2[Discount rate D])^0.5)-Table2[Annual benefit payments (closed scheme)])*(1+Table2[Discount rate D])^0.5</f>
        <v>46.285213591905183</v>
      </c>
      <c r="AW72" s="17">
        <f>Table2[[#This Row],[Asset growth D with benefit payments deducted]]/(1+Table2[Compounded CPI])</f>
        <v>18.108305966126899</v>
      </c>
      <c r="AX72" s="19">
        <f>Table2[[#This Row],[Asset growth D with benefit payments deducted]]/(1+Table2[Compounded discount rate D])</f>
        <v>6.3901772080607175</v>
      </c>
      <c r="AY72" s="11">
        <f>Table2[CPI]+4%</f>
        <v>6.4899999999999999E-2</v>
      </c>
      <c r="AZ72" s="18">
        <f t="shared" si="13"/>
        <v>11.15600852115444</v>
      </c>
      <c r="BA72" s="17">
        <f>Table2[[#This Row],[Annual benefit payments (closed scheme)]]/((1+AZ71)*(1+Table2[[#This Row],[Discount rate E]])^0.5)+BA71</f>
        <v>47.611438913902447</v>
      </c>
      <c r="BB72" s="17">
        <f>BB71*(1+Table2[Discount rate E])</f>
        <v>729.36051126926714</v>
      </c>
      <c r="BC72" s="16">
        <f>Table2[[#This Row],[Asset growth E]]/(1+Table2[Compounded CPI])</f>
        <v>285.34994813083227</v>
      </c>
      <c r="BD72" s="17">
        <f>(BD71*((1+Table2[Discount rate E])^0.5)-Table2[Annual benefit payments (closed scheme)])*(1+Table2[Discount rate E])^0.5</f>
        <v>150.5954541274445</v>
      </c>
      <c r="BE72" s="17">
        <f>Table2[[#This Row],[Asset growth E with benefit payments deducted]]/(1+Table2[Compounded CPI])</f>
        <v>58.917921055559802</v>
      </c>
      <c r="BF72" s="19">
        <f>Table2[[#This Row],[Asset growth E with benefit payments deducted]]/(1+Table2[Compounded discount rate E])</f>
        <v>12.38856108609758</v>
      </c>
      <c r="BG72" s="11">
        <f>Table2[[#This Row],[Long-dated forward gilt yields]]+0.75%</f>
        <v>2.3560000000000001E-2</v>
      </c>
      <c r="BH72" s="11">
        <f t="shared" si="14"/>
        <v>1.9353209561464833</v>
      </c>
      <c r="BI72" s="17">
        <f>((Table2[[#This Row],[Annual benefit payments (closed scheme)]])*1.005^(Table2[[#This Row],[Year]]-2018))/((1+BH71)*(1+Table2[[#This Row],[Discount rate F]])^0.5)+BI71</f>
        <v>77.614287089896465</v>
      </c>
      <c r="BJ72" s="17">
        <f>BJ71*(1+Table2[Discount rate F])</f>
        <v>241.70458605793792</v>
      </c>
      <c r="BK72" s="17">
        <f>Table2[[#This Row],[Asset growth F, under the assumption of full-funding at Year 0]]/(1+Table2[[#This Row],[Compounded CPI]])</f>
        <v>94.562825967355124</v>
      </c>
      <c r="BL72" s="17">
        <f>(BL71*((1+Table2[Discount rate F])^0.5)-Table2[Annual benefit payments (closed scheme)]*1.005^(Table2[Year]-2018))*(1+Table2[Discount rate F])^0.5</f>
        <v>13.881742666595269</v>
      </c>
      <c r="BM72" s="17">
        <f>Table2[[#This Row],[Asset growth F with benefit payments deducted]]/(1+Table2[Compounded CPI])</f>
        <v>5.4309967275101521</v>
      </c>
      <c r="BN72" s="19">
        <f>Table2[[#This Row],[Asset growth F with benefit payments deducted]]/(1+Table2[Compounded discount rate F])</f>
        <v>4.7292077677322721</v>
      </c>
      <c r="BO72" s="18">
        <f>(1+BO71)*(1+Table2[Discount rate A2])-1</f>
        <v>1.5729741304683476</v>
      </c>
      <c r="BP72" s="17">
        <f>Table2[[#This Row],[Annual benefit payments (ongoing scheme)]]/((1+BO71)*(1+Table2[[#This Row],[Discount rate A2]])^0.5)+BP71</f>
        <v>86.620578911931219</v>
      </c>
      <c r="BQ72" s="17">
        <f>(BQ71*((1+Table2[Discount rate A2])^0.5)-Table2[Annual benefit payments (ongoing scheme)])*(1+Table2[Discount rate A2])^0.5</f>
        <v>66.610683340673646</v>
      </c>
      <c r="BR72" s="18">
        <f>(1+BR71)*(1+Table2[Discount rate B])-1</f>
        <v>2.4600086256677578</v>
      </c>
      <c r="BS72" s="17">
        <f>Table2[[#This Row],[Annual benefit payments (ongoing scheme)]]/((1+BR71)*(1+Table2[[#This Row],[Discount rate B]])^0.5)+BS71</f>
        <v>76.145691689269654</v>
      </c>
      <c r="BT72" s="18">
        <f>(1+BT71)*(1+Table2[Discount rate E])-1</f>
        <v>3.7629797771740181</v>
      </c>
      <c r="BU72" s="17">
        <f>Table2[[#This Row],[Annual benefit payments (ongoing scheme)]]/((1+BT71)*(1+Table2[[#This Row],[Discount rate E]])^0.5)+BU71</f>
        <v>66.764284649583075</v>
      </c>
      <c r="BV72" s="18">
        <f>Table2[CPI]+0.75%+0.75%</f>
        <v>3.9899999999999998E-2</v>
      </c>
      <c r="BW72" s="18">
        <f>(1+BW71)*(1+Table2[Self-sufficiency discount rate, from 2037])-1</f>
        <v>1.4372444398576403</v>
      </c>
      <c r="BX72" s="17">
        <f>(Table2[[#This Row],[Annual benefit payments (ongoing scheme)]]*1.005^(Table2[[#This Row],[Year]]-2038))/((1+BW71)*(1+Table2[[#This Row],[Self-sufficiency discount rate, from 2037]])^0.5)+BX71</f>
        <v>94.364071767944552</v>
      </c>
      <c r="BY72" s="17">
        <f>(BY71*((1+Table2[Self-sufficiency discount rate, from 2037])^0.5)-Table2[Annual benefit payments (ongoing scheme)]*1.005^(Table2[Year]-2038))*(1+Table2[Self-sufficiency discount rate, from 2037])^0.5</f>
        <v>82.102112194207592</v>
      </c>
      <c r="BZ72" s="17">
        <f>(BZ71*((1+Table2[Discount rate B])^0.5)-Table2[Annual benefit payments (ongoing scheme)])*(1+Table2[Discount rate B])^0.5</f>
        <v>60.090836903604973</v>
      </c>
      <c r="CA72" s="17">
        <f>(CA71*((1+Table2[Discount rate A2])^0.5)+Table2[Net cashflow (ongoing scheme)])*(1+Table2[Discount rate A2])^0.5</f>
        <v>65.759118289880831</v>
      </c>
      <c r="CB72" s="17">
        <f>Table2[[#This Row],[Asset growth, ongoing scheme, with November de-risking, net of contributions and payments]]/(1+Table2[Compounded discount rate A2])</f>
        <v>14.373745008421711</v>
      </c>
      <c r="CC72" s="17">
        <f>Table2[[#This Row],[Asset growth, ongoing scheme, with November de-risking, net of contributions and payments]]/(1+Table2[Compounded CPI])</f>
        <v>25.727141383747448</v>
      </c>
      <c r="CD72" s="17">
        <f>(CD71*((1+Table2[Discount rate A1])^0.5)+Table2[Net cashflow (ongoing scheme)])*(1+Table2[Discount rate A1])^0.5</f>
        <v>80.534738810009458</v>
      </c>
      <c r="CE72" s="17">
        <f>Table2[[#This Row],[Asset growth, ongoing scheme, with September de-risking, net of contributions and payments]]/(1+Table2[Compounded discount rate A1])</f>
        <v>16.719846848326057</v>
      </c>
      <c r="CF72" s="17">
        <f>Table2[[#This Row],[Asset growth, ongoing scheme, with September de-risking, net of contributions and payments]]/(1+Table2[Compounded CPI])</f>
        <v>31.507852683406785</v>
      </c>
      <c r="CG72" s="17">
        <f>(CG71*((1+Table2[Discount rate B])^0.5)+Table2[Net cashflow (ongoing scheme)])*(1+Table2[Discount rate B])^0.5</f>
        <v>164.0043834471735</v>
      </c>
      <c r="CH72" s="17">
        <f>Table2[[#This Row],[Asset growth, ongoing scheme, no de-risking, net of contributions and payments]]/(1+Table2[Compounded discount rate B])</f>
        <v>24.156805089921935</v>
      </c>
      <c r="CI72" s="17">
        <f>Table2[[#This Row],[Asset growth, ongoing scheme, no de-risking, net of contributions and payments]]/(1+Table2[Compounded CPI])</f>
        <v>64.163937568321188</v>
      </c>
      <c r="CJ72" s="17">
        <f>(CJ71*((1+Table2[Discount rate E])^0.5)+Table2[Net cashflow (ongoing scheme)])*(1+Table2[Discount rate E])^0.5</f>
        <v>442.38764072038975</v>
      </c>
      <c r="CK72" s="17">
        <f>Table2[[#This Row],[Asset growth, ongoing scheme, best-estimates, no de-risking, net of contributions and payments ]]/(1+Table2[Compounded discount rate E])</f>
        <v>36.392508276917262</v>
      </c>
      <c r="CL72" s="17">
        <f>Table2[[#This Row],[Asset growth, ongoing scheme, best-estimates, no de-risking, net of contributions and payments ]]/(1+Table2[Compounded CPI])</f>
        <v>173.07667248615357</v>
      </c>
      <c r="CM72" s="9">
        <v>2.4899999999999999E-2</v>
      </c>
      <c r="CN72" s="11">
        <f>(1+Table2[[#This Row],[CPI]])*(1+CN71)-1</f>
        <v>1.5560211804729578</v>
      </c>
      <c r="CO72" s="11">
        <f>'Gilt yields'!B54</f>
        <v>1.6060000000000001E-2</v>
      </c>
      <c r="CP72" s="11">
        <f t="shared" si="15"/>
        <v>4.4899999999999995E-2</v>
      </c>
      <c r="CQ72" s="26">
        <f>(1+Table2[[#This Row],[Salary growth]])*(1+CQ71)-1</f>
        <v>5.3073651037791816</v>
      </c>
      <c r="CR72" s="15">
        <f t="shared" si="17"/>
        <v>25.560211804729573</v>
      </c>
      <c r="CS72" s="17">
        <f t="shared" si="18"/>
        <v>33.22827534614845</v>
      </c>
      <c r="CT72" s="17">
        <f>CT71*(1+Table2[[#This Row],[Salary growth]])</f>
        <v>63.073651037791834</v>
      </c>
      <c r="CU72" s="19">
        <f t="shared" si="19"/>
        <v>81.995746349129391</v>
      </c>
      <c r="CV72" s="112">
        <f>('Cash flows as at 31032017'!B57)/1000000000</f>
        <v>1.3390840100000001</v>
      </c>
      <c r="CW72" s="113">
        <v>0</v>
      </c>
      <c r="CX72" s="113">
        <f>Table2[[#This Row],[Annual contributions (closed scheme)]]-Table2[[#This Row],[Annual benefit payments (closed scheme)]]</f>
        <v>-1.3390840100000001</v>
      </c>
      <c r="CY72" s="113">
        <v>5.08</v>
      </c>
      <c r="CZ72" s="113">
        <v>0</v>
      </c>
      <c r="DA72" s="113">
        <v>-5.08</v>
      </c>
      <c r="DB72" s="17"/>
      <c r="DC72" s="84"/>
      <c r="DD72" s="84"/>
      <c r="DE72" s="84"/>
      <c r="DF72" s="84"/>
      <c r="DG72" s="84"/>
      <c r="DH72" s="84"/>
      <c r="DI72" s="84"/>
      <c r="DJ72" s="84"/>
      <c r="DK72" s="84"/>
      <c r="DL72" s="84"/>
      <c r="DM72" s="84"/>
      <c r="DN72" s="84"/>
      <c r="DO72" s="84"/>
      <c r="DP72" s="84"/>
      <c r="DQ72" s="84"/>
      <c r="DR72" s="84"/>
      <c r="DS72" s="84"/>
      <c r="DT72" s="84"/>
      <c r="DU72" s="84"/>
      <c r="DV72" s="84"/>
      <c r="DW72" s="84"/>
      <c r="DX72" s="84"/>
      <c r="DY72" s="84"/>
      <c r="DZ72" s="84"/>
      <c r="EA72" s="84"/>
      <c r="EB72" s="84"/>
      <c r="EC72" s="84"/>
      <c r="ED72" s="84"/>
      <c r="EE72" s="84"/>
      <c r="EF72" s="84"/>
      <c r="EG72" s="84"/>
      <c r="EH72" s="84"/>
      <c r="EI72" s="84"/>
      <c r="EJ72" s="84"/>
      <c r="EK72" s="84"/>
      <c r="EL72" s="84"/>
      <c r="EM72" s="84"/>
      <c r="EN72" s="84"/>
      <c r="EO72" s="84"/>
      <c r="EP72" s="84"/>
      <c r="EQ72" s="84"/>
      <c r="ER72" s="84"/>
      <c r="ES72" s="84"/>
      <c r="ET72" s="84"/>
      <c r="EU72" s="84"/>
      <c r="EV72" s="84"/>
      <c r="EW72" s="84"/>
      <c r="EX72" s="84"/>
      <c r="EY72" s="84"/>
    </row>
    <row r="73" spans="1:163" x14ac:dyDescent="0.2">
      <c r="A73" s="8">
        <v>2066</v>
      </c>
      <c r="B73" s="50"/>
      <c r="C73" s="50"/>
      <c r="D73" s="50"/>
      <c r="E73" s="35">
        <v>6.0999999999999999E-2</v>
      </c>
      <c r="F73" s="16">
        <f>F72*(1+Table2[[#This Row],[2008 discount rate]])</f>
        <v>1045.0423178655515</v>
      </c>
      <c r="G73" s="18">
        <v>6.0999999999999999E-2</v>
      </c>
      <c r="H73" s="16">
        <f>H72*(1+Table2[[#This Row],[2011 discount rate]])</f>
        <v>858.77530612865542</v>
      </c>
      <c r="I73" s="18">
        <v>5.1999999999999998E-2</v>
      </c>
      <c r="J73" s="16">
        <f>J72*(1+Table2[[#This Row],[2014 discount rate]])</f>
        <v>582.01438376475278</v>
      </c>
      <c r="K73" s="9">
        <v>4.3299999999999998E-2</v>
      </c>
      <c r="L73" s="18">
        <f t="shared" si="9"/>
        <v>4.0252788654517415</v>
      </c>
      <c r="M73" s="17">
        <f>Table2[[#This Row],[Annual benefit payments (closed scheme)]]/((1+L72)*(1+Table2[[#This Row],[Discount rate A1]])^0.5)+M72</f>
        <v>63.216014795861383</v>
      </c>
      <c r="N73" s="17">
        <f>N72*(1+Table2[Discount rate A1])</f>
        <v>326.25401246019442</v>
      </c>
      <c r="O73" s="17">
        <f>Table2[[#This Row],[Asset growth A1, under the assumption of full-funding at Year 0]]/(1+Table2[[#This Row],[Compounded CPI]])</f>
        <v>124.37041526014501</v>
      </c>
      <c r="P73" s="17">
        <f>(P72*((1+Table2[Discount rate A1])^0.5)-Table2[Annual benefit payments (closed scheme)])*(1+Table2[Discount rate A1])^0.5</f>
        <v>8.5759093484673734</v>
      </c>
      <c r="Q73" s="17">
        <f>Table2[[#This Row],[Asset growth A1 with benefit payments deducted]]/(1+Table2[Compounded CPI])</f>
        <v>3.2691993543907119</v>
      </c>
      <c r="R73" s="17">
        <f>Table2[[#This Row],[Asset growth A1 with benefit payments deducted]]/(1+Table2[Compounded discount rate A1])</f>
        <v>1.7065539203059634</v>
      </c>
      <c r="S73" s="9">
        <v>4.3300000000000005E-2</v>
      </c>
      <c r="T73" s="18">
        <f t="shared" si="20"/>
        <v>3.7730419644731059</v>
      </c>
      <c r="U73" s="17">
        <f>Table2[[#This Row],[Annual benefit payments (closed scheme)]]/((1+T72)*(1+Table2[[#This Row],[Discount rate A2]])^0.5)+U72</f>
        <v>65.7145673047998</v>
      </c>
      <c r="V73" s="17">
        <f>V72*(1+Table2[Discount rate A2])</f>
        <v>322.23429677146908</v>
      </c>
      <c r="W73" s="17">
        <f>Table2[[#This Row],[Asset growth A2, under the assumption of full-funding at Year 0]]/(1+Table2[Compounded CPI])</f>
        <v>122.83807024570481</v>
      </c>
      <c r="X73" s="17">
        <f>(X72*((1+Table2[Discount rate A2])^0.5)-Table2[Annual benefit payments (closed scheme)])*(1+Table2[Discount rate A2])^0.5</f>
        <v>8.5759093484674676</v>
      </c>
      <c r="Y73" s="17">
        <f>Table2[[#This Row],[Asset growth A2 with benefit payments deducted]]/(1+Table2[[#This Row],[Compounded CPI]])</f>
        <v>3.2691993543907478</v>
      </c>
      <c r="Z73" s="19">
        <f>Table2[[#This Row],[Asset growth A2 with benefit payments deducted]]/(1+Table2[Compounded discount rate A2])</f>
        <v>1.7967387281109226</v>
      </c>
      <c r="AA73" s="35">
        <f t="shared" si="16"/>
        <v>5.4300000000000001E-2</v>
      </c>
      <c r="AB73" s="18">
        <f t="shared" si="10"/>
        <v>6.1578100177035369</v>
      </c>
      <c r="AC73" s="17">
        <f>Table2[[#This Row],[Annual benefit payments (closed scheme)]]/((1+AB72)*(1+Table2[[#This Row],[Discount rate B]])^0.5)+AC72</f>
        <v>59.298185781532787</v>
      </c>
      <c r="AD73" s="16">
        <f>AD72*(1+Table2[Discount rate B])</f>
        <v>429.46860106221231</v>
      </c>
      <c r="AE73" s="16">
        <f>Table2[[#This Row],[Asset growth B]]/(1+Table2[Compounded CPI])</f>
        <v>163.71657118490683</v>
      </c>
      <c r="AF73" s="17">
        <f>(AF72*((1+Table2[Discount rate B])^0.5)-Table2[Annual benefit payments (closed scheme)])*(1+Table2[Discount rate B])^0.5</f>
        <v>5.023452843511417</v>
      </c>
      <c r="AG73" s="17">
        <f>Table2[[#This Row],[Asset growth B with benefit payments deducted]]/(1+Table2[Compounded CPI])</f>
        <v>1.9149769576044615</v>
      </c>
      <c r="AH73" s="19">
        <f>Table2[[#This Row],[Asset growth B with benefit payments deducted]]/(1+Table2[Compounded discount rate B])</f>
        <v>0.70181421846721592</v>
      </c>
      <c r="AI73" s="11">
        <f>Table2[CPI]+2.56%</f>
        <v>5.1900000000000002E-2</v>
      </c>
      <c r="AJ73" s="18">
        <f t="shared" si="11"/>
        <v>7.1394832328442579</v>
      </c>
      <c r="AK73" s="17">
        <f>Table2[[#This Row],[Annual benefit payments (closed scheme)]]/((1+AJ72)*(1+Table2[[#This Row],[Discount rate C]])^0.5)+AK72</f>
        <v>51.348116242067185</v>
      </c>
      <c r="AL73" s="17">
        <f>AL72*(1+Table2[Discount rate C])</f>
        <v>488.36899397065537</v>
      </c>
      <c r="AM73" s="17">
        <f>Table2[[#This Row],[Asset growth C]]/(1+Table2[Compounded CPI])</f>
        <v>186.16983166673012</v>
      </c>
      <c r="AN73" s="17">
        <f>(AN72*((1+Table2[Discount rate C])^0.5)-Table2[Annual benefit payments (closed scheme)])*(1+Table2[Discount rate C])^0.5</f>
        <v>70.421862780211413</v>
      </c>
      <c r="AO73" s="17">
        <f>Table2[[#This Row],[Asset growth C with benefit payments deducted]]/(1+Table2[Compounded CPI])</f>
        <v>26.8453290469077</v>
      </c>
      <c r="AP73" s="19">
        <f>Table2[[#This Row],[Asset growth C with benefit payments deducted]]/(1+Table2[Compounded discount rate C])</f>
        <v>8.6518837579327776</v>
      </c>
      <c r="AQ73" s="11">
        <f>Table2[CPI]+2.56%</f>
        <v>5.1900000000000002E-2</v>
      </c>
      <c r="AR73" s="18">
        <f t="shared" si="12"/>
        <v>6.6191026621154778</v>
      </c>
      <c r="AS73" s="17">
        <f>Table2[[#This Row],[Annual benefit payments (closed scheme)]]/((1+AR72)*(1+Table2[[#This Row],[Discount rate D]])^0.5)+AS72</f>
        <v>53.77894609541498</v>
      </c>
      <c r="AT73" s="16">
        <f>AT72*(1+Table2[Discount rate D])</f>
        <v>457.14615972692854</v>
      </c>
      <c r="AU73" s="17">
        <f>Table2[[#This Row],[Asset growth D]]/(1+Table2[Compounded CPI])</f>
        <v>174.26745893816556</v>
      </c>
      <c r="AV73" s="17">
        <f>(AV72*((1+Table2[Discount rate D])^0.5)-Table2[Annual benefit payments (closed scheme)])*(1+Table2[Discount rate D])^0.5</f>
        <v>47.398848365587753</v>
      </c>
      <c r="AW73" s="17">
        <f>Table2[[#This Row],[Asset growth D with benefit payments deducted]]/(1+Table2[Compounded CPI])</f>
        <v>18.068787597823132</v>
      </c>
      <c r="AX73" s="19">
        <f>Table2[[#This Row],[Asset growth D with benefit payments deducted]]/(1+Table2[Compounded discount rate D])</f>
        <v>6.2210539045850384</v>
      </c>
      <c r="AY73" s="11">
        <f>Table2[CPI]+4%</f>
        <v>6.6299999999999998E-2</v>
      </c>
      <c r="AZ73" s="18">
        <f t="shared" si="13"/>
        <v>11.961951886106981</v>
      </c>
      <c r="BA73" s="17">
        <f>Table2[[#This Row],[Annual benefit payments (closed scheme)]]/((1+AZ72)*(1+Table2[[#This Row],[Discount rate E]])^0.5)+BA72</f>
        <v>47.711528605372543</v>
      </c>
      <c r="BB73" s="17">
        <f>BB72*(1+Table2[Discount rate E])</f>
        <v>777.71711316641961</v>
      </c>
      <c r="BC73" s="16">
        <f>Table2[[#This Row],[Asset growth E]]/(1+Table2[Compounded CPI])</f>
        <v>296.47145054263513</v>
      </c>
      <c r="BD73" s="17">
        <f>(BD72*((1+Table2[Discount rate E])^0.5)-Table2[Annual benefit payments (closed scheme)])*(1+Table2[Discount rate E])^0.5</f>
        <v>159.2825749709634</v>
      </c>
      <c r="BE73" s="17">
        <f>Table2[[#This Row],[Asset growth E with benefit payments deducted]]/(1+Table2[Compounded CPI])</f>
        <v>60.719682321948085</v>
      </c>
      <c r="BF73" s="19">
        <f>Table2[[#This Row],[Asset growth E with benefit payments deducted]]/(1+Table2[Compounded discount rate E])</f>
        <v>12.288471394627484</v>
      </c>
      <c r="BG73" s="11">
        <f>Table2[[#This Row],[Long-dated forward gilt yields]]+0.75%</f>
        <v>2.4590000000000001E-2</v>
      </c>
      <c r="BH73" s="11">
        <f t="shared" si="14"/>
        <v>2.0075004984581248</v>
      </c>
      <c r="BI73" s="17">
        <f>((Table2[[#This Row],[Annual benefit payments (closed scheme)]])*1.005^(Table2[[#This Row],[Year]]-2018))/((1+BH72)*(1+Table2[[#This Row],[Discount rate F]])^0.5)+BI72</f>
        <v>78.151517222461635</v>
      </c>
      <c r="BJ73" s="17">
        <f>BJ72*(1+Table2[Discount rate F])</f>
        <v>247.64810182910259</v>
      </c>
      <c r="BK73" s="17">
        <f>Table2[[#This Row],[Asset growth F, under the assumption of full-funding at Year 0]]/(1+Table2[[#This Row],[Compounded CPI]])</f>
        <v>94.405267327187346</v>
      </c>
      <c r="BL73" s="17">
        <f>(BL72*((1+Table2[Discount rate F])^0.5)-Table2[Annual benefit payments (closed scheme)]*1.005^(Table2[Year]-2018))*(1+Table2[Discount rate F])^0.5</f>
        <v>12.607374827290361</v>
      </c>
      <c r="BM73" s="17">
        <f>Table2[[#This Row],[Asset growth F with benefit payments deducted]]/(1+Table2[Compounded CPI])</f>
        <v>4.8060234747356789</v>
      </c>
      <c r="BN73" s="19">
        <f>Table2[[#This Row],[Asset growth F with benefit payments deducted]]/(1+Table2[Compounded discount rate F])</f>
        <v>4.191977635167099</v>
      </c>
      <c r="BO73" s="18">
        <f>(1+BO72)*(1+Table2[Discount rate A2])-1</f>
        <v>1.6843839103176266</v>
      </c>
      <c r="BP73" s="17">
        <f>Table2[[#This Row],[Annual benefit payments (ongoing scheme)]]/((1+BO72)*(1+Table2[[#This Row],[Discount rate A2]])^0.5)+BP72</f>
        <v>88.553542570130077</v>
      </c>
      <c r="BQ73" s="17">
        <f>(BQ72*((1+Table2[Discount rate A2])^0.5)-Table2[Annual benefit payments (ongoing scheme)])*(1+Table2[Discount rate A2])^0.5</f>
        <v>64.306109386027089</v>
      </c>
      <c r="BR73" s="18">
        <f>(1+BR72)*(1+Table2[Discount rate B])-1</f>
        <v>2.6478870940415171</v>
      </c>
      <c r="BS73" s="17">
        <f>Table2[[#This Row],[Annual benefit payments (ongoing scheme)]]/((1+BR72)*(1+Table2[[#This Row],[Discount rate B]])^0.5)+BS72</f>
        <v>77.575587611199609</v>
      </c>
      <c r="BT73" s="18">
        <f>(1+BT72)*(1+Table2[Discount rate E])-1</f>
        <v>4.0787653364006555</v>
      </c>
      <c r="BU73" s="17">
        <f>Table2[[#This Row],[Annual benefit payments (ongoing scheme)]]/((1+BT72)*(1+Table2[[#This Row],[Discount rate E]])^0.5)+BU72</f>
        <v>67.79715371422256</v>
      </c>
      <c r="BV73" s="18">
        <f>Table2[CPI]+0.75%+0.75%</f>
        <v>4.1299999999999996E-2</v>
      </c>
      <c r="BW73" s="18">
        <f>(1+BW72)*(1+Table2[Self-sufficiency discount rate, from 2037])-1</f>
        <v>1.5379026352237606</v>
      </c>
      <c r="BX73" s="17">
        <f>(Table2[[#This Row],[Annual benefit payments (ongoing scheme)]]*1.005^(Table2[[#This Row],[Year]]-2038))/((1+BW72)*(1+Table2[[#This Row],[Self-sufficiency discount rate, from 2037]])^0.5)+BX72</f>
        <v>96.712765663249414</v>
      </c>
      <c r="BY73" s="17">
        <f>(BY72*((1+Table2[Self-sufficiency discount rate, from 2037])^0.5)-Table2[Annual benefit payments (ongoing scheme)]*1.005^(Table2[Year]-2038))*(1+Table2[Self-sufficiency discount rate, from 2037])^0.5</f>
        <v>79.532173001600185</v>
      </c>
      <c r="BZ73" s="17">
        <f>(BZ72*((1+Table2[Discount rate B])^0.5)-Table2[Annual benefit payments (ongoing scheme)])*(1+Table2[Discount rate B])^0.5</f>
        <v>58.137670468039857</v>
      </c>
      <c r="CA73" s="17">
        <f>(CA72*((1+Table2[Discount rate A2])^0.5)+Table2[Net cashflow (ongoing scheme)])*(1+Table2[Discount rate A2])^0.5</f>
        <v>63.417671568534949</v>
      </c>
      <c r="CB73" s="17">
        <f>Table2[[#This Row],[Asset growth, ongoing scheme, with November de-risking, net of contributions and payments]]/(1+Table2[Compounded discount rate A2])</f>
        <v>13.28663607832654</v>
      </c>
      <c r="CC73" s="17">
        <f>Table2[[#This Row],[Asset growth, ongoing scheme, with November de-risking, net of contributions and payments]]/(1+Table2[Compounded CPI])</f>
        <v>24.175280139343865</v>
      </c>
      <c r="CD73" s="17">
        <f>(CD72*((1+Table2[Discount rate A1])^0.5)+Table2[Net cashflow (ongoing scheme)])*(1+Table2[Discount rate A1])^0.5</f>
        <v>78.833076457185143</v>
      </c>
      <c r="CE73" s="17">
        <f>Table2[[#This Row],[Asset growth, ongoing scheme, with September de-risking, net of contributions and payments]]/(1+Table2[Compounded discount rate A1])</f>
        <v>15.68730384280844</v>
      </c>
      <c r="CF73" s="17">
        <f>Table2[[#This Row],[Asset growth, ongoing scheme, with September de-risking, net of contributions and payments]]/(1+Table2[Compounded CPI])</f>
        <v>30.051745206999115</v>
      </c>
      <c r="CG73" s="17">
        <f>(CG72*((1+Table2[Discount rate B])^0.5)+Table2[Net cashflow (ongoing scheme)])*(1+Table2[Discount rate B])^0.5</f>
        <v>167.69372258892415</v>
      </c>
      <c r="CH73" s="17">
        <f>Table2[[#This Row],[Asset growth, ongoing scheme, no de-risking, net of contributions and payments]]/(1+Table2[Compounded discount rate B])</f>
        <v>23.428076768475879</v>
      </c>
      <c r="CI73" s="17">
        <f>Table2[[#This Row],[Asset growth, ongoing scheme, no de-risking, net of contributions and payments]]/(1+Table2[Compounded CPI])</f>
        <v>63.926073299860704</v>
      </c>
      <c r="CJ73" s="17">
        <f>(CJ72*((1+Table2[Discount rate E])^0.5)+Table2[Net cashflow (ongoing scheme)])*(1+Table2[Discount rate E])^0.5</f>
        <v>466.47224169762006</v>
      </c>
      <c r="CK73" s="17">
        <f>Table2[[#This Row],[Asset growth, ongoing scheme, best-estimates, no de-risking, net of contributions and payments ]]/(1+Table2[Compounded discount rate E])</f>
        <v>35.987808456348262</v>
      </c>
      <c r="CL73" s="17">
        <f>Table2[[#This Row],[Asset growth, ongoing scheme, best-estimates, no de-risking, net of contributions and payments ]]/(1+Table2[Compounded CPI])</f>
        <v>177.82262958173447</v>
      </c>
      <c r="CM73" s="9">
        <v>2.63E-2</v>
      </c>
      <c r="CN73" s="11">
        <f>(1+Table2[[#This Row],[CPI]])*(1+CN72)-1</f>
        <v>1.6232445375193967</v>
      </c>
      <c r="CO73" s="11">
        <f>'Gilt yields'!B55</f>
        <v>1.7090000000000001E-2</v>
      </c>
      <c r="CP73" s="11">
        <f t="shared" si="15"/>
        <v>4.6300000000000001E-2</v>
      </c>
      <c r="CQ73" s="26">
        <f>(1+Table2[[#This Row],[Salary growth]])*(1+CQ72)-1</f>
        <v>5.5993961080841581</v>
      </c>
      <c r="CR73" s="15">
        <f t="shared" si="17"/>
        <v>26.232445375193961</v>
      </c>
      <c r="CS73" s="17">
        <f t="shared" si="18"/>
        <v>34.102178987752154</v>
      </c>
      <c r="CT73" s="17">
        <f>CT72*(1+Table2[[#This Row],[Salary growth]])</f>
        <v>65.993961080841601</v>
      </c>
      <c r="CU73" s="19">
        <f t="shared" si="19"/>
        <v>85.792149405094079</v>
      </c>
      <c r="CV73" s="112">
        <f>('Cash flows as at 31032017'!B58)/1000000000</f>
        <v>1.2563772129999999</v>
      </c>
      <c r="CW73" s="113">
        <v>0</v>
      </c>
      <c r="CX73" s="113">
        <f>Table2[[#This Row],[Annual contributions (closed scheme)]]-Table2[[#This Row],[Annual benefit payments (closed scheme)]]</f>
        <v>-1.2563772129999999</v>
      </c>
      <c r="CY73" s="113">
        <v>5.08</v>
      </c>
      <c r="CZ73" s="113">
        <v>0</v>
      </c>
      <c r="DA73" s="113">
        <v>-5.08</v>
      </c>
      <c r="DB73" s="17"/>
      <c r="DC73" s="84"/>
      <c r="DD73" s="84"/>
      <c r="DE73" s="84"/>
      <c r="DF73" s="84"/>
      <c r="DG73" s="84"/>
      <c r="DH73" s="84"/>
      <c r="DI73" s="84"/>
      <c r="DJ73" s="84"/>
      <c r="DK73" s="84"/>
      <c r="DL73" s="84"/>
      <c r="DM73" s="84"/>
      <c r="DN73" s="84"/>
      <c r="DO73" s="84"/>
      <c r="DP73" s="84"/>
      <c r="DQ73" s="84"/>
      <c r="DR73" s="84"/>
      <c r="DS73" s="84"/>
      <c r="DT73" s="84"/>
      <c r="DU73" s="84"/>
      <c r="DV73" s="84"/>
      <c r="DW73" s="84"/>
      <c r="DX73" s="84"/>
      <c r="DY73" s="84"/>
      <c r="DZ73" s="84"/>
      <c r="EA73" s="84"/>
      <c r="EB73" s="84"/>
      <c r="EC73" s="84"/>
      <c r="ED73" s="84"/>
      <c r="EE73" s="84"/>
      <c r="EF73" s="84"/>
      <c r="EG73" s="84"/>
      <c r="EH73" s="84"/>
      <c r="EI73" s="84"/>
      <c r="EJ73" s="84"/>
      <c r="EK73" s="84"/>
      <c r="EL73" s="84"/>
      <c r="EM73" s="84"/>
      <c r="EN73" s="84"/>
      <c r="EO73" s="84"/>
      <c r="EP73" s="84"/>
      <c r="EQ73" s="84"/>
      <c r="ER73" s="84"/>
      <c r="ES73" s="84"/>
      <c r="ET73" s="84"/>
      <c r="EU73" s="84"/>
      <c r="EV73" s="84"/>
      <c r="EW73" s="84"/>
      <c r="EX73" s="84"/>
      <c r="EY73" s="84"/>
      <c r="EZ73" s="84"/>
    </row>
    <row r="74" spans="1:163" x14ac:dyDescent="0.2">
      <c r="A74" s="52">
        <v>2067</v>
      </c>
      <c r="B74" s="51"/>
      <c r="C74" s="51"/>
      <c r="D74" s="51"/>
      <c r="E74" s="37">
        <v>6.0999999999999999E-2</v>
      </c>
      <c r="F74" s="31">
        <f>F73*(1+Table2[[#This Row],[2008 discount rate]])</f>
        <v>1108.7898992553501</v>
      </c>
      <c r="G74" s="28">
        <v>6.0999999999999999E-2</v>
      </c>
      <c r="H74" s="31">
        <f>H73*(1+Table2[[#This Row],[2011 discount rate]])</f>
        <v>911.16059980250338</v>
      </c>
      <c r="I74" s="28">
        <v>5.1999999999999998E-2</v>
      </c>
      <c r="J74" s="31">
        <f>J73*(1+Table2[[#This Row],[2014 discount rate]])</f>
        <v>612.2791317205199</v>
      </c>
      <c r="K74" s="30">
        <v>4.4699999999999997E-2</v>
      </c>
      <c r="L74" s="28">
        <f t="shared" si="9"/>
        <v>4.249908830737434</v>
      </c>
      <c r="M74" s="29">
        <f>Table2[[#This Row],[Annual benefit payments (closed scheme)]]/((1+L73)*(1+Table2[[#This Row],[Discount rate A1]])^0.5)+M73</f>
        <v>63.44491959341557</v>
      </c>
      <c r="N74" s="29">
        <f>N73*(1+Table2[Discount rate A1])</f>
        <v>340.83756681716511</v>
      </c>
      <c r="O74" s="29">
        <f>Table2[[#This Row],[Asset growth A1, under the assumption of full-funding at Year 0]]/(1+Table2[[#This Row],[Compounded CPI]])</f>
        <v>126.42772484409214</v>
      </c>
      <c r="P74" s="29">
        <f>(P73*((1+Table2[Discount rate A1])^0.5)-Table2[Annual benefit payments (closed scheme)])*(1+Table2[Discount rate A1])^0.5</f>
        <v>7.757523178265969</v>
      </c>
      <c r="Q74" s="29">
        <f>Table2[[#This Row],[Asset growth A1 with benefit payments deducted]]/(1+Table2[Compounded CPI])</f>
        <v>2.8775173318250671</v>
      </c>
      <c r="R74" s="29">
        <f>Table2[[#This Row],[Asset growth A1 with benefit payments deducted]]/(1+Table2[Compounded discount rate A1])</f>
        <v>1.4776491227517756</v>
      </c>
      <c r="S74" s="30">
        <v>4.4700000000000004E-2</v>
      </c>
      <c r="T74" s="28">
        <f t="shared" si="20"/>
        <v>3.9863969402850534</v>
      </c>
      <c r="U74" s="29">
        <f>Table2[[#This Row],[Annual benefit payments (closed scheme)]]/((1+T73)*(1+Table2[[#This Row],[Discount rate A2]])^0.5)+U73</f>
        <v>65.955568840070512</v>
      </c>
      <c r="V74" s="29">
        <f>V73*(1+Table2[Discount rate A2])</f>
        <v>336.63816983715373</v>
      </c>
      <c r="W74" s="29">
        <f>Table2[[#This Row],[Asset growth A2, under the assumption of full-funding at Year 0]]/(1+Table2[Compounded CPI])</f>
        <v>124.87003209661165</v>
      </c>
      <c r="X74" s="29">
        <f>(X73*((1+Table2[Discount rate A2])^0.5)-Table2[Annual benefit payments (closed scheme)])*(1+Table2[Discount rate A2])^0.5</f>
        <v>7.7575231782660667</v>
      </c>
      <c r="Y74" s="29">
        <f>Table2[[#This Row],[Asset growth A2 with benefit payments deducted]]/(1+Table2[[#This Row],[Compounded CPI]])</f>
        <v>2.8775173318251035</v>
      </c>
      <c r="Z74" s="34">
        <f>Table2[[#This Row],[Asset growth A2 with benefit payments deducted]]/(1+Table2[Compounded discount rate A2])</f>
        <v>1.5557371928402071</v>
      </c>
      <c r="AA74" s="37">
        <f t="shared" si="16"/>
        <v>5.57E-2</v>
      </c>
      <c r="AB74" s="28">
        <f t="shared" si="10"/>
        <v>6.5565000356896244</v>
      </c>
      <c r="AC74" s="29">
        <f>Table2[[#This Row],[Annual benefit payments (closed scheme)]]/((1+AB73)*(1+Table2[[#This Row],[Discount rate B]])^0.5)+AC73</f>
        <v>59.458053372731577</v>
      </c>
      <c r="AD74" s="31">
        <f>AD73*(1+Table2[Discount rate B])</f>
        <v>453.39000214137758</v>
      </c>
      <c r="AE74" s="31">
        <f>Table2[[#This Row],[Asset growth B]]/(1+Table2[Compounded CPI])</f>
        <v>168.17707910859798</v>
      </c>
      <c r="AF74" s="29">
        <f>(AF73*((1+Table2[Discount rate B])^0.5)-Table2[Annual benefit payments (closed scheme)])*(1+Table2[Discount rate B])^0.5</f>
        <v>4.0952197082957253</v>
      </c>
      <c r="AG74" s="29">
        <f>Table2[[#This Row],[Asset growth B with benefit payments deducted]]/(1+Table2[Compounded CPI])</f>
        <v>1.5190500134459959</v>
      </c>
      <c r="AH74" s="34">
        <f>Table2[[#This Row],[Asset growth B with benefit payments deducted]]/(1+Table2[Compounded discount rate B])</f>
        <v>0.54194662726842502</v>
      </c>
      <c r="AI74" s="27">
        <f>Table2[CPI]+2.56%</f>
        <v>5.33E-2</v>
      </c>
      <c r="AJ74" s="28">
        <f t="shared" si="11"/>
        <v>7.5733176891548553</v>
      </c>
      <c r="AK74" s="29">
        <f>Table2[[#This Row],[Annual benefit payments (closed scheme)]]/((1+AJ73)*(1+Table2[[#This Row],[Discount rate C]])^0.5)+AK73</f>
        <v>51.488862865348729</v>
      </c>
      <c r="AL74" s="29">
        <f>AL73*(1+Table2[Discount rate C])</f>
        <v>514.39906134929129</v>
      </c>
      <c r="AM74" s="29">
        <f>Table2[[#This Row],[Asset growth C]]/(1+Table2[Compounded CPI])</f>
        <v>190.80732090548489</v>
      </c>
      <c r="AN74" s="29">
        <f>(AN73*((1+Table2[Discount rate C])^0.5)-Table2[Annual benefit payments (closed scheme)])*(1+Table2[Discount rate C])^0.5</f>
        <v>72.9686825513282</v>
      </c>
      <c r="AO74" s="29">
        <f>Table2[[#This Row],[Asset growth C with benefit payments deducted]]/(1+Table2[Compounded CPI])</f>
        <v>27.066454575366453</v>
      </c>
      <c r="AP74" s="34">
        <f>Table2[[#This Row],[Asset growth C with benefit payments deducted]]/(1+Table2[Compounded discount rate C])</f>
        <v>8.5111371346512339</v>
      </c>
      <c r="AQ74" s="27">
        <f>Table2[CPI]+2.56%</f>
        <v>5.33E-2</v>
      </c>
      <c r="AR74" s="28">
        <f t="shared" si="12"/>
        <v>7.0252008340062329</v>
      </c>
      <c r="AS74" s="29">
        <f>Table2[[#This Row],[Annual benefit payments (closed scheme)]]/((1+AR73)*(1+Table2[[#This Row],[Discount rate D]])^0.5)+AS73</f>
        <v>53.929305636568806</v>
      </c>
      <c r="AT74" s="31">
        <f>AT73*(1+Table2[Discount rate D])</f>
        <v>481.51205004037377</v>
      </c>
      <c r="AU74" s="29">
        <f>Table2[[#This Row],[Asset growth D]]/(1+Table2[Compounded CPI])</f>
        <v>178.60846015332268</v>
      </c>
      <c r="AV74" s="29">
        <f>(AV73*((1+Table2[Discount rate D])^0.5)-Table2[Annual benefit payments (closed scheme)])*(1+Table2[Discount rate D])^0.5</f>
        <v>48.718541468405114</v>
      </c>
      <c r="AW74" s="29">
        <f>Table2[[#This Row],[Asset growth D with benefit payments deducted]]/(1+Table2[Compounded CPI])</f>
        <v>18.071289538565086</v>
      </c>
      <c r="AX74" s="34">
        <f>Table2[[#This Row],[Asset growth D with benefit payments deducted]]/(1+Table2[Compounded discount rate D])</f>
        <v>6.0706943634312136</v>
      </c>
      <c r="AY74" s="27">
        <f>Table2[CPI]+4%</f>
        <v>6.7699999999999996E-2</v>
      </c>
      <c r="AZ74" s="28">
        <f t="shared" si="13"/>
        <v>12.839476028796424</v>
      </c>
      <c r="BA74" s="29">
        <f>Table2[[#This Row],[Annual benefit payments (closed scheme)]]/((1+AZ73)*(1+Table2[[#This Row],[Discount rate E]])^0.5)+BA73</f>
        <v>47.799312699695506</v>
      </c>
      <c r="BB74" s="29">
        <f>BB73*(1+Table2[Discount rate E])</f>
        <v>830.3685617277863</v>
      </c>
      <c r="BC74" s="31">
        <f>Table2[[#This Row],[Asset growth E]]/(1+Table2[Compounded CPI])</f>
        <v>308.01067212646836</v>
      </c>
      <c r="BD74" s="29">
        <f>(BD73*((1+Table2[Discount rate E])^0.5)-Table2[Annual benefit payments (closed scheme)])*(1+Table2[Discount rate E])^0.5</f>
        <v>168.85111942740539</v>
      </c>
      <c r="BE74" s="29">
        <f>Table2[[#This Row],[Asset growth E with benefit payments deducted]]/(1+Table2[Compounded CPI])</f>
        <v>62.632364929527647</v>
      </c>
      <c r="BF74" s="34">
        <f>Table2[[#This Row],[Asset growth E with benefit payments deducted]]/(1+Table2[Compounded discount rate E])</f>
        <v>12.200687300304523</v>
      </c>
      <c r="BG74" s="27">
        <f>Table2[[#This Row],[Long-dated forward gilt yields]]+0.75%</f>
        <v>2.5600000000000001E-2</v>
      </c>
      <c r="BH74" s="27">
        <f t="shared" si="14"/>
        <v>2.0844925112186532</v>
      </c>
      <c r="BI74" s="29">
        <f>((Table2[[#This Row],[Annual benefit payments (closed scheme)]])*1.005^(Table2[[#This Row],[Year]]-2018))/((1+BH73)*(1+Table2[[#This Row],[Discount rate F]])^0.5)+BI73</f>
        <v>78.644410813566267</v>
      </c>
      <c r="BJ74" s="29">
        <f>BJ73*(1+Table2[Discount rate F])</f>
        <v>253.98789323592763</v>
      </c>
      <c r="BK74" s="29">
        <f>Table2[[#This Row],[Asset growth F, under the assumption of full-funding at Year 0]]/(1+Table2[[#This Row],[Compounded CPI]])</f>
        <v>94.212359804187358</v>
      </c>
      <c r="BL74" s="29">
        <f>(BL73*((1+Table2[Discount rate F])^0.5)-Table2[Annual benefit payments (closed scheme)]*1.005^(Table2[Year]-2018))*(1+Table2[Discount rate F])^0.5</f>
        <v>11.409797032279073</v>
      </c>
      <c r="BM74" s="29">
        <f>Table2[[#This Row],[Asset growth F with benefit payments deducted]]/(1+Table2[Compounded CPI])</f>
        <v>4.2322643398570063</v>
      </c>
      <c r="BN74" s="34">
        <f>Table2[[#This Row],[Asset growth F with benefit payments deducted]]/(1+Table2[Compounded discount rate F])</f>
        <v>3.6990840440624613</v>
      </c>
      <c r="BO74" s="28">
        <f>(1+BO73)*(1+Table2[Discount rate A2])-1</f>
        <v>1.8043758711088245</v>
      </c>
      <c r="BP74" s="29">
        <f>Table2[[#This Row],[Annual benefit payments (ongoing scheme)]]/((1+BO73)*(1+Table2[[#This Row],[Discount rate A2]])^0.5)+BP73</f>
        <v>90.397751380326298</v>
      </c>
      <c r="BQ74" s="29">
        <f>(BQ73*((1+Table2[Discount rate A2])^0.5)-Table2[Annual benefit payments (ongoing scheme)])*(1+Table2[Discount rate A2])^0.5</f>
        <v>62.008737786981889</v>
      </c>
      <c r="BR74" s="28">
        <f>(1+BR73)*(1+Table2[Discount rate B])-1</f>
        <v>2.85107440517963</v>
      </c>
      <c r="BS74" s="29">
        <f>Table2[[#This Row],[Annual benefit payments (ongoing scheme)]]/((1+BR73)*(1+Table2[[#This Row],[Discount rate B]])^0.5)+BS73</f>
        <v>78.925603463272708</v>
      </c>
      <c r="BT74" s="28">
        <f>(1+BT73)*(1+Table2[Discount rate E])-1</f>
        <v>4.4225977496749804</v>
      </c>
      <c r="BU74" s="29">
        <f>Table2[[#This Row],[Annual benefit payments (ongoing scheme)]]/((1+BT73)*(1+Table2[[#This Row],[Discount rate E]])^0.5)+BU73</f>
        <v>68.761355094161658</v>
      </c>
      <c r="BV74" s="28">
        <f>Table2[CPI]+0.75%+0.75%</f>
        <v>4.2699999999999995E-2</v>
      </c>
      <c r="BW74" s="28">
        <f>(1+BW73)*(1+Table2[Self-sufficiency discount rate, from 2037])-1</f>
        <v>1.6462710777478149</v>
      </c>
      <c r="BX74" s="29">
        <f>(Table2[[#This Row],[Annual benefit payments (ongoing scheme)]]*1.005^(Table2[[#This Row],[Year]]-2038))/((1+BW73)*(1+Table2[[#This Row],[Self-sufficiency discount rate, from 2037]])^0.5)+BX73</f>
        <v>98.969142664036639</v>
      </c>
      <c r="BY74" s="29">
        <f>(BY73*((1+Table2[Self-sufficiency discount rate, from 2037])^0.5)-Table2[Annual benefit payments (ongoing scheme)]*1.005^(Table2[Year]-2038))*(1+Table2[Self-sufficiency discount rate, from 2037])^0.5</f>
        <v>76.957211591089902</v>
      </c>
      <c r="BZ74" s="29">
        <f>(BZ73*((1+Table2[Discount rate B])^0.5)-Table2[Annual benefit payments (ongoing scheme)])*(1+Table2[Discount rate B])^0.5</f>
        <v>56.176927218604199</v>
      </c>
      <c r="CA74" s="29">
        <f>(CA73*((1+Table2[Discount rate A2])^0.5)+Table2[Net cashflow (ongoing scheme)])*(1+Table2[Discount rate A2])^0.5</f>
        <v>61.08058679904785</v>
      </c>
      <c r="CB74" s="29">
        <f>Table2[[#This Row],[Asset growth, ongoing scheme, with November de-risking, net of contributions and payments]]/(1+Table2[Compounded discount rate A2])</f>
        <v>12.249443341659861</v>
      </c>
      <c r="CC74" s="29">
        <f>Table2[[#This Row],[Asset growth, ongoing scheme, with November de-risking, net of contributions and payments]]/(1+Table2[Compounded CPI])</f>
        <v>22.65677370384514</v>
      </c>
      <c r="CD74" s="29">
        <f>(CD73*((1+Table2[Discount rate A1])^0.5)+Table2[Net cashflow (ongoing scheme)])*(1+Table2[Discount rate A1])^0.5</f>
        <v>77.185060286220718</v>
      </c>
      <c r="CE74" s="29">
        <f>Table2[[#This Row],[Asset growth, ongoing scheme, with September de-risking, net of contributions and payments]]/(1+Table2[Compounded discount rate A1])</f>
        <v>14.702171556639934</v>
      </c>
      <c r="CF74" s="29">
        <f>Table2[[#This Row],[Asset growth, ongoing scheme, with September de-risking, net of contributions and payments]]/(1+Table2[Compounded CPI])</f>
        <v>28.630446036412472</v>
      </c>
      <c r="CG74" s="29">
        <f>(CG73*((1+Table2[Discount rate B])^0.5)+Table2[Net cashflow (ongoing scheme)])*(1+Table2[Discount rate B])^0.5</f>
        <v>171.83525144262171</v>
      </c>
      <c r="CH74" s="29">
        <f>Table2[[#This Row],[Asset growth, ongoing scheme, no de-risking, net of contributions and payments]]/(1+Table2[Compounded discount rate B])</f>
        <v>22.740058311524855</v>
      </c>
      <c r="CI74" s="29">
        <f>Table2[[#This Row],[Asset growth, ongoing scheme, no de-risking, net of contributions and payments]]/(1+Table2[Compounded CPI])</f>
        <v>63.739276426524093</v>
      </c>
      <c r="CJ74" s="29">
        <f>(CJ73*((1+Table2[Discount rate E])^0.5)+Table2[Net cashflow (ongoing scheme)])*(1+Table2[Discount rate E])^0.5</f>
        <v>492.82393622745764</v>
      </c>
      <c r="CK74" s="29">
        <f>Table2[[#This Row],[Asset growth, ongoing scheme, best-estimates, no de-risking, net of contributions and payments ]]/(1+Table2[Compounded discount rate E])</f>
        <v>35.610014078713426</v>
      </c>
      <c r="CL74" s="29">
        <f>Table2[[#This Row],[Asset growth, ongoing scheme, best-estimates, no de-risking, net of contributions and payments ]]/(1+Table2[Compounded CPI])</f>
        <v>182.80440618029186</v>
      </c>
      <c r="CM74" s="30">
        <v>2.7699999999999999E-2</v>
      </c>
      <c r="CN74" s="27">
        <f>(1+Table2[[#This Row],[CPI]])*(1+CN73)-1</f>
        <v>1.6959084112086842</v>
      </c>
      <c r="CO74" s="27">
        <f>'Gilt yields'!B56</f>
        <v>1.8100000000000002E-2</v>
      </c>
      <c r="CP74" s="27">
        <f t="shared" si="15"/>
        <v>4.7699999999999999E-2</v>
      </c>
      <c r="CQ74" s="32">
        <f>(1+Table2[[#This Row],[Salary growth]])*(1+CQ73)-1</f>
        <v>5.9141873024397729</v>
      </c>
      <c r="CR74" s="33">
        <f t="shared" si="17"/>
        <v>26.959084112086835</v>
      </c>
      <c r="CS74" s="29">
        <f t="shared" si="18"/>
        <v>35.046809345712887</v>
      </c>
      <c r="CT74" s="29">
        <f>CT73*(1+Table2[[#This Row],[Salary growth]])</f>
        <v>69.141873024397754</v>
      </c>
      <c r="CU74" s="34">
        <f t="shared" si="19"/>
        <v>89.884434931717067</v>
      </c>
      <c r="CV74" s="114">
        <f>('Cash flows as at 31032017'!B59)/1000000000</f>
        <v>1.175738824</v>
      </c>
      <c r="CW74" s="115">
        <v>0</v>
      </c>
      <c r="CX74" s="115">
        <f>Table2[[#This Row],[Annual contributions (closed scheme)]]-Table2[[#This Row],[Annual benefit payments (closed scheme)]]</f>
        <v>-1.175738824</v>
      </c>
      <c r="CY74" s="115">
        <v>5.0599999999999996</v>
      </c>
      <c r="CZ74" s="115">
        <v>0</v>
      </c>
      <c r="DA74" s="115">
        <v>-5.0599999999999996</v>
      </c>
      <c r="DB74" s="17"/>
      <c r="DC74" s="84"/>
      <c r="DD74" s="84"/>
      <c r="DE74" s="84"/>
      <c r="DF74" s="84"/>
      <c r="DG74" s="84"/>
      <c r="DH74" s="84"/>
      <c r="DI74" s="84"/>
      <c r="DJ74" s="84"/>
      <c r="DK74" s="84"/>
      <c r="DL74" s="84"/>
      <c r="DM74" s="84"/>
      <c r="DN74" s="84"/>
      <c r="DO74" s="84"/>
      <c r="DP74" s="84"/>
      <c r="DQ74" s="84"/>
      <c r="DR74" s="84"/>
      <c r="DS74" s="84"/>
      <c r="DT74" s="84"/>
      <c r="DU74" s="84"/>
      <c r="DV74" s="84"/>
      <c r="DW74" s="84"/>
      <c r="DX74" s="84"/>
      <c r="DY74" s="84"/>
      <c r="DZ74" s="84"/>
      <c r="EA74" s="84"/>
      <c r="EB74" s="84"/>
      <c r="EC74" s="84"/>
      <c r="ED74" s="84"/>
      <c r="EE74" s="84"/>
      <c r="EF74" s="84"/>
      <c r="EG74" s="84"/>
      <c r="EH74" s="84"/>
      <c r="EI74" s="84"/>
      <c r="EJ74" s="84"/>
      <c r="EK74" s="84"/>
      <c r="EL74" s="84"/>
      <c r="EM74" s="84"/>
      <c r="EN74" s="84"/>
      <c r="EO74" s="84"/>
      <c r="EP74" s="84"/>
      <c r="EQ74" s="84"/>
      <c r="ER74" s="84"/>
      <c r="ES74" s="84"/>
      <c r="ET74" s="84"/>
      <c r="EU74" s="84"/>
      <c r="EV74" s="84"/>
      <c r="EW74" s="84"/>
      <c r="EX74" s="84"/>
      <c r="EY74" s="84"/>
      <c r="EZ74" s="84"/>
      <c r="FA74" s="84"/>
    </row>
    <row r="75" spans="1:163" x14ac:dyDescent="0.2">
      <c r="A75" s="8">
        <v>2068</v>
      </c>
      <c r="B75" s="67"/>
      <c r="C75" s="67"/>
      <c r="D75" s="67"/>
      <c r="E75" s="35">
        <v>6.0999999999999999E-2</v>
      </c>
      <c r="F75" s="16">
        <f>F74*(1+Table2[[#This Row],[2008 discount rate]])</f>
        <v>1176.4260831099264</v>
      </c>
      <c r="G75" s="18">
        <v>6.0999999999999999E-2</v>
      </c>
      <c r="H75" s="16">
        <f>H74*(1+Table2[[#This Row],[2011 discount rate]])</f>
        <v>966.74139639045609</v>
      </c>
      <c r="I75" s="18">
        <v>5.1999999999999998E-2</v>
      </c>
      <c r="J75" s="16">
        <f>J74*(1+Table2[[#This Row],[2014 discount rate]])</f>
        <v>644.11764656998696</v>
      </c>
      <c r="K75" s="9">
        <f>Table2[CPI]+1.7%</f>
        <v>4.4700000000000004E-2</v>
      </c>
      <c r="L75" s="66">
        <f t="shared" ref="L75:L138" si="21">(1+L74)*(1+K75)-1</f>
        <v>4.4845797554713966</v>
      </c>
      <c r="M75" s="17">
        <f>Table2[[#This Row],[Annual benefit payments (closed scheme)]]/((1+L74)*(1+Table2[[#This Row],[Discount rate A1]])^0.5)+M74</f>
        <v>63.649410140243234</v>
      </c>
      <c r="N75" s="17">
        <f>N74*(1+Table2[Discount rate A1])</f>
        <v>356.07300605389236</v>
      </c>
      <c r="O75" s="17">
        <f>Table2[[#This Row],[Asset growth A1, under the assumption of full-funding at Year 0]]/(1+Table2[[#This Row],[Compounded CPI]])</f>
        <v>128.51906601598037</v>
      </c>
      <c r="P75" s="17">
        <f>(P74*((1+Table2[Discount rate A1])^0.5)-Table2[Annual benefit payments (closed scheme)])*(1+Table2[Discount rate A1])^0.5</f>
        <v>6.9827397510181664</v>
      </c>
      <c r="Q75" s="17">
        <f>Table2[[#This Row],[Asset growth A1 with benefit payments deducted]]/(1+Table2[Compounded CPI])</f>
        <v>2.5203123398174374</v>
      </c>
      <c r="R75" s="17">
        <f>Table2[[#This Row],[Asset growth A1 with benefit payments deducted]]/(1+Table2[Compounded discount rate A1])</f>
        <v>1.27315857592411</v>
      </c>
      <c r="S75" s="9">
        <f>Table2[CPI]+1.7%</f>
        <v>4.4700000000000004E-2</v>
      </c>
      <c r="T75" s="18">
        <f t="shared" si="20"/>
        <v>4.2092888835157956</v>
      </c>
      <c r="U75" s="17">
        <f>Table2[[#This Row],[Annual benefit payments (closed scheme)]]/((1+T74)*(1+Table2[[#This Row],[Discount rate A2]])^0.5)+U74</f>
        <v>66.170865925410752</v>
      </c>
      <c r="V75" s="17">
        <f>V74*(1+Table2[Discount rate A2])</f>
        <v>351.68589602887448</v>
      </c>
      <c r="W75" s="17">
        <f>Table2[[#This Row],[Asset growth A2, under the assumption of full-funding at Year 0]]/(1+Table2[Compounded CPI])</f>
        <v>126.93560623852308</v>
      </c>
      <c r="X75" s="17">
        <f>(X74*((1+Table2[Discount rate A2])^0.5)-Table2[Annual benefit payments (closed scheme)])*(1+Table2[Discount rate A2])^0.5</f>
        <v>6.9827397510182676</v>
      </c>
      <c r="Y75" s="17">
        <f>Table2[[#This Row],[Asset growth A2 with benefit payments deducted]]/(1+Table2[[#This Row],[Compounded CPI]])</f>
        <v>2.5203123398174738</v>
      </c>
      <c r="Z75" s="19">
        <f>Table2[[#This Row],[Asset growth A2 with benefit payments deducted]]/(1+Table2[Compounded discount rate A2])</f>
        <v>1.3404401074999615</v>
      </c>
      <c r="AA75" s="82">
        <f>Table2[CPI]+2.8%</f>
        <v>5.57E-2</v>
      </c>
      <c r="AB75" s="18">
        <f t="shared" si="10"/>
        <v>6.9773970876775371</v>
      </c>
      <c r="AC75" s="17">
        <f>Table2[[#This Row],[Annual benefit payments (closed scheme)]]/((1+AB74)*(1+Table2[[#This Row],[Discount rate B]])^0.5)+AC74</f>
        <v>59.599381904010222</v>
      </c>
      <c r="AD75" s="45">
        <f>AD74*(1+Table2[Discount rate B])</f>
        <v>478.64382526065236</v>
      </c>
      <c r="AE75" s="16">
        <f>Table2[[#This Row],[Asset growth B]]/(1+Table2[Compounded CPI])</f>
        <v>172.75911493134853</v>
      </c>
      <c r="AF75" s="17">
        <f>(AF74*((1+Table2[Discount rate B])^0.5)-Table2[Annual benefit payments (closed scheme)])*(1+Table2[Discount rate B])^0.5</f>
        <v>3.1958896322197887</v>
      </c>
      <c r="AG75" s="17">
        <f>Table2[[#This Row],[Asset growth B with benefit payments deducted]]/(1+Table2[Compounded CPI])</f>
        <v>1.1535071281446059</v>
      </c>
      <c r="AH75" s="19">
        <f>Table2[[#This Row],[Asset growth B with benefit payments deducted]]/(1+Table2[Compounded discount rate B])</f>
        <v>0.40061809598977971</v>
      </c>
      <c r="AI75" s="11">
        <f>Table2[CPI]+2.56%</f>
        <v>5.33E-2</v>
      </c>
      <c r="AJ75" s="18">
        <f t="shared" si="11"/>
        <v>8.0302755219868089</v>
      </c>
      <c r="AK75" s="17">
        <f>Table2[[#This Row],[Annual benefit payments (closed scheme)]]/((1+AJ74)*(1+Table2[[#This Row],[Discount rate C]])^0.5)+AK74</f>
        <v>51.613571302321773</v>
      </c>
      <c r="AL75" s="17">
        <f>AL74*(1+Table2[Discount rate C])</f>
        <v>541.81653131920848</v>
      </c>
      <c r="AM75" s="17">
        <f>Table2[[#This Row],[Asset growth C]]/(1+Table2[Compounded CPI])</f>
        <v>195.56032996958956</v>
      </c>
      <c r="AN75" s="17">
        <f>(AN74*((1+Table2[Discount rate C])^0.5)-Table2[Annual benefit payments (closed scheme)])*(1+Table2[Discount rate C])^0.5</f>
        <v>75.731761785531035</v>
      </c>
      <c r="AO75" s="17">
        <f>Table2[[#This Row],[Asset growth C with benefit payments deducted]]/(1+Table2[Compounded CPI])</f>
        <v>27.334212723073023</v>
      </c>
      <c r="AP75" s="19">
        <f>Table2[[#This Row],[Asset growth C with benefit payments deducted]]/(1+Table2[Compounded discount rate C])</f>
        <v>8.3864286976781859</v>
      </c>
      <c r="AQ75" s="11">
        <f>Table2[CPI]+2.56%</f>
        <v>5.33E-2</v>
      </c>
      <c r="AR75" s="18">
        <f t="shared" si="12"/>
        <v>7.4529440384587637</v>
      </c>
      <c r="AS75" s="17">
        <f>Table2[[#This Row],[Annual benefit payments (closed scheme)]]/((1+AR74)*(1+Table2[[#This Row],[Discount rate D]])^0.5)+AS74</f>
        <v>54.062531592006252</v>
      </c>
      <c r="AT75" s="16">
        <f>AT74*(1+Table2[Discount rate D])</f>
        <v>507.17664230752564</v>
      </c>
      <c r="AU75" s="17">
        <f>Table2[[#This Row],[Asset growth D]]/(1+Table2[Compounded CPI])</f>
        <v>183.05759567918142</v>
      </c>
      <c r="AV75" s="17">
        <f>(AV74*((1+Table2[Discount rate D])^0.5)-Table2[Annual benefit payments (closed scheme)])*(1+Table2[Discount rate D])^0.5</f>
        <v>50.189088182888163</v>
      </c>
      <c r="AW75" s="17">
        <f>Table2[[#This Row],[Asset growth D with benefit payments deducted]]/(1+Table2[Compounded CPI])</f>
        <v>18.114978186473941</v>
      </c>
      <c r="AX75" s="19">
        <f>Table2[[#This Row],[Asset growth D with benefit payments deducted]]/(1+Table2[Compounded discount rate D])</f>
        <v>5.9374684079937676</v>
      </c>
      <c r="AY75" s="11">
        <f>Table2[CPI]+4%</f>
        <v>6.7699999999999996E-2</v>
      </c>
      <c r="AZ75" s="18">
        <f t="shared" si="13"/>
        <v>13.776408555945943</v>
      </c>
      <c r="BA75" s="17">
        <f>Table2[[#This Row],[Annual benefit payments (closed scheme)]]/((1+AZ74)*(1+Table2[[#This Row],[Discount rate E]])^0.5)+BA74</f>
        <v>47.876044701098586</v>
      </c>
      <c r="BB75" s="17">
        <f>BB74*(1+Table2[Discount rate E])</f>
        <v>886.5845133567575</v>
      </c>
      <c r="BC75" s="16">
        <f>Table2[[#This Row],[Asset growth E]]/(1+Table2[Compounded CPI])</f>
        <v>319.99902172757641</v>
      </c>
      <c r="BD75" s="17">
        <f>(BD74*((1+Table2[Discount rate E])^0.5)-Table2[Annual benefit payments (closed scheme)])*(1+Table2[Discount rate E])^0.5</f>
        <v>179.14851681059343</v>
      </c>
      <c r="BE75" s="17">
        <f>Table2[[#This Row],[Asset growth E with benefit payments deducted]]/(1+Table2[Compounded CPI])</f>
        <v>64.66089725195539</v>
      </c>
      <c r="BF75" s="19">
        <f>Table2[[#This Row],[Asset growth E with benefit payments deducted]]/(1+Table2[Compounded discount rate E])</f>
        <v>12.123955298901443</v>
      </c>
      <c r="BG75" s="11">
        <f>Table2[[#This Row],[Long-dated forward gilt yields]]+0.75%</f>
        <v>2.5600000000000001E-2</v>
      </c>
      <c r="BH75" s="11">
        <f t="shared" si="14"/>
        <v>2.1634555195058511</v>
      </c>
      <c r="BI75" s="17">
        <f>((Table2[[#This Row],[Annual benefit payments (closed scheme)]])*1.005^(Table2[[#This Row],[Year]]-2018))/((1+BH74)*(1+Table2[[#This Row],[Discount rate F]])^0.5)+BI74</f>
        <v>79.095176819545486</v>
      </c>
      <c r="BJ75" s="17">
        <f>BJ74*(1+Table2[Discount rate F])</f>
        <v>260.48998330276737</v>
      </c>
      <c r="BK75" s="17">
        <f>Table2[[#This Row],[Asset growth F, under the assumption of full-funding at Year 0]]/(1+Table2[[#This Row],[Compounded CPI]])</f>
        <v>94.019846468010641</v>
      </c>
      <c r="BL75" s="17">
        <f>(BL74*((1+Table2[Discount rate F])^0.5)-Table2[Annual benefit payments (closed scheme)]*1.005^(Table2[Year]-2018))*(1+Table2[Discount rate F])^0.5</f>
        <v>10.275909626684854</v>
      </c>
      <c r="BM75" s="17">
        <f>Table2[[#This Row],[Asset growth F with benefit payments deducted]]/(1+Table2[Compounded CPI])</f>
        <v>3.7089312731734454</v>
      </c>
      <c r="BN75" s="19">
        <f>Table2[[#This Row],[Asset growth F with benefit payments deducted]]/(1+Table2[Compounded discount rate F])</f>
        <v>3.2483180380832435</v>
      </c>
      <c r="BO75" s="18">
        <f>(1+BO74)*(1+Table2[Discount rate A2])-1</f>
        <v>1.9297314725473886</v>
      </c>
      <c r="BP75" s="17">
        <f>Table2[[#This Row],[Annual benefit payments (ongoing scheme)]]/((1+BO74)*(1+Table2[[#This Row],[Discount rate A2]])^0.5)+BP74</f>
        <v>92.128163934902219</v>
      </c>
      <c r="BQ75" s="17">
        <f>(BQ74*((1+Table2[Discount rate A2])^0.5)-Table2[Annual benefit payments (ongoing scheme)])*(1+Table2[Discount rate A2])^0.5</f>
        <v>59.71088424442776</v>
      </c>
      <c r="BR75" s="18">
        <f>(1+BR74)*(1+Table2[Discount rate B])-1</f>
        <v>3.0655792495481355</v>
      </c>
      <c r="BS75" s="17">
        <f>Table2[[#This Row],[Annual benefit payments (ongoing scheme)]]/((1+BR74)*(1+Table2[[#This Row],[Discount rate B]])^0.5)+BS74</f>
        <v>80.17911837934146</v>
      </c>
      <c r="BT75" s="18">
        <f>(1+BT74)*(1+Table2[Discount rate E])-1</f>
        <v>4.7897076173279771</v>
      </c>
      <c r="BU75" s="17">
        <f>Table2[[#This Row],[Annual benefit payments (ongoing scheme)]]/((1+BT74)*(1+Table2[[#This Row],[Discount rate E]])^0.5)+BU74</f>
        <v>69.646571931006463</v>
      </c>
      <c r="BV75" s="18">
        <f>Table2[CPI]+0.75%+0.75%</f>
        <v>4.2699999999999995E-2</v>
      </c>
      <c r="BW75" s="18">
        <f>(1+BW74)*(1+Table2[Self-sufficiency discount rate, from 2037])-1</f>
        <v>1.7592668527676465</v>
      </c>
      <c r="BX75" s="17">
        <f>(Table2[[#This Row],[Annual benefit payments (ongoing scheme)]]*1.005^(Table2[[#This Row],[Year]]-2038))/((1+BW74)*(1+Table2[[#This Row],[Self-sufficiency discount rate, from 2037]])^0.5)+BX74</f>
        <v>101.10095765664366</v>
      </c>
      <c r="BY75" s="17">
        <f>(BY74*((1+Table2[Self-sufficiency discount rate, from 2037])^0.5)-Table2[Annual benefit payments (ongoing scheme)]*1.005^(Table2[Year]-2038))*(1+Table2[Self-sufficiency discount rate, from 2037])^0.5</f>
        <v>74.361038080695778</v>
      </c>
      <c r="BZ75" s="17">
        <f>(BZ74*((1+Table2[Discount rate B])^0.5)-Table2[Annual benefit payments (ongoing scheme)])*(1+Table2[Discount rate B])^0.5</f>
        <v>54.20971783291224</v>
      </c>
      <c r="CA75" s="17">
        <f>(CA74*((1+Table2[Discount rate A2])^0.5)+Table2[Net cashflow (ongoing scheme)])*(1+Table2[Discount rate A2])^0.5</f>
        <v>58.741244907333076</v>
      </c>
      <c r="CB75" s="17">
        <f>Table2[[#This Row],[Asset growth, ongoing scheme, with November de-risking, net of contributions and payments]]/(1+Table2[Compounded discount rate A2])</f>
        <v>11.276250217800953</v>
      </c>
      <c r="CC75" s="17">
        <f>Table2[[#This Row],[Asset growth, ongoing scheme, with November de-risking, net of contributions and payments]]/(1+Table2[Compounded CPI])</f>
        <v>21.201747405035803</v>
      </c>
      <c r="CD75" s="17">
        <f>(CD74*((1+Table2[Discount rate A1])^0.5)+Table2[Net cashflow (ongoing scheme)])*(1+Table2[Discount rate A1])^0.5</f>
        <v>75.565588359382573</v>
      </c>
      <c r="CE75" s="17">
        <f>Table2[[#This Row],[Asset growth, ongoing scheme, with September de-risking, net of contributions and payments]]/(1+Table2[Compounded discount rate A1])</f>
        <v>13.777826511502294</v>
      </c>
      <c r="CF75" s="17">
        <f>Table2[[#This Row],[Asset growth, ongoing scheme, with September de-risking, net of contributions and payments]]/(1+Table2[Compounded CPI])</f>
        <v>27.274234984906474</v>
      </c>
      <c r="CG75" s="17">
        <f>(CG74*((1+Table2[Discount rate B])^0.5)+Table2[Net cashflow (ongoing scheme)])*(1+Table2[Discount rate B])^0.5</f>
        <v>176.31021071620751</v>
      </c>
      <c r="CH75" s="17">
        <f>Table2[[#This Row],[Asset growth, ongoing scheme, no de-risking, net of contributions and payments]]/(1+Table2[Compounded discount rate B])</f>
        <v>22.101220332700873</v>
      </c>
      <c r="CI75" s="17">
        <f>Table2[[#This Row],[Asset growth, ongoing scheme, no de-risking, net of contributions and payments]]/(1+Table2[Compounded CPI])</f>
        <v>63.636454393002097</v>
      </c>
      <c r="CJ75" s="17">
        <f>(CJ74*((1+Table2[Discount rate E])^0.5)+Table2[Net cashflow (ongoing scheme)])*(1+Table2[Discount rate E])^0.5</f>
        <v>521.06297004678925</v>
      </c>
      <c r="CK75" s="17">
        <f>Table2[[#This Row],[Asset growth, ongoing scheme, best-estimates, no de-risking, net of contributions and payments ]]/(1+Table2[Compounded discount rate E])</f>
        <v>35.263167506093112</v>
      </c>
      <c r="CL75" s="17">
        <f>Table2[[#This Row],[Asset growth, ongoing scheme, best-estimates, no de-risking, net of contributions and payments ]]/(1+Table2[Compounded CPI])</f>
        <v>188.06965174942408</v>
      </c>
      <c r="CM75" s="9">
        <v>2.7699999999999999E-2</v>
      </c>
      <c r="CN75" s="11">
        <f>(1+Table2[[#This Row],[CPI]])*(1+CN74)-1</f>
        <v>1.7705850741991651</v>
      </c>
      <c r="CO75" s="11">
        <f>CO74</f>
        <v>1.8100000000000002E-2</v>
      </c>
      <c r="CP75" s="11">
        <f>Table2[[#This Row],[CPI]]+2%</f>
        <v>4.7699999999999999E-2</v>
      </c>
      <c r="CQ75" s="26">
        <f>(1+Table2[[#This Row],[Salary growth]])*(1+CQ74)-1</f>
        <v>6.2439940367661508</v>
      </c>
      <c r="CR75" s="15">
        <f t="shared" si="17"/>
        <v>27.705850741991643</v>
      </c>
      <c r="CS75" s="17">
        <f t="shared" si="18"/>
        <v>36.017605964589137</v>
      </c>
      <c r="CT75" s="17">
        <f>CT74*(1+Table2[[#This Row],[Salary growth]])</f>
        <v>72.439940367661535</v>
      </c>
      <c r="CU75" s="19">
        <f t="shared" ref="CU75:CU98" si="22">CU74*(1+CP75)</f>
        <v>94.171922477959981</v>
      </c>
      <c r="CV75" s="112">
        <f>('Cash flows as at 31032017'!B60)/1000000000</f>
        <v>1.097288418</v>
      </c>
      <c r="CW75" s="113">
        <v>0</v>
      </c>
      <c r="CX75" s="113">
        <f>Table2[[#This Row],[Annual contributions (closed scheme)]]-Table2[[#This Row],[Annual benefit payments (closed scheme)]]</f>
        <v>-1.097288418</v>
      </c>
      <c r="CY75" s="113">
        <v>4.96</v>
      </c>
      <c r="CZ75" s="113">
        <v>0</v>
      </c>
      <c r="DA75" s="113">
        <v>-4.96</v>
      </c>
      <c r="DB75" s="17"/>
      <c r="DC75" s="84"/>
      <c r="DD75" s="84"/>
      <c r="DE75" s="84"/>
      <c r="DF75" s="84"/>
      <c r="DG75" s="84"/>
      <c r="DH75" s="84"/>
      <c r="DI75" s="84"/>
      <c r="DJ75" s="84"/>
      <c r="DK75" s="84"/>
      <c r="DL75" s="84"/>
      <c r="DM75" s="84"/>
      <c r="DN75" s="84"/>
      <c r="DO75" s="84"/>
      <c r="DP75" s="84"/>
      <c r="DQ75" s="84"/>
      <c r="DR75" s="84"/>
      <c r="DS75" s="84"/>
      <c r="DT75" s="84"/>
      <c r="DU75" s="84"/>
      <c r="DV75" s="84"/>
      <c r="DW75" s="84"/>
      <c r="DX75" s="84"/>
      <c r="DY75" s="84"/>
      <c r="DZ75" s="84"/>
      <c r="EA75" s="84"/>
      <c r="EB75" s="84"/>
      <c r="EC75" s="84"/>
      <c r="ED75" s="84"/>
      <c r="EE75" s="84"/>
      <c r="EF75" s="84"/>
      <c r="EG75" s="84"/>
      <c r="EH75" s="84"/>
      <c r="EI75" s="84"/>
      <c r="EJ75" s="84"/>
      <c r="EK75" s="84"/>
      <c r="EL75" s="84"/>
      <c r="EM75" s="84"/>
      <c r="EN75" s="84"/>
      <c r="EO75" s="84"/>
      <c r="EP75" s="84"/>
      <c r="EQ75" s="84"/>
      <c r="ER75" s="84"/>
      <c r="ES75" s="84"/>
      <c r="ET75" s="84"/>
      <c r="EU75" s="84"/>
      <c r="EV75" s="84"/>
      <c r="EW75" s="84"/>
      <c r="EX75" s="84"/>
      <c r="EY75" s="84"/>
      <c r="EZ75" s="84"/>
      <c r="FA75" s="84"/>
      <c r="FB75" s="84"/>
    </row>
    <row r="76" spans="1:163" x14ac:dyDescent="0.2">
      <c r="A76" s="8">
        <v>2069</v>
      </c>
      <c r="B76" s="67"/>
      <c r="C76" s="67"/>
      <c r="D76" s="67"/>
      <c r="E76" s="35">
        <v>6.0999999999999999E-2</v>
      </c>
      <c r="F76" s="16">
        <f>F75*(1+Table2[[#This Row],[2008 discount rate]])</f>
        <v>1248.1880741796317</v>
      </c>
      <c r="G76" s="18">
        <v>6.0999999999999999E-2</v>
      </c>
      <c r="H76" s="16">
        <f>H75*(1+Table2[[#This Row],[2011 discount rate]])</f>
        <v>1025.7126215702738</v>
      </c>
      <c r="I76" s="18">
        <v>5.1999999999999998E-2</v>
      </c>
      <c r="J76" s="16">
        <f>J75*(1+Table2[[#This Row],[2014 discount rate]])</f>
        <v>677.61176419162632</v>
      </c>
      <c r="K76" s="9">
        <f>Table2[CPI]+1.7%</f>
        <v>4.4700000000000004E-2</v>
      </c>
      <c r="L76" s="66">
        <f t="shared" si="21"/>
        <v>4.7297404705409676</v>
      </c>
      <c r="M76" s="17">
        <f>Table2[[#This Row],[Annual benefit payments (closed scheme)]]/((1+L75)*(1+Table2[[#This Row],[Discount rate A1]])^0.5)+M75</f>
        <v>63.831282047186058</v>
      </c>
      <c r="N76" s="17">
        <f>N75*(1+Table2[Discount rate A1])</f>
        <v>371.98946942450135</v>
      </c>
      <c r="O76" s="17">
        <f>Table2[[#This Row],[Asset growth A1, under the assumption of full-funding at Year 0]]/(1+Table2[[#This Row],[Compounded CPI]])</f>
        <v>130.64500171927088</v>
      </c>
      <c r="P76" s="17">
        <f>(P75*((1+Table2[Discount rate A1])^0.5)-Table2[Annual benefit payments (closed scheme)])*(1+Table2[Discount rate A1])^0.5</f>
        <v>6.2527893922239217</v>
      </c>
      <c r="Q76" s="17">
        <f>Table2[[#This Row],[Asset growth A1 with benefit payments deducted]]/(1+Table2[Compounded CPI])</f>
        <v>2.1960182963274164</v>
      </c>
      <c r="R76" s="17">
        <f>Table2[[#This Row],[Asset growth A1 with benefit payments deducted]]/(1+Table2[Compounded discount rate A1])</f>
        <v>1.0912866689812866</v>
      </c>
      <c r="S76" s="9">
        <f>Table2[CPI]+1.7%</f>
        <v>4.4700000000000004E-2</v>
      </c>
      <c r="T76" s="18">
        <f t="shared" si="20"/>
        <v>4.4421440966089518</v>
      </c>
      <c r="U76" s="17">
        <f>Table2[[#This Row],[Annual benefit payments (closed scheme)]]/((1+T75)*(1+Table2[[#This Row],[Discount rate A2]])^0.5)+U75</f>
        <v>66.362349062785611</v>
      </c>
      <c r="V76" s="17">
        <f>V75*(1+Table2[Discount rate A2])</f>
        <v>367.40625558136514</v>
      </c>
      <c r="W76" s="17">
        <f>Table2[[#This Row],[Asset growth A2, under the assumption of full-funding at Year 0]]/(1+Table2[Compounded CPI])</f>
        <v>129.03534867897736</v>
      </c>
      <c r="X76" s="17">
        <f>(X75*((1+Table2[Discount rate A2])^0.5)-Table2[Annual benefit payments (closed scheme)])*(1+Table2[Discount rate A2])^0.5</f>
        <v>6.2527893922240292</v>
      </c>
      <c r="Y76" s="17">
        <f>Table2[[#This Row],[Asset growth A2 with benefit payments deducted]]/(1+Table2[[#This Row],[Compounded CPI]])</f>
        <v>2.1960182963274537</v>
      </c>
      <c r="Z76" s="19">
        <f>Table2[[#This Row],[Asset growth A2 with benefit payments deducted]]/(1+Table2[Compounded discount rate A2])</f>
        <v>1.1489569701251015</v>
      </c>
      <c r="AA76" s="82">
        <f>Table2[CPI]+2.8%</f>
        <v>5.57E-2</v>
      </c>
      <c r="AB76" s="18">
        <f t="shared" si="10"/>
        <v>7.4217381054611771</v>
      </c>
      <c r="AC76" s="17">
        <f>Table2[[#This Row],[Annual benefit payments (closed scheme)]]/((1+AB75)*(1+Table2[[#This Row],[Discount rate B]])^0.5)+AC75</f>
        <v>59.723768419827813</v>
      </c>
      <c r="AD76" s="45">
        <f>AD75*(1+Table2[Discount rate B])</f>
        <v>505.30428632767075</v>
      </c>
      <c r="AE76" s="16">
        <f>Table2[[#This Row],[Asset growth B]]/(1+Table2[Compounded CPI])</f>
        <v>177.46598971784047</v>
      </c>
      <c r="AF76" s="17">
        <f>(AF75*((1+Table2[Discount rate B])^0.5)-Table2[Annual benefit payments (closed scheme)])*(1+Table2[Discount rate B])^0.5</f>
        <v>2.3263500246678839</v>
      </c>
      <c r="AG76" s="17">
        <f>Table2[[#This Row],[Asset growth B with benefit payments deducted]]/(1+Table2[Compounded CPI])</f>
        <v>0.8170285127763437</v>
      </c>
      <c r="AH76" s="19">
        <f>Table2[[#This Row],[Asset growth B with benefit payments deducted]]/(1+Table2[Compounded discount rate B])</f>
        <v>0.27623158017218968</v>
      </c>
      <c r="AI76" s="11">
        <f>Table2[CPI]+2.56%</f>
        <v>5.33E-2</v>
      </c>
      <c r="AJ76" s="18">
        <f t="shared" si="11"/>
        <v>8.5115892073087043</v>
      </c>
      <c r="AK76" s="17">
        <f>Table2[[#This Row],[Annual benefit payments (closed scheme)]]/((1+AJ75)*(1+Table2[[#This Row],[Discount rate C]])^0.5)+AK75</f>
        <v>51.723580179175926</v>
      </c>
      <c r="AL76" s="17">
        <f>AL75*(1+Table2[Discount rate C])</f>
        <v>570.69535243852226</v>
      </c>
      <c r="AM76" s="17">
        <f>Table2[[#This Row],[Asset growth C]]/(1+Table2[Compounded CPI])</f>
        <v>200.43173645710678</v>
      </c>
      <c r="AN76" s="17">
        <f>(AN75*((1+Table2[Discount rate C])^0.5)-Table2[Annual benefit payments (closed scheme)])*(1+Table2[Discount rate C])^0.5</f>
        <v>78.721905442905694</v>
      </c>
      <c r="AO76" s="17">
        <f>Table2[[#This Row],[Asset growth C with benefit payments deducted]]/(1+Table2[Compounded CPI])</f>
        <v>27.647619938929619</v>
      </c>
      <c r="AP76" s="19">
        <f>Table2[[#This Row],[Asset growth C with benefit payments deducted]]/(1+Table2[Compounded discount rate C])</f>
        <v>8.2764198208240316</v>
      </c>
      <c r="AQ76" s="11">
        <f>Table2[CPI]+2.56%</f>
        <v>5.33E-2</v>
      </c>
      <c r="AR76" s="18">
        <f t="shared" si="12"/>
        <v>7.9034859557086143</v>
      </c>
      <c r="AS76" s="17">
        <f>Table2[[#This Row],[Annual benefit payments (closed scheme)]]/((1+AR75)*(1+Table2[[#This Row],[Discount rate D]])^0.5)+AS75</f>
        <v>54.18005401535811</v>
      </c>
      <c r="AT76" s="16">
        <f>AT75*(1+Table2[Discount rate D])</f>
        <v>534.20915734251673</v>
      </c>
      <c r="AU76" s="17">
        <f>Table2[[#This Row],[Asset growth D]]/(1+Table2[Compounded CPI])</f>
        <v>187.61755914068479</v>
      </c>
      <c r="AV76" s="17">
        <f>(AV75*((1+Table2[Discount rate D])^0.5)-Table2[Annual benefit payments (closed scheme)])*(1+Table2[Discount rate D])^0.5</f>
        <v>51.817807337241952</v>
      </c>
      <c r="AW76" s="17">
        <f>Table2[[#This Row],[Asset growth D with benefit payments deducted]]/(1+Table2[Compounded CPI])</f>
        <v>18.198734332819068</v>
      </c>
      <c r="AX76" s="19">
        <f>Table2[[#This Row],[Asset growth D with benefit payments deducted]]/(1+Table2[Compounded discount rate D])</f>
        <v>5.8199459846419055</v>
      </c>
      <c r="AY76" s="11">
        <f>Table2[CPI]+4%</f>
        <v>6.7699999999999996E-2</v>
      </c>
      <c r="AZ76" s="18">
        <f t="shared" si="13"/>
        <v>14.776771415183486</v>
      </c>
      <c r="BA76" s="17">
        <f>Table2[[#This Row],[Annual benefit payments (closed scheme)]]/((1+AZ75)*(1+Table2[[#This Row],[Discount rate E]])^0.5)+BA75</f>
        <v>47.942819296034052</v>
      </c>
      <c r="BB76" s="17">
        <f>BB75*(1+Table2[Discount rate E])</f>
        <v>946.60628491101011</v>
      </c>
      <c r="BC76" s="16">
        <f>Table2[[#This Row],[Asset growth E]]/(1+Table2[Compounded CPI])</f>
        <v>332.45398024572671</v>
      </c>
      <c r="BD76" s="17">
        <f>(BD75*((1+Table2[Discount rate E])^0.5)-Table2[Annual benefit payments (closed scheme)])*(1+Table2[Discount rate E])^0.5</f>
        <v>190.22338387803222</v>
      </c>
      <c r="BE76" s="17">
        <f>Table2[[#This Row],[Asset growth E with benefit payments deducted]]/(1+Table2[Compounded CPI])</f>
        <v>66.80762859292426</v>
      </c>
      <c r="BF76" s="19">
        <f>Table2[[#This Row],[Asset growth E with benefit payments deducted]]/(1+Table2[Compounded discount rate E])</f>
        <v>12.057180703965971</v>
      </c>
      <c r="BG76" s="11">
        <f>Table2[[#This Row],[Long-dated forward gilt yields]]+0.75%</f>
        <v>2.5600000000000001E-2</v>
      </c>
      <c r="BH76" s="11">
        <f t="shared" si="14"/>
        <v>2.2444399808052014</v>
      </c>
      <c r="BI76" s="17">
        <f>((Table2[[#This Row],[Annual benefit payments (closed scheme)]])*1.005^(Table2[[#This Row],[Year]]-2018))/((1+BH75)*(1+Table2[[#This Row],[Discount rate F]])^0.5)+BI75</f>
        <v>79.505591781809116</v>
      </c>
      <c r="BJ76" s="17">
        <f>BJ75*(1+Table2[Discount rate F])</f>
        <v>267.15852687531822</v>
      </c>
      <c r="BK76" s="17">
        <f>Table2[[#This Row],[Asset growth F, under the assumption of full-funding at Year 0]]/(1+Table2[[#This Row],[Compounded CPI]])</f>
        <v>93.827726513176714</v>
      </c>
      <c r="BL76" s="17">
        <f>(BL75*((1+Table2[Discount rate F])^0.5)-Table2[Annual benefit payments (closed scheme)]*1.005^(Table2[Year]-2018))*(1+Table2[Discount rate F])^0.5</f>
        <v>9.207406200839193</v>
      </c>
      <c r="BM76" s="17">
        <f>Table2[[#This Row],[Asset growth F with benefit payments deducted]]/(1+Table2[Compounded CPI])</f>
        <v>3.2336979882781374</v>
      </c>
      <c r="BN76" s="19">
        <f>Table2[[#This Row],[Asset growth F with benefit payments deducted]]/(1+Table2[Compounded discount rate F])</f>
        <v>2.8379030758196087</v>
      </c>
      <c r="BO76" s="18">
        <f>(1+BO75)*(1+Table2[Discount rate A2])-1</f>
        <v>2.060690469370257</v>
      </c>
      <c r="BP76" s="17">
        <f>Table2[[#This Row],[Annual benefit payments (ongoing scheme)]]/((1+BO75)*(1+Table2[[#This Row],[Discount rate A2]])^0.5)+BP75</f>
        <v>93.751142019218562</v>
      </c>
      <c r="BQ76" s="17">
        <f>(BQ75*((1+Table2[Discount rate A2])^0.5)-Table2[Annual benefit payments (ongoing scheme)])*(1+Table2[Discount rate A2])^0.5</f>
        <v>57.41252721548986</v>
      </c>
      <c r="BR76" s="18">
        <f>(1+BR75)*(1+Table2[Discount rate B])-1</f>
        <v>3.2920320137479671</v>
      </c>
      <c r="BS76" s="17">
        <f>Table2[[#This Row],[Annual benefit payments (ongoing scheme)]]/((1+BR75)*(1+Table2[[#This Row],[Discount rate B]])^0.5)+BS75</f>
        <v>81.342557270998384</v>
      </c>
      <c r="BT76" s="18">
        <f>(1+BT75)*(1+Table2[Discount rate E])-1</f>
        <v>5.181670823021082</v>
      </c>
      <c r="BU76" s="17">
        <f>Table2[[#This Row],[Annual benefit payments (ongoing scheme)]]/((1+BT75)*(1+Table2[[#This Row],[Discount rate E]])^0.5)+BU75</f>
        <v>70.458944061004345</v>
      </c>
      <c r="BV76" s="18">
        <f>Table2[CPI]+0.75%+0.75%</f>
        <v>4.2699999999999995E-2</v>
      </c>
      <c r="BW76" s="18">
        <f>(1+BW75)*(1+Table2[Self-sufficiency discount rate, from 2037])-1</f>
        <v>1.8770875473808251</v>
      </c>
      <c r="BX76" s="17">
        <f>(Table2[[#This Row],[Annual benefit payments (ongoing scheme)]]*1.005^(Table2[[#This Row],[Year]]-2038))/((1+BW75)*(1+Table2[[#This Row],[Self-sufficiency discount rate, from 2037]])^0.5)+BX75</f>
        <v>103.11426831731804</v>
      </c>
      <c r="BY76" s="17">
        <f>(BY75*((1+Table2[Self-sufficiency discount rate, from 2037])^0.5)-Table2[Annual benefit payments (ongoing scheme)]*1.005^(Table2[Year]-2038))*(1+Table2[Self-sufficiency discount rate, from 2037])^0.5</f>
        <v>71.743783375906176</v>
      </c>
      <c r="BZ76" s="17">
        <f>(BZ75*((1+Table2[Discount rate B])^0.5)-Table2[Annual benefit payments (ongoing scheme)])*(1+Table2[Discount rate B])^0.5</f>
        <v>52.235682147174501</v>
      </c>
      <c r="CA76" s="17">
        <f>(CA75*((1+Table2[Discount rate A2])^0.5)+Table2[Net cashflow (ongoing scheme)])*(1+Table2[Discount rate A2])^0.5</f>
        <v>56.39954500002704</v>
      </c>
      <c r="CB76" s="17">
        <f>Table2[[#This Row],[Asset growth, ongoing scheme, with November de-risking, net of contributions and payments]]/(1+Table2[Compounded discount rate A2])</f>
        <v>10.363478805195566</v>
      </c>
      <c r="CC76" s="17">
        <f>Table2[[#This Row],[Asset growth, ongoing scheme, with November de-risking, net of contributions and payments]]/(1+Table2[Compounded CPI])</f>
        <v>19.807868929445849</v>
      </c>
      <c r="CD76" s="17">
        <f>(CD75*((1+Table2[Discount rate A1])^0.5)+Table2[Net cashflow (ongoing scheme)])*(1+Table2[Discount rate A1])^0.5</f>
        <v>73.975936604383151</v>
      </c>
      <c r="CE76" s="17">
        <f>Table2[[#This Row],[Asset growth, ongoing scheme, with September de-risking, net of contributions and payments]]/(1+Table2[Compounded discount rate A1])</f>
        <v>12.910870393646082</v>
      </c>
      <c r="CF76" s="17">
        <f>Table2[[#This Row],[Asset growth, ongoing scheme, with September de-risking, net of contributions and payments]]/(1+Table2[Compounded CPI])</f>
        <v>25.980806337921955</v>
      </c>
      <c r="CG76" s="17">
        <f>(CG75*((1+Table2[Discount rate B])^0.5)+Table2[Net cashflow (ongoing scheme)])*(1+Table2[Discount rate B])^0.5</f>
        <v>181.13717248406928</v>
      </c>
      <c r="CH76" s="17">
        <f>Table2[[#This Row],[Asset growth, ongoing scheme, no de-risking, net of contributions and payments]]/(1+Table2[Compounded discount rate B])</f>
        <v>21.508288457297041</v>
      </c>
      <c r="CI76" s="17">
        <f>Table2[[#This Row],[Asset growth, ongoing scheme, no de-risking, net of contributions and payments]]/(1+Table2[Compounded CPI])</f>
        <v>63.616494970183709</v>
      </c>
      <c r="CJ76" s="17">
        <f>(CJ75*((1+Table2[Discount rate E])^0.5)+Table2[Net cashflow (ongoing scheme)])*(1+Table2[Discount rate E])^0.5</f>
        <v>551.31711602551354</v>
      </c>
      <c r="CK76" s="17">
        <f>Table2[[#This Row],[Asset growth, ongoing scheme, best-estimates, no de-risking, net of contributions and payments ]]/(1+Table2[Compounded discount rate E])</f>
        <v>34.944863021525983</v>
      </c>
      <c r="CL76" s="17">
        <f>Table2[[#This Row],[Asset growth, ongoing scheme, best-estimates, no de-risking, net of contributions and payments ]]/(1+Table2[Compounded CPI])</f>
        <v>193.62598001080022</v>
      </c>
      <c r="CM76" s="9">
        <f>CM75</f>
        <v>2.7699999999999999E-2</v>
      </c>
      <c r="CN76" s="11">
        <f>(1+Table2[[#This Row],[CPI]])*(1+CN75)-1</f>
        <v>1.8473302807544822</v>
      </c>
      <c r="CO76" s="11">
        <f t="shared" ref="CO76:CO139" si="23">CO75</f>
        <v>1.8100000000000002E-2</v>
      </c>
      <c r="CP76" s="11">
        <f>Table2[[#This Row],[CPI]]+2%</f>
        <v>4.7699999999999999E-2</v>
      </c>
      <c r="CQ76" s="26">
        <f>(1+Table2[[#This Row],[Salary growth]])*(1+CQ75)-1</f>
        <v>6.5895325523198967</v>
      </c>
      <c r="CR76" s="15">
        <f t="shared" si="17"/>
        <v>28.473302807544812</v>
      </c>
      <c r="CS76" s="17">
        <f t="shared" si="18"/>
        <v>37.015293649808257</v>
      </c>
      <c r="CT76" s="17">
        <f>CT75*(1+Table2[[#This Row],[Salary growth]])</f>
        <v>75.895325523198991</v>
      </c>
      <c r="CU76" s="19">
        <f t="shared" si="22"/>
        <v>98.663923180158676</v>
      </c>
      <c r="CV76" s="112">
        <f>('Cash flows as at 31032017'!B61)/1000000000</f>
        <v>1.019541185</v>
      </c>
      <c r="CW76" s="113">
        <v>0</v>
      </c>
      <c r="CX76" s="113">
        <f>Table2[[#This Row],[Annual contributions (closed scheme)]]-Table2[[#This Row],[Annual benefit payments (closed scheme)]]</f>
        <v>-1.019541185</v>
      </c>
      <c r="CY76" s="113">
        <v>4.8600000000000003</v>
      </c>
      <c r="CZ76" s="113">
        <v>0</v>
      </c>
      <c r="DA76" s="113">
        <v>-4.8600000000000003</v>
      </c>
      <c r="DB76" s="17"/>
      <c r="DC76" s="84"/>
      <c r="DD76" s="84"/>
      <c r="DE76" s="84"/>
      <c r="DF76" s="84"/>
      <c r="DG76" s="84"/>
      <c r="DH76" s="84"/>
      <c r="DI76" s="84"/>
      <c r="DJ76" s="84"/>
      <c r="DK76" s="84"/>
      <c r="DL76" s="84"/>
      <c r="DM76" s="84"/>
      <c r="DN76" s="84"/>
      <c r="DO76" s="84"/>
      <c r="DP76" s="84"/>
      <c r="DQ76" s="84"/>
      <c r="DR76" s="84"/>
      <c r="DS76" s="84"/>
      <c r="DT76" s="84"/>
      <c r="DU76" s="84"/>
      <c r="DV76" s="84"/>
      <c r="DW76" s="84"/>
      <c r="DX76" s="84"/>
      <c r="DY76" s="84"/>
      <c r="DZ76" s="84"/>
      <c r="EA76" s="84"/>
      <c r="EB76" s="84"/>
      <c r="EC76" s="84"/>
      <c r="ED76" s="84"/>
      <c r="EE76" s="84"/>
      <c r="EF76" s="84"/>
      <c r="EG76" s="84"/>
      <c r="EH76" s="84"/>
      <c r="EI76" s="84"/>
      <c r="EJ76" s="84"/>
      <c r="EK76" s="84"/>
      <c r="EL76" s="84"/>
      <c r="EM76" s="84"/>
      <c r="EN76" s="84"/>
      <c r="EO76" s="84"/>
      <c r="EP76" s="84"/>
      <c r="EQ76" s="84"/>
      <c r="ER76" s="84"/>
      <c r="ES76" s="84"/>
      <c r="ET76" s="84"/>
      <c r="EU76" s="84"/>
      <c r="EV76" s="84"/>
      <c r="EW76" s="84"/>
      <c r="EX76" s="84"/>
      <c r="EY76" s="84"/>
      <c r="EZ76" s="84"/>
      <c r="FA76" s="84"/>
      <c r="FB76" s="84"/>
      <c r="FC76" s="84"/>
    </row>
    <row r="77" spans="1:163" x14ac:dyDescent="0.2">
      <c r="A77" s="8">
        <v>2070</v>
      </c>
      <c r="B77" s="67"/>
      <c r="C77" s="67"/>
      <c r="D77" s="67"/>
      <c r="E77" s="35">
        <v>6.0999999999999999E-2</v>
      </c>
      <c r="F77" s="16">
        <f>F76*(1+Table2[[#This Row],[2008 discount rate]])</f>
        <v>1324.3275467045892</v>
      </c>
      <c r="G77" s="18">
        <v>6.0999999999999999E-2</v>
      </c>
      <c r="H77" s="16">
        <f>H76*(1+Table2[[#This Row],[2011 discount rate]])</f>
        <v>1088.2810914860604</v>
      </c>
      <c r="I77" s="18">
        <v>5.1999999999999998E-2</v>
      </c>
      <c r="J77" s="16">
        <f>J76*(1+Table2[[#This Row],[2014 discount rate]])</f>
        <v>712.8475759295909</v>
      </c>
      <c r="K77" s="9">
        <f>Table2[CPI]+1.7%</f>
        <v>4.4700000000000004E-2</v>
      </c>
      <c r="L77" s="66">
        <f t="shared" si="21"/>
        <v>4.9858598695741483</v>
      </c>
      <c r="M77" s="17">
        <f>Table2[[#This Row],[Annual benefit payments (closed scheme)]]/((1+L76)*(1+Table2[[#This Row],[Discount rate A1]])^0.5)+M76</f>
        <v>63.992318163136147</v>
      </c>
      <c r="N77" s="17">
        <f>N76*(1+Table2[Discount rate A1])</f>
        <v>388.61739870777654</v>
      </c>
      <c r="O77" s="17">
        <f>Table2[[#This Row],[Asset growth A1, under the assumption of full-funding at Year 0]]/(1+Table2[[#This Row],[Compounded CPI]])</f>
        <v>132.80610420951859</v>
      </c>
      <c r="P77" s="17">
        <f>(P76*((1+Table2[Discount rate A1])^0.5)-Table2[Annual benefit payments (closed scheme)])*(1+Table2[Discount rate A1])^0.5</f>
        <v>5.5683494540386018</v>
      </c>
      <c r="Q77" s="17">
        <f>Table2[[#This Row],[Asset growth A1 with benefit payments deducted]]/(1+Table2[Compounded CPI])</f>
        <v>1.9029276618264501</v>
      </c>
      <c r="R77" s="17">
        <f>Table2[[#This Row],[Asset growth A1 with benefit payments deducted]]/(1+Table2[Compounded discount rate A1])</f>
        <v>0.9302505530311973</v>
      </c>
      <c r="S77" s="9">
        <f>Table2[CPI]+1.7%</f>
        <v>4.4700000000000004E-2</v>
      </c>
      <c r="T77" s="18">
        <f t="shared" si="20"/>
        <v>4.6854079377273719</v>
      </c>
      <c r="U77" s="17">
        <f>Table2[[#This Row],[Annual benefit payments (closed scheme)]]/((1+T76)*(1+Table2[[#This Row],[Discount rate A2]])^0.5)+U76</f>
        <v>66.531895317790671</v>
      </c>
      <c r="V77" s="17">
        <f>V76*(1+Table2[Discount rate A2])</f>
        <v>383.82931520585214</v>
      </c>
      <c r="W77" s="17">
        <f>Table2[[#This Row],[Asset growth A2, under the assumption of full-funding at Year 0]]/(1+Table2[Compounded CPI])</f>
        <v>131.16982462287402</v>
      </c>
      <c r="X77" s="17">
        <f>(X76*((1+Table2[Discount rate A2])^0.5)-Table2[Annual benefit payments (closed scheme)])*(1+Table2[Discount rate A2])^0.5</f>
        <v>5.5683494540387137</v>
      </c>
      <c r="Y77" s="17">
        <f>Table2[[#This Row],[Asset growth A2 with benefit payments deducted]]/(1+Table2[[#This Row],[Compounded CPI]])</f>
        <v>1.9029276618264885</v>
      </c>
      <c r="Z77" s="19">
        <f>Table2[[#This Row],[Asset growth A2 with benefit payments deducted]]/(1+Table2[Compounded discount rate A2])</f>
        <v>0.97941071512003941</v>
      </c>
      <c r="AA77" s="82">
        <f>Table2[CPI]+2.8%</f>
        <v>5.57E-2</v>
      </c>
      <c r="AB77" s="18">
        <f t="shared" si="10"/>
        <v>7.8908289179353659</v>
      </c>
      <c r="AC77" s="17">
        <f>Table2[[#This Row],[Annual benefit payments (closed scheme)]]/((1+AB76)*(1+Table2[[#This Row],[Discount rate B]])^0.5)+AC76</f>
        <v>59.832757262997248</v>
      </c>
      <c r="AD77" s="45">
        <f>AD76*(1+Table2[Discount rate B])</f>
        <v>533.44973507612201</v>
      </c>
      <c r="AE77" s="16">
        <f>Table2[[#This Row],[Asset growth B]]/(1+Table2[Compounded CPI])</f>
        <v>182.30110474372304</v>
      </c>
      <c r="AF77" s="17">
        <f>(AF76*((1+Table2[Discount rate B])^0.5)-Table2[Annual benefit payments (closed scheme)])*(1+Table2[Discount rate B])^0.5</f>
        <v>1.486926562458778</v>
      </c>
      <c r="AG77" s="17">
        <f>Table2[[#This Row],[Asset growth B with benefit payments deducted]]/(1+Table2[Compounded CPI])</f>
        <v>0.50814226193277778</v>
      </c>
      <c r="AH77" s="19">
        <f>Table2[[#This Row],[Asset growth B with benefit payments deducted]]/(1+Table2[Compounded discount rate B])</f>
        <v>0.1672427370027578</v>
      </c>
      <c r="AI77" s="11">
        <f>Table2[CPI]+2.56%</f>
        <v>5.33E-2</v>
      </c>
      <c r="AJ77" s="18">
        <f t="shared" si="11"/>
        <v>9.0185569120582567</v>
      </c>
      <c r="AK77" s="17">
        <f>Table2[[#This Row],[Annual benefit payments (closed scheme)]]/((1+AJ76)*(1+Table2[[#This Row],[Discount rate C]])^0.5)+AK76</f>
        <v>51.820190807809595</v>
      </c>
      <c r="AL77" s="17">
        <f>AL76*(1+Table2[Discount rate C])</f>
        <v>601.11341472349545</v>
      </c>
      <c r="AM77" s="17">
        <f>Table2[[#This Row],[Asset growth C]]/(1+Table2[Compounded CPI])</f>
        <v>205.42448964704735</v>
      </c>
      <c r="AN77" s="17">
        <f>(AN76*((1+Table2[Discount rate C])^0.5)-Table2[Annual benefit payments (closed scheme)])*(1+Table2[Discount rate C])^0.5</f>
        <v>81.949883921736358</v>
      </c>
      <c r="AO77" s="17">
        <f>Table2[[#This Row],[Asset growth C with benefit payments deducted]]/(1+Table2[Compounded CPI])</f>
        <v>28.005552145265504</v>
      </c>
      <c r="AP77" s="19">
        <f>Table2[[#This Row],[Asset growth C with benefit payments deducted]]/(1+Table2[Compounded discount rate C])</f>
        <v>8.1798091921903566</v>
      </c>
      <c r="AQ77" s="11">
        <f>Table2[CPI]+2.56%</f>
        <v>5.33E-2</v>
      </c>
      <c r="AR77" s="18">
        <f t="shared" si="12"/>
        <v>8.3780417571478818</v>
      </c>
      <c r="AS77" s="17">
        <f>Table2[[#This Row],[Annual benefit payments (closed scheme)]]/((1+AR76)*(1+Table2[[#This Row],[Discount rate D]])^0.5)+AS76</f>
        <v>54.283263097418171</v>
      </c>
      <c r="AT77" s="16">
        <f>AT76*(1+Table2[Discount rate D])</f>
        <v>562.68250542887279</v>
      </c>
      <c r="AU77" s="17">
        <f>Table2[[#This Row],[Asset growth D]]/(1+Table2[Compounded CPI])</f>
        <v>192.29111126095481</v>
      </c>
      <c r="AV77" s="17">
        <f>(AV76*((1+Table2[Discount rate D])^0.5)-Table2[Annual benefit payments (closed scheme)])*(1+Table2[Discount rate D])^0.5</f>
        <v>53.61179738704076</v>
      </c>
      <c r="AW77" s="17">
        <f>Table2[[#This Row],[Asset growth D with benefit payments deducted]]/(1+Table2[Compounded CPI])</f>
        <v>18.321294863066193</v>
      </c>
      <c r="AX77" s="19">
        <f>Table2[[#This Row],[Asset growth D with benefit payments deducted]]/(1+Table2[Compounded discount rate D])</f>
        <v>5.7167369025818422</v>
      </c>
      <c r="AY77" s="11">
        <f>Table2[CPI]+4%</f>
        <v>6.7699999999999996E-2</v>
      </c>
      <c r="AZ77" s="18">
        <f t="shared" si="13"/>
        <v>15.84485883999141</v>
      </c>
      <c r="BA77" s="17">
        <f>Table2[[#This Row],[Annual benefit payments (closed scheme)]]/((1+AZ76)*(1+Table2[[#This Row],[Discount rate E]])^0.5)+BA76</f>
        <v>48.000670350713072</v>
      </c>
      <c r="BB77" s="17">
        <f>BB76*(1+Table2[Discount rate E])</f>
        <v>1010.6915303994856</v>
      </c>
      <c r="BC77" s="16">
        <f>Table2[[#This Row],[Asset growth E]]/(1+Table2[Compounded CPI])</f>
        <v>345.3937089698963</v>
      </c>
      <c r="BD77" s="17">
        <f>(BD76*((1+Table2[Discount rate E])^0.5)-Table2[Annual benefit payments (closed scheme)])*(1+Table2[Discount rate E])^0.5</f>
        <v>202.1270141167623</v>
      </c>
      <c r="BE77" s="17">
        <f>Table2[[#This Row],[Asset growth E with benefit payments deducted]]/(1+Table2[Compounded CPI])</f>
        <v>69.074882878661001</v>
      </c>
      <c r="BF77" s="19">
        <f>Table2[[#This Row],[Asset growth E with benefit payments deducted]]/(1+Table2[Compounded discount rate E])</f>
        <v>11.999329649286949</v>
      </c>
      <c r="BG77" s="11">
        <f>Table2[[#This Row],[Long-dated forward gilt yields]]+0.75%</f>
        <v>2.5600000000000001E-2</v>
      </c>
      <c r="BH77" s="11">
        <f t="shared" si="14"/>
        <v>2.3274976443138149</v>
      </c>
      <c r="BI77" s="17">
        <f>((Table2[[#This Row],[Annual benefit payments (closed scheme)]])*1.005^(Table2[[#This Row],[Year]]-2018))/((1+BH76)*(1+Table2[[#This Row],[Discount rate F]])^0.5)+BI76</f>
        <v>79.877606820243727</v>
      </c>
      <c r="BJ77" s="17">
        <f>BJ76*(1+Table2[Discount rate F])</f>
        <v>273.9977851633264</v>
      </c>
      <c r="BK77" s="17">
        <f>Table2[[#This Row],[Asset growth F, under the assumption of full-funding at Year 0]]/(1+Table2[[#This Row],[Compounded CPI]])</f>
        <v>93.635999135850966</v>
      </c>
      <c r="BL77" s="17">
        <f>(BL76*((1+Table2[Discount rate F])^0.5)-Table2[Annual benefit payments (closed scheme)]*1.005^(Table2[Year]-2018))*(1+Table2[Discount rate F])^0.5</f>
        <v>8.2052366355401958</v>
      </c>
      <c r="BM77" s="17">
        <f>Table2[[#This Row],[Asset growth F with benefit payments deducted]]/(1+Table2[Compounded CPI])</f>
        <v>2.8040574490663048</v>
      </c>
      <c r="BN77" s="19">
        <f>Table2[[#This Row],[Asset growth F with benefit payments deducted]]/(1+Table2[Compounded discount rate F])</f>
        <v>2.4658880373849974</v>
      </c>
      <c r="BO77" s="18">
        <f>(1+BO76)*(1+Table2[Discount rate A2])-1</f>
        <v>2.1975033333511074</v>
      </c>
      <c r="BP77" s="17">
        <f>Table2[[#This Row],[Annual benefit payments (ongoing scheme)]]/((1+BO76)*(1+Table2[[#This Row],[Discount rate A2]])^0.5)+BP76</f>
        <v>95.304677086047647</v>
      </c>
      <c r="BQ77" s="17">
        <f>(BQ76*((1+Table2[Discount rate A2])^0.5)-Table2[Annual benefit payments (ongoing scheme)])*(1+Table2[Discount rate A2])^0.5</f>
        <v>55.011433627358436</v>
      </c>
      <c r="BR77" s="18">
        <f>(1+BR76)*(1+Table2[Discount rate B])-1</f>
        <v>3.5310981969137289</v>
      </c>
      <c r="BS77" s="17">
        <f>Table2[[#This Row],[Annual benefit payments (ongoing scheme)]]/((1+BR76)*(1+Table2[[#This Row],[Discount rate B]])^0.5)+BS76</f>
        <v>82.444611729326425</v>
      </c>
      <c r="BT77" s="18">
        <f>(1+BT76)*(1+Table2[Discount rate E])-1</f>
        <v>5.6001699377396097</v>
      </c>
      <c r="BU77" s="17">
        <f>Table2[[#This Row],[Annual benefit payments (ongoing scheme)]]/((1+BT76)*(1+Table2[[#This Row],[Discount rate E]])^0.5)+BU76</f>
        <v>71.219805848021181</v>
      </c>
      <c r="BV77" s="18">
        <f>Table2[CPI]+0.75%+0.75%</f>
        <v>4.2699999999999995E-2</v>
      </c>
      <c r="BW77" s="18">
        <f>(1+BW76)*(1+Table2[Self-sufficiency discount rate, from 2037])-1</f>
        <v>1.9999391856539863</v>
      </c>
      <c r="BX77" s="17">
        <f>(Table2[[#This Row],[Annual benefit payments (ongoing scheme)]]*1.005^(Table2[[#This Row],[Year]]-2038))/((1+BW76)*(1+Table2[[#This Row],[Self-sufficiency discount rate, from 2037]])^0.5)+BX76</f>
        <v>105.0547854497413</v>
      </c>
      <c r="BY77" s="17">
        <f>(BY76*((1+Table2[Self-sufficiency discount rate, from 2037])^0.5)-Table2[Annual benefit payments (ongoing scheme)]*1.005^(Table2[Year]-2038))*(1+Table2[Self-sufficiency discount rate, from 2037])^0.5</f>
        <v>68.985809540067891</v>
      </c>
      <c r="BZ77" s="17">
        <f>(BZ76*((1+Table2[Discount rate B])^0.5)-Table2[Annual benefit payments (ongoing scheme)])*(1+Table2[Discount rate B])^0.5</f>
        <v>50.151692673741167</v>
      </c>
      <c r="CA77" s="17">
        <f>(CA76*((1+Table2[Discount rate A2])^0.5)+Table2[Net cashflow (ongoing scheme)])*(1+Table2[Discount rate A2])^0.5</f>
        <v>53.953171106864424</v>
      </c>
      <c r="CB77" s="17">
        <f>Table2[[#This Row],[Asset growth, ongoing scheme, with November de-risking, net of contributions and payments]]/(1+Table2[Compounded discount rate A2])</f>
        <v>9.4897625109432564</v>
      </c>
      <c r="CC77" s="17">
        <f>Table2[[#This Row],[Asset growth, ongoing scheme, with November de-risking, net of contributions and payments]]/(1+Table2[Compounded CPI])</f>
        <v>18.43795591313766</v>
      </c>
      <c r="CD77" s="17">
        <f>(CD76*((1+Table2[Discount rate A1])^0.5)+Table2[Net cashflow (ongoing scheme)])*(1+Table2[Discount rate A1])^0.5</f>
        <v>72.315227415935254</v>
      </c>
      <c r="CE77" s="17">
        <f>Table2[[#This Row],[Asset growth, ongoing scheme, with September de-risking, net of contributions and payments]]/(1+Table2[Compounded discount rate A1])</f>
        <v>12.081009076659186</v>
      </c>
      <c r="CF77" s="17">
        <f>Table2[[#This Row],[Asset growth, ongoing scheme, with September de-risking, net of contributions and payments]]/(1+Table2[Compounded CPI])</f>
        <v>24.713004770425766</v>
      </c>
      <c r="CG77" s="17">
        <f>(CG76*((1+Table2[Discount rate B])^0.5)+Table2[Net cashflow (ongoing scheme)])*(1+Table2[Discount rate B])^0.5</f>
        <v>186.23299602240095</v>
      </c>
      <c r="CH77" s="17">
        <f>Table2[[#This Row],[Asset growth, ongoing scheme, no de-risking, net of contributions and payments]]/(1+Table2[Compounded discount rate B])</f>
        <v>20.946640379809278</v>
      </c>
      <c r="CI77" s="17">
        <f>Table2[[#This Row],[Asset growth, ongoing scheme, no de-risking, net of contributions and payments]]/(1+Table2[Compounded CPI])</f>
        <v>63.64326136514515</v>
      </c>
      <c r="CJ77" s="17">
        <f>(CJ76*((1+Table2[Discount rate E])^0.5)+Table2[Net cashflow (ongoing scheme)])*(1+Table2[Discount rate E])^0.5</f>
        <v>583.61946768699738</v>
      </c>
      <c r="CK77" s="17">
        <f>Table2[[#This Row],[Asset growth, ongoing scheme, best-estimates, no de-risking, net of contributions and payments ]]/(1+Table2[Compounded discount rate E])</f>
        <v>34.646741372591698</v>
      </c>
      <c r="CL77" s="17">
        <f>Table2[[#This Row],[Asset growth, ongoing scheme, best-estimates, no de-risking, net of contributions and payments ]]/(1+Table2[Compounded CPI])</f>
        <v>199.44610844000317</v>
      </c>
      <c r="CM77" s="9">
        <f t="shared" ref="CM77:CM140" si="24">CM76</f>
        <v>2.7699999999999999E-2</v>
      </c>
      <c r="CN77" s="11">
        <f>(1+Table2[[#This Row],[CPI]])*(1+CN76)-1</f>
        <v>1.9262013295313816</v>
      </c>
      <c r="CO77" s="11">
        <f t="shared" si="23"/>
        <v>1.8100000000000002E-2</v>
      </c>
      <c r="CP77" s="11">
        <f>Table2[[#This Row],[CPI]]+2%</f>
        <v>4.7699999999999999E-2</v>
      </c>
      <c r="CQ77" s="26">
        <f>(1+Table2[[#This Row],[Salary growth]])*(1+CQ76)-1</f>
        <v>6.9515532550655559</v>
      </c>
      <c r="CR77" s="15">
        <f t="shared" si="17"/>
        <v>29.262013295313803</v>
      </c>
      <c r="CS77" s="17">
        <f t="shared" si="18"/>
        <v>38.040617283907949</v>
      </c>
      <c r="CT77" s="17">
        <f>CT76*(1+Table2[[#This Row],[Salary growth]])</f>
        <v>79.515532550655593</v>
      </c>
      <c r="CU77" s="19">
        <f t="shared" si="22"/>
        <v>103.37019231585225</v>
      </c>
      <c r="CV77" s="112">
        <f>('Cash flows as at 31032017'!B62)/1000000000</f>
        <v>0.94309194500000004</v>
      </c>
      <c r="CW77" s="113">
        <v>0</v>
      </c>
      <c r="CX77" s="113">
        <f>Table2[[#This Row],[Annual contributions (closed scheme)]]-Table2[[#This Row],[Annual benefit payments (closed scheme)]]</f>
        <v>-0.94309194500000004</v>
      </c>
      <c r="CY77" s="113">
        <v>4.8600000000000003</v>
      </c>
      <c r="CZ77" s="113">
        <v>0</v>
      </c>
      <c r="DA77" s="113">
        <v>-4.8600000000000003</v>
      </c>
      <c r="DB77" s="17"/>
      <c r="DC77" s="84"/>
      <c r="DD77" s="84"/>
      <c r="DE77" s="84"/>
      <c r="DF77" s="84"/>
      <c r="DG77" s="84"/>
      <c r="DH77" s="84"/>
      <c r="DI77" s="84"/>
      <c r="DJ77" s="84"/>
      <c r="DK77" s="84"/>
      <c r="DL77" s="84"/>
      <c r="DM77" s="84"/>
      <c r="DN77" s="84"/>
      <c r="DO77" s="84"/>
      <c r="DP77" s="84"/>
      <c r="DQ77" s="84"/>
      <c r="DR77" s="84"/>
      <c r="DS77" s="84"/>
      <c r="DT77" s="84"/>
      <c r="DU77" s="84"/>
      <c r="DV77" s="84"/>
      <c r="DW77" s="84"/>
      <c r="DX77" s="84"/>
      <c r="DY77" s="84"/>
      <c r="DZ77" s="84"/>
      <c r="EA77" s="84"/>
      <c r="EB77" s="84"/>
      <c r="EC77" s="84"/>
      <c r="ED77" s="84"/>
      <c r="EE77" s="84"/>
      <c r="EF77" s="84"/>
      <c r="EG77" s="84"/>
      <c r="EH77" s="84"/>
      <c r="EI77" s="84"/>
      <c r="EJ77" s="84"/>
      <c r="EK77" s="84"/>
      <c r="EL77" s="84"/>
      <c r="EM77" s="84"/>
      <c r="EN77" s="84"/>
      <c r="EO77" s="84"/>
      <c r="EP77" s="84"/>
      <c r="EQ77" s="84"/>
      <c r="ER77" s="84"/>
      <c r="ES77" s="84"/>
      <c r="ET77" s="84"/>
      <c r="EU77" s="84"/>
      <c r="EV77" s="84"/>
      <c r="EW77" s="84"/>
      <c r="EX77" s="84"/>
      <c r="EY77" s="84"/>
      <c r="EZ77" s="84"/>
      <c r="FA77" s="84"/>
      <c r="FB77" s="84"/>
      <c r="FC77" s="84"/>
      <c r="FD77" s="84"/>
    </row>
    <row r="78" spans="1:163" x14ac:dyDescent="0.2">
      <c r="A78" s="8">
        <v>2071</v>
      </c>
      <c r="B78" s="67"/>
      <c r="C78" s="67"/>
      <c r="D78" s="67"/>
      <c r="E78" s="35">
        <v>6.0999999999999999E-2</v>
      </c>
      <c r="F78" s="16">
        <f>F77*(1+Table2[[#This Row],[2008 discount rate]])</f>
        <v>1405.111527053569</v>
      </c>
      <c r="G78" s="18">
        <v>6.0999999999999999E-2</v>
      </c>
      <c r="H78" s="16">
        <f>H77*(1+Table2[[#This Row],[2011 discount rate]])</f>
        <v>1154.6662380667101</v>
      </c>
      <c r="I78" s="18">
        <v>5.1999999999999998E-2</v>
      </c>
      <c r="J78" s="16">
        <f>J77*(1+Table2[[#This Row],[2014 discount rate]])</f>
        <v>749.9156498779297</v>
      </c>
      <c r="K78" s="9">
        <f>Table2[CPI]+1.7%</f>
        <v>4.4700000000000004E-2</v>
      </c>
      <c r="L78" s="66">
        <f t="shared" si="21"/>
        <v>5.2534278057441126</v>
      </c>
      <c r="M78" s="17">
        <f>Table2[[#This Row],[Annual benefit payments (closed scheme)]]/((1+L77)*(1+Table2[[#This Row],[Discount rate A1]])^0.5)+M77</f>
        <v>64.134213162307276</v>
      </c>
      <c r="N78" s="17">
        <f>N77*(1+Table2[Discount rate A1])</f>
        <v>405.98859643001413</v>
      </c>
      <c r="O78" s="17">
        <f>Table2[[#This Row],[Asset growth A1, under the assumption of full-funding at Year 0]]/(1+Table2[[#This Row],[Compounded CPI]])</f>
        <v>135.00295520841109</v>
      </c>
      <c r="P78" s="17">
        <f>(P77*((1+Table2[Discount rate A1])^0.5)-Table2[Annual benefit payments (closed scheme)])*(1+Table2[Discount rate A1])^0.5</f>
        <v>4.9299245413213217</v>
      </c>
      <c r="Q78" s="17">
        <f>Table2[[#This Row],[Asset growth A1 with benefit payments deducted]]/(1+Table2[Compounded CPI])</f>
        <v>1.6393425526856633</v>
      </c>
      <c r="R78" s="17">
        <f>Table2[[#This Row],[Asset growth A1 with benefit payments deducted]]/(1+Table2[Compounded discount rate A1])</f>
        <v>0.78835555386006351</v>
      </c>
      <c r="S78" s="9">
        <f>Table2[CPI]+1.7%</f>
        <v>4.4700000000000004E-2</v>
      </c>
      <c r="T78" s="18">
        <f t="shared" si="20"/>
        <v>4.939545672543785</v>
      </c>
      <c r="U78" s="17">
        <f>Table2[[#This Row],[Annual benefit payments (closed scheme)]]/((1+T77)*(1+Table2[[#This Row],[Discount rate A2]])^0.5)+U77</f>
        <v>66.681288921650747</v>
      </c>
      <c r="V78" s="17">
        <f>V77*(1+Table2[Discount rate A2])</f>
        <v>400.98648559555369</v>
      </c>
      <c r="W78" s="17">
        <f>Table2[[#This Row],[Asset growth A2, under the assumption of full-funding at Year 0]]/(1+Table2[Compounded CPI])</f>
        <v>133.33960862461467</v>
      </c>
      <c r="X78" s="17">
        <f>(X77*((1+Table2[Discount rate A2])^0.5)-Table2[Annual benefit payments (closed scheme)])*(1+Table2[Discount rate A2])^0.5</f>
        <v>4.929924541321439</v>
      </c>
      <c r="Y78" s="17">
        <f>Table2[[#This Row],[Asset growth A2 with benefit payments deducted]]/(1+Table2[[#This Row],[Compounded CPI]])</f>
        <v>1.6393425526857024</v>
      </c>
      <c r="Z78" s="19">
        <f>Table2[[#This Row],[Asset growth A2 with benefit payments deducted]]/(1+Table2[Compounded discount rate A2])</f>
        <v>0.83001711125996847</v>
      </c>
      <c r="AA78" s="82">
        <f>Table2[CPI]+2.8%</f>
        <v>5.57E-2</v>
      </c>
      <c r="AB78" s="18">
        <f t="shared" si="10"/>
        <v>8.3860480886643671</v>
      </c>
      <c r="AC78" s="17">
        <f>Table2[[#This Row],[Annual benefit payments (closed scheme)]]/((1+AB77)*(1+Table2[[#This Row],[Discount rate B]])^0.5)+AC77</f>
        <v>59.92779080554353</v>
      </c>
      <c r="AD78" s="45">
        <f>AD77*(1+Table2[Discount rate B])</f>
        <v>563.16288531986208</v>
      </c>
      <c r="AE78" s="16">
        <f>Table2[[#This Row],[Asset growth B]]/(1+Table2[Compounded CPI])</f>
        <v>187.26795395343819</v>
      </c>
      <c r="AF78" s="17">
        <f>(AF77*((1+Table2[Discount rate B])^0.5)-Table2[Annual benefit payments (closed scheme)])*(1+Table2[Discount rate B])^0.5</f>
        <v>0.67775897161217824</v>
      </c>
      <c r="AG78" s="17">
        <f>Table2[[#This Row],[Asset growth B with benefit payments deducted]]/(1+Table2[Compounded CPI])</f>
        <v>0.22537446837482955</v>
      </c>
      <c r="AH78" s="19">
        <f>Table2[[#This Row],[Asset growth B with benefit payments deducted]]/(1+Table2[Compounded discount rate B])</f>
        <v>7.2209194456473669E-2</v>
      </c>
      <c r="AI78" s="11">
        <f>Table2[CPI]+2.56%</f>
        <v>5.33E-2</v>
      </c>
      <c r="AJ78" s="18">
        <f t="shared" si="11"/>
        <v>9.5525459954709611</v>
      </c>
      <c r="AK78" s="17">
        <f>Table2[[#This Row],[Annual benefit payments (closed scheme)]]/((1+AJ77)*(1+Table2[[#This Row],[Discount rate C]])^0.5)+AK77</f>
        <v>51.904623030278927</v>
      </c>
      <c r="AL78" s="17">
        <f>AL77*(1+Table2[Discount rate C])</f>
        <v>633.15275972825771</v>
      </c>
      <c r="AM78" s="17">
        <f>Table2[[#This Row],[Asset growth C]]/(1+Table2[Compounded CPI])</f>
        <v>210.54161228494203</v>
      </c>
      <c r="AN78" s="17">
        <f>(AN77*((1+Table2[Discount rate C])^0.5)-Table2[Annual benefit payments (closed scheme)])*(1+Table2[Discount rate C])^0.5</f>
        <v>85.426837823657465</v>
      </c>
      <c r="AO78" s="17">
        <f>Table2[[#This Row],[Asset growth C with benefit payments deducted]]/(1+Table2[Compounded CPI])</f>
        <v>28.406895320990888</v>
      </c>
      <c r="AP78" s="19">
        <f>Table2[[#This Row],[Asset growth C with benefit payments deducted]]/(1+Table2[Compounded discount rate C])</f>
        <v>8.0953769697210269</v>
      </c>
      <c r="AQ78" s="11">
        <f>Table2[CPI]+2.56%</f>
        <v>5.33E-2</v>
      </c>
      <c r="AR78" s="18">
        <f t="shared" si="12"/>
        <v>8.8778913828038633</v>
      </c>
      <c r="AS78" s="17">
        <f>Table2[[#This Row],[Annual benefit payments (closed scheme)]]/((1+AR77)*(1+Table2[[#This Row],[Discount rate D]])^0.5)+AS77</f>
        <v>54.373461994792009</v>
      </c>
      <c r="AT78" s="16">
        <f>AT77*(1+Table2[Discount rate D])</f>
        <v>592.67348296823161</v>
      </c>
      <c r="AU78" s="17">
        <f>Table2[[#This Row],[Asset growth D]]/(1+Table2[Compounded CPI])</f>
        <v>197.08108153270766</v>
      </c>
      <c r="AV78" s="17">
        <f>(AV77*((1+Table2[Discount rate D])^0.5)-Table2[Annual benefit payments (closed scheme)])*(1+Table2[Discount rate D])^0.5</f>
        <v>55.578331276662588</v>
      </c>
      <c r="AW78" s="17">
        <f>Table2[[#This Row],[Asset growth D with benefit payments deducted]]/(1+Table2[Compounded CPI])</f>
        <v>18.481403255854623</v>
      </c>
      <c r="AX78" s="19">
        <f>Table2[[#This Row],[Asset growth D with benefit payments deducted]]/(1+Table2[Compounded discount rate D])</f>
        <v>5.6265380052080047</v>
      </c>
      <c r="AY78" s="11">
        <f>Table2[CPI]+4%</f>
        <v>6.7699999999999996E-2</v>
      </c>
      <c r="AZ78" s="18">
        <f t="shared" si="13"/>
        <v>16.985255783458829</v>
      </c>
      <c r="BA78" s="17">
        <f>Table2[[#This Row],[Annual benefit payments (closed scheme)]]/((1+AZ77)*(1+Table2[[#This Row],[Discount rate E]])^0.5)+BA77</f>
        <v>48.050547019025629</v>
      </c>
      <c r="BB78" s="17">
        <f>BB77*(1+Table2[Discount rate E])</f>
        <v>1079.1153470075308</v>
      </c>
      <c r="BC78" s="16">
        <f>Table2[[#This Row],[Asset growth E]]/(1+Table2[Compounded CPI])</f>
        <v>358.83707606028827</v>
      </c>
      <c r="BD78" s="17">
        <f>(BD77*((1+Table2[Discount rate E])^0.5)-Table2[Annual benefit payments (closed scheme)])*(1+Table2[Discount rate E])^0.5</f>
        <v>214.91396833523908</v>
      </c>
      <c r="BE78" s="17">
        <f>Table2[[#This Row],[Asset growth E with benefit payments deducted]]/(1+Table2[Compounded CPI])</f>
        <v>71.465112803545722</v>
      </c>
      <c r="BF78" s="19">
        <f>Table2[[#This Row],[Asset growth E with benefit payments deducted]]/(1+Table2[Compounded discount rate E])</f>
        <v>11.949452980974394</v>
      </c>
      <c r="BG78" s="11">
        <f>Table2[[#This Row],[Long-dated forward gilt yields]]+0.75%</f>
        <v>2.5600000000000001E-2</v>
      </c>
      <c r="BH78" s="11">
        <f t="shared" si="14"/>
        <v>2.4126815840082489</v>
      </c>
      <c r="BI78" s="17">
        <f>((Table2[[#This Row],[Annual benefit payments (closed scheme)]])*1.005^(Table2[[#This Row],[Year]]-2018))/((1+BH77)*(1+Table2[[#This Row],[Discount rate F]])^0.5)+BI77</f>
        <v>80.213177450177184</v>
      </c>
      <c r="BJ78" s="17">
        <f>BJ77*(1+Table2[Discount rate F])</f>
        <v>281.01212846350757</v>
      </c>
      <c r="BK78" s="17">
        <f>Table2[[#This Row],[Asset growth F, under the assumption of full-funding at Year 0]]/(1+Table2[[#This Row],[Compounded CPI]])</f>
        <v>93.44466353384135</v>
      </c>
      <c r="BL78" s="17">
        <f>(BL77*((1+Table2[Discount rate F])^0.5)-Table2[Annual benefit payments (closed scheme)]*1.005^(Table2[Year]-2018))*(1+Table2[Discount rate F])^0.5</f>
        <v>7.2700949845020721</v>
      </c>
      <c r="BM78" s="17">
        <f>Table2[[#This Row],[Asset growth F with benefit payments deducted]]/(1+Table2[Compounded CPI])</f>
        <v>2.4175169356581159</v>
      </c>
      <c r="BN78" s="19">
        <f>Table2[[#This Row],[Asset growth F with benefit payments deducted]]/(1+Table2[Compounded discount rate F])</f>
        <v>2.1303174074515412</v>
      </c>
      <c r="BO78" s="18">
        <f>(1+BO77)*(1+Table2[Discount rate A2])-1</f>
        <v>2.3404317323519019</v>
      </c>
      <c r="BP78" s="17">
        <f>Table2[[#This Row],[Annual benefit payments (ongoing scheme)]]/((1+BO77)*(1+Table2[[#This Row],[Discount rate A2]])^0.5)+BP77</f>
        <v>96.758082609644532</v>
      </c>
      <c r="BQ78" s="17">
        <f>(BQ77*((1+Table2[Discount rate A2])^0.5)-Table2[Annual benefit payments (ongoing scheme)])*(1+Table2[Discount rate A2])^0.5</f>
        <v>52.615442779502764</v>
      </c>
      <c r="BR78" s="18">
        <f>(1+BR77)*(1+Table2[Discount rate B])-1</f>
        <v>3.7834803664818244</v>
      </c>
      <c r="BS78" s="17">
        <f>Table2[[#This Row],[Annual benefit payments (ongoing scheme)]]/((1+BR77)*(1+Table2[[#This Row],[Discount rate B]])^0.5)+BS77</f>
        <v>83.464892906650348</v>
      </c>
      <c r="BT78" s="18">
        <f>(1+BT77)*(1+Table2[Discount rate E])-1</f>
        <v>6.0470014425245822</v>
      </c>
      <c r="BU78" s="17">
        <f>Table2[[#This Row],[Annual benefit payments (ongoing scheme)]]/((1+BT77)*(1+Table2[[#This Row],[Discount rate E]])^0.5)+BU77</f>
        <v>71.916294220652858</v>
      </c>
      <c r="BV78" s="18">
        <f>Table2[CPI]+0.75%+0.75%</f>
        <v>4.2699999999999995E-2</v>
      </c>
      <c r="BW78" s="18">
        <f>(1+BW77)*(1+Table2[Self-sufficiency discount rate, from 2037])-1</f>
        <v>2.1280365888814115</v>
      </c>
      <c r="BX78" s="17">
        <f>(Table2[[#This Row],[Annual benefit payments (ongoing scheme)]]*1.005^(Table2[[#This Row],[Year]]-2038))/((1+BW77)*(1+Table2[[#This Row],[Self-sufficiency discount rate, from 2037]])^0.5)+BX77</f>
        <v>106.88280783640397</v>
      </c>
      <c r="BY78" s="17">
        <f>(BY77*((1+Table2[Self-sufficiency discount rate, from 2037])^0.5)-Table2[Annual benefit payments (ongoing scheme)]*1.005^(Table2[Year]-2038))*(1+Table2[Self-sufficiency discount rate, from 2037])^0.5</f>
        <v>66.213382696653625</v>
      </c>
      <c r="BZ78" s="17">
        <f>(BZ77*((1+Table2[Discount rate B])^0.5)-Table2[Annual benefit payments (ongoing scheme)])*(1+Table2[Discount rate B])^0.5</f>
        <v>48.064646975648593</v>
      </c>
      <c r="CA78" s="17">
        <f>(CA77*((1+Table2[Discount rate A2])^0.5)+Table2[Net cashflow (ongoing scheme)])*(1+Table2[Discount rate A2])^0.5</f>
        <v>51.509875924342673</v>
      </c>
      <c r="CB78" s="17">
        <f>Table2[[#This Row],[Asset growth, ongoing scheme, with November de-risking, net of contributions and payments]]/(1+Table2[Compounded discount rate A2])</f>
        <v>8.6723595985552979</v>
      </c>
      <c r="CC78" s="17">
        <f>Table2[[#This Row],[Asset growth, ongoing scheme, with November de-risking, net of contributions and payments]]/(1+Table2[Compounded CPI])</f>
        <v>17.128524134306815</v>
      </c>
      <c r="CD78" s="17">
        <f>(CD77*((1+Table2[Discount rate A1])^0.5)+Table2[Net cashflow (ongoing scheme)])*(1+Table2[Discount rate A1])^0.5</f>
        <v>70.692716150428964</v>
      </c>
      <c r="CE78" s="17">
        <f>Table2[[#This Row],[Asset growth, ongoing scheme, with September de-risking, net of contributions and payments]]/(1+Table2[Compounded discount rate A1])</f>
        <v>11.304634569458669</v>
      </c>
      <c r="CF78" s="17">
        <f>Table2[[#This Row],[Asset growth, ongoing scheme, with September de-risking, net of contributions and payments]]/(1+Table2[Compounded CPI])</f>
        <v>23.507373546789914</v>
      </c>
      <c r="CG78" s="17">
        <f>(CG77*((1+Table2[Discount rate B])^0.5)+Table2[Net cashflow (ongoing scheme)])*(1+Table2[Discount rate B])^0.5</f>
        <v>191.7256789208287</v>
      </c>
      <c r="CH78" s="17">
        <f>Table2[[#This Row],[Asset growth, ongoing scheme, no de-risking, net of contributions and payments]]/(1+Table2[Compounded discount rate B])</f>
        <v>20.426667017866432</v>
      </c>
      <c r="CI78" s="17">
        <f>Table2[[#This Row],[Asset growth, ongoing scheme, no de-risking, net of contributions and payments]]/(1+Table2[Compounded CPI])</f>
        <v>63.75433564206709</v>
      </c>
      <c r="CJ78" s="17">
        <f>(CJ77*((1+Table2[Discount rate E])^0.5)+Table2[Net cashflow (ongoing scheme)])*(1+Table2[Discount rate E])^0.5</f>
        <v>618.22235108277005</v>
      </c>
      <c r="CK78" s="17">
        <f>Table2[[#This Row],[Asset growth, ongoing scheme, best-estimates, no de-risking, net of contributions and payments ]]/(1+Table2[Compounded discount rate E])</f>
        <v>34.373842581174387</v>
      </c>
      <c r="CL78" s="17">
        <f>Table2[[#This Row],[Asset growth, ongoing scheme, best-estimates, no de-risking, net of contributions and payments ]]/(1+Table2[Compounded CPI])</f>
        <v>205.57681941308729</v>
      </c>
      <c r="CM78" s="9">
        <f t="shared" si="24"/>
        <v>2.7699999999999999E-2</v>
      </c>
      <c r="CN78" s="11">
        <f>(1+Table2[[#This Row],[CPI]])*(1+CN77)-1</f>
        <v>2.0072571063594009</v>
      </c>
      <c r="CO78" s="11">
        <f t="shared" si="23"/>
        <v>1.8100000000000002E-2</v>
      </c>
      <c r="CP78" s="11">
        <f>Table2[[#This Row],[CPI]]+2%</f>
        <v>4.7699999999999999E-2</v>
      </c>
      <c r="CQ78" s="26">
        <f>(1+Table2[[#This Row],[Salary growth]])*(1+CQ77)-1</f>
        <v>7.3308423453321829</v>
      </c>
      <c r="CR78" s="15">
        <f t="shared" si="17"/>
        <v>30.072571063593998</v>
      </c>
      <c r="CS78" s="17">
        <f t="shared" si="18"/>
        <v>39.094342382672203</v>
      </c>
      <c r="CT78" s="17">
        <f>CT77*(1+Table2[[#This Row],[Salary growth]])</f>
        <v>83.308423453321865</v>
      </c>
      <c r="CU78" s="19">
        <f t="shared" si="22"/>
        <v>108.30095048931841</v>
      </c>
      <c r="CV78" s="112">
        <f>('Cash flows as at 31032017'!B63)/1000000000</f>
        <v>0.86813933200000004</v>
      </c>
      <c r="CW78" s="113">
        <v>0</v>
      </c>
      <c r="CX78" s="113">
        <f>Table2[[#This Row],[Annual contributions (closed scheme)]]-Table2[[#This Row],[Annual benefit payments (closed scheme)]]</f>
        <v>-0.86813933200000004</v>
      </c>
      <c r="CY78" s="113">
        <v>4.75</v>
      </c>
      <c r="CZ78" s="113">
        <v>0</v>
      </c>
      <c r="DA78" s="113">
        <v>-4.75</v>
      </c>
      <c r="DB78" s="17"/>
      <c r="DC78" s="84"/>
      <c r="DD78" s="84"/>
      <c r="DE78" s="84"/>
      <c r="DF78" s="84"/>
      <c r="DG78" s="84"/>
      <c r="DH78" s="84"/>
      <c r="DI78" s="84"/>
      <c r="DJ78" s="84"/>
      <c r="DK78" s="84"/>
      <c r="DL78" s="84"/>
      <c r="DM78" s="84"/>
      <c r="DN78" s="84"/>
      <c r="DO78" s="84"/>
      <c r="DP78" s="84"/>
      <c r="DQ78" s="84"/>
      <c r="DR78" s="84"/>
      <c r="DS78" s="84"/>
      <c r="DT78" s="84"/>
      <c r="DU78" s="84"/>
      <c r="DV78" s="84"/>
      <c r="DW78" s="84"/>
      <c r="DX78" s="84"/>
      <c r="DY78" s="84"/>
      <c r="DZ78" s="84"/>
      <c r="EA78" s="84"/>
      <c r="EB78" s="84"/>
      <c r="EC78" s="84"/>
      <c r="ED78" s="84"/>
      <c r="EE78" s="84"/>
      <c r="EF78" s="84"/>
      <c r="EG78" s="84"/>
      <c r="EH78" s="84"/>
      <c r="EI78" s="84"/>
      <c r="EJ78" s="84"/>
      <c r="EK78" s="84"/>
      <c r="EL78" s="84"/>
      <c r="EM78" s="84"/>
      <c r="EN78" s="84"/>
      <c r="EO78" s="84"/>
      <c r="EP78" s="84"/>
      <c r="EQ78" s="84"/>
      <c r="ER78" s="84"/>
      <c r="ES78" s="84"/>
      <c r="ET78" s="84"/>
      <c r="EU78" s="84"/>
      <c r="EV78" s="84"/>
      <c r="EW78" s="84"/>
      <c r="EX78" s="84"/>
      <c r="EY78" s="84"/>
      <c r="EZ78" s="84"/>
      <c r="FA78" s="84"/>
      <c r="FB78" s="84"/>
      <c r="FC78" s="84"/>
      <c r="FD78" s="84"/>
      <c r="FE78" s="84"/>
    </row>
    <row r="79" spans="1:163" x14ac:dyDescent="0.2">
      <c r="A79" s="8">
        <v>2072</v>
      </c>
      <c r="B79" s="67"/>
      <c r="C79" s="67"/>
      <c r="D79" s="67"/>
      <c r="E79" s="35">
        <v>6.0999999999999999E-2</v>
      </c>
      <c r="F79" s="16">
        <f>F78*(1+Table2[[#This Row],[2008 discount rate]])</f>
        <v>1490.8233302038366</v>
      </c>
      <c r="G79" s="18">
        <v>6.0999999999999999E-2</v>
      </c>
      <c r="H79" s="16">
        <f>H78*(1+Table2[[#This Row],[2011 discount rate]])</f>
        <v>1225.1008785887793</v>
      </c>
      <c r="I79" s="18">
        <v>5.1999999999999998E-2</v>
      </c>
      <c r="J79" s="16">
        <f>J78*(1+Table2[[#This Row],[2014 discount rate]])</f>
        <v>788.91126367158211</v>
      </c>
      <c r="K79" s="9">
        <f>Table2[CPI]+1.7%</f>
        <v>4.4700000000000004E-2</v>
      </c>
      <c r="L79" s="66">
        <f t="shared" si="21"/>
        <v>5.5329560286608741</v>
      </c>
      <c r="M79" s="17">
        <f>Table2[[#This Row],[Annual benefit payments (closed scheme)]]/((1+L78)*(1+Table2[[#This Row],[Discount rate A1]])^0.5)+M78</f>
        <v>64.258606194717615</v>
      </c>
      <c r="N79" s="17">
        <f>N78*(1+Table2[Discount rate A1])</f>
        <v>424.13628669043572</v>
      </c>
      <c r="O79" s="17">
        <f>Table2[[#This Row],[Asset growth A1, under the assumption of full-funding at Year 0]]/(1+Table2[[#This Row],[Compounded CPI]])</f>
        <v>137.2361460603552</v>
      </c>
      <c r="P79" s="17">
        <f>(P78*((1+Table2[Discount rate A1])^0.5)-Table2[Annual benefit payments (closed scheme)])*(1+Table2[Discount rate A1])^0.5</f>
        <v>4.3376379573098793</v>
      </c>
      <c r="Q79" s="17">
        <f>Table2[[#This Row],[Asset growth A1 with benefit payments deducted]]/(1+Table2[Compounded CPI])</f>
        <v>1.4035128211060064</v>
      </c>
      <c r="R79" s="17">
        <f>Table2[[#This Row],[Asset growth A1 with benefit payments deducted]]/(1+Table2[Compounded discount rate A1])</f>
        <v>0.66396252144972856</v>
      </c>
      <c r="S79" s="9">
        <f>Table2[CPI]+1.7%</f>
        <v>4.4700000000000004E-2</v>
      </c>
      <c r="T79" s="18">
        <f t="shared" si="20"/>
        <v>5.2050433641064915</v>
      </c>
      <c r="U79" s="17">
        <f>Table2[[#This Row],[Annual benefit payments (closed scheme)]]/((1+T78)*(1+Table2[[#This Row],[Discount rate A2]])^0.5)+U78</f>
        <v>66.812255647154927</v>
      </c>
      <c r="V79" s="17">
        <f>V78*(1+Table2[Discount rate A2])</f>
        <v>418.91058150167493</v>
      </c>
      <c r="W79" s="17">
        <f>Table2[[#This Row],[Asset growth A2, under the assumption of full-funding at Year 0]]/(1+Table2[Compounded CPI])</f>
        <v>135.54528474276046</v>
      </c>
      <c r="X79" s="17">
        <f>(X78*((1+Table2[Discount rate A2])^0.5)-Table2[Annual benefit payments (closed scheme)])*(1+Table2[Discount rate A2])^0.5</f>
        <v>4.3376379573100019</v>
      </c>
      <c r="Y79" s="17">
        <f>Table2[[#This Row],[Asset growth A2 with benefit payments deducted]]/(1+Table2[[#This Row],[Compounded CPI]])</f>
        <v>1.4035128211060461</v>
      </c>
      <c r="Z79" s="19">
        <f>Table2[[#This Row],[Asset growth A2 with benefit payments deducted]]/(1+Table2[Compounded discount rate A2])</f>
        <v>0.6990503857557826</v>
      </c>
      <c r="AA79" s="82">
        <f>Table2[CPI]+2.8%</f>
        <v>5.57E-2</v>
      </c>
      <c r="AB79" s="18">
        <f t="shared" si="10"/>
        <v>8.908850967202973</v>
      </c>
      <c r="AC79" s="17">
        <f>Table2[[#This Row],[Annual benefit payments (closed scheme)]]/((1+AB78)*(1+Table2[[#This Row],[Discount rate B]])^0.5)+AC78</f>
        <v>60.01023440735112</v>
      </c>
      <c r="AD79" s="45">
        <f>AD78*(1+Table2[Discount rate B])</f>
        <v>594.53105803217841</v>
      </c>
      <c r="AE79" s="16">
        <f>Table2[[#This Row],[Asset growth B]]/(1+Table2[Compounded CPI])</f>
        <v>192.37012648500991</v>
      </c>
      <c r="AF79" s="17">
        <f>(AF78*((1+Table2[Discount rate B])^0.5)-Table2[Annual benefit payments (closed scheme)])*(1+Table2[Discount rate B])^0.5</f>
        <v>-0.1014112171798557</v>
      </c>
      <c r="AG79" s="17">
        <f>Table2[[#This Row],[Asset growth B with benefit payments deducted]]/(1+Table2[Compounded CPI])</f>
        <v>-3.28132372772219E-2</v>
      </c>
      <c r="AH79" s="19">
        <f>Table2[[#This Row],[Asset growth B with benefit payments deducted]]/(1+Table2[Compounded discount rate B])</f>
        <v>-1.0234407351116071E-2</v>
      </c>
      <c r="AI79" s="11">
        <f>Table2[CPI]+2.56%</f>
        <v>5.33E-2</v>
      </c>
      <c r="AJ79" s="18">
        <f t="shared" si="11"/>
        <v>10.114996697029563</v>
      </c>
      <c r="AK79" s="17">
        <f>Table2[[#This Row],[Annual benefit payments (closed scheme)]]/((1+AJ78)*(1+Table2[[#This Row],[Discount rate C]])^0.5)+AK78</f>
        <v>51.978036659978031</v>
      </c>
      <c r="AL79" s="17">
        <f>AL78*(1+Table2[Discount rate C])</f>
        <v>666.89980182177374</v>
      </c>
      <c r="AM79" s="17">
        <f>Table2[[#This Row],[Asset growth C]]/(1+Table2[Compounded CPI])</f>
        <v>215.78620241289229</v>
      </c>
      <c r="AN79" s="17">
        <f>(AN78*((1+Table2[Discount rate C])^0.5)-Table2[Annual benefit payments (closed scheme)])*(1+Table2[Discount rate C])^0.5</f>
        <v>89.164096028035914</v>
      </c>
      <c r="AO79" s="17">
        <f>Table2[[#This Row],[Asset growth C with benefit payments deducted]]/(1+Table2[Compounded CPI])</f>
        <v>28.850483417312869</v>
      </c>
      <c r="AP79" s="19">
        <f>Table2[[#This Row],[Asset growth C with benefit payments deducted]]/(1+Table2[Compounded discount rate C])</f>
        <v>8.021963340021923</v>
      </c>
      <c r="AQ79" s="11">
        <f>Table2[CPI]+2.56%</f>
        <v>5.33E-2</v>
      </c>
      <c r="AR79" s="18">
        <f t="shared" si="12"/>
        <v>9.4043829935073084</v>
      </c>
      <c r="AS79" s="17">
        <f>Table2[[#This Row],[Annual benefit payments (closed scheme)]]/((1+AR78)*(1+Table2[[#This Row],[Discount rate D]])^0.5)+AS78</f>
        <v>54.451889735498177</v>
      </c>
      <c r="AT79" s="16">
        <f>AT78*(1+Table2[Discount rate D])</f>
        <v>624.26297961043826</v>
      </c>
      <c r="AU79" s="17">
        <f>Table2[[#This Row],[Asset growth D]]/(1+Table2[Compounded CPI])</f>
        <v>201.99036993130383</v>
      </c>
      <c r="AV79" s="17">
        <f>(AV78*((1+Table2[Discount rate D])^0.5)-Table2[Annual benefit payments (closed scheme)])*(1+Table2[Discount rate D])^0.5</f>
        <v>57.724664082086221</v>
      </c>
      <c r="AW79" s="17">
        <f>Table2[[#This Row],[Asset growth D with benefit payments deducted]]/(1+Table2[Compounded CPI])</f>
        <v>18.677747412439832</v>
      </c>
      <c r="AX79" s="19">
        <f>Table2[[#This Row],[Asset growth D with benefit payments deducted]]/(1+Table2[Compounded discount rate D])</f>
        <v>5.5481102645018341</v>
      </c>
      <c r="AY79" s="11">
        <f>Table2[CPI]+4%</f>
        <v>6.7699999999999996E-2</v>
      </c>
      <c r="AZ79" s="18">
        <f t="shared" si="13"/>
        <v>18.202857599998993</v>
      </c>
      <c r="BA79" s="17">
        <f>Table2[[#This Row],[Annual benefit payments (closed scheme)]]/((1+AZ78)*(1+Table2[[#This Row],[Discount rate E]])^0.5)+BA78</f>
        <v>48.093329774534915</v>
      </c>
      <c r="BB79" s="17">
        <f>BB78*(1+Table2[Discount rate E])</f>
        <v>1152.1714559999407</v>
      </c>
      <c r="BC79" s="16">
        <f>Table2[[#This Row],[Asset growth E]]/(1+Table2[Compounded CPI])</f>
        <v>372.80368406107794</v>
      </c>
      <c r="BD79" s="17">
        <f>(BD78*((1+Table2[Discount rate E])^0.5)-Table2[Annual benefit payments (closed scheme)])*(1+Table2[Discount rate E])^0.5</f>
        <v>228.64209282975429</v>
      </c>
      <c r="BE79" s="17">
        <f>Table2[[#This Row],[Asset growth E with benefit payments deducted]]/(1+Table2[Compounded CPI])</f>
        <v>73.980842082562191</v>
      </c>
      <c r="BF79" s="19">
        <f>Table2[[#This Row],[Asset growth E with benefit payments deducted]]/(1+Table2[Compounded discount rate E])</f>
        <v>11.906670225465104</v>
      </c>
      <c r="BG79" s="11">
        <f>Table2[[#This Row],[Long-dated forward gilt yields]]+0.75%</f>
        <v>2.5600000000000001E-2</v>
      </c>
      <c r="BH79" s="11">
        <f t="shared" si="14"/>
        <v>2.5000462325588604</v>
      </c>
      <c r="BI79" s="17">
        <f>((Table2[[#This Row],[Annual benefit payments (closed scheme)]])*1.005^(Table2[[#This Row],[Year]]-2018))/((1+BH78)*(1+Table2[[#This Row],[Discount rate F]])^0.5)+BI78</f>
        <v>80.514334166172929</v>
      </c>
      <c r="BJ79" s="17">
        <f>BJ78*(1+Table2[Discount rate F])</f>
        <v>288.2060389521734</v>
      </c>
      <c r="BK79" s="17">
        <f>Table2[[#This Row],[Asset growth F, under the assumption of full-funding at Year 0]]/(1+Table2[[#This Row],[Compounded CPI]])</f>
        <v>93.253718906595012</v>
      </c>
      <c r="BL79" s="17">
        <f>(BL78*((1+Table2[Discount rate F])^0.5)-Table2[Annual benefit payments (closed scheme)]*1.005^(Table2[Year]-2018))*(1+Table2[Discount rate F])^0.5</f>
        <v>6.4021469868746399</v>
      </c>
      <c r="BM79" s="17">
        <f>Table2[[#This Row],[Asset growth F with benefit payments deducted]]/(1+Table2[Compounded CPI])</f>
        <v>2.0715180628528937</v>
      </c>
      <c r="BN79" s="19">
        <f>Table2[[#This Row],[Asset growth F with benefit payments deducted]]/(1+Table2[Compounded discount rate F])</f>
        <v>1.8291606914558021</v>
      </c>
      <c r="BO79" s="18">
        <f>(1+BO78)*(1+Table2[Discount rate A2])-1</f>
        <v>2.4897490307880319</v>
      </c>
      <c r="BP79" s="17">
        <f>Table2[[#This Row],[Annual benefit payments (ongoing scheme)]]/((1+BO78)*(1+Table2[[#This Row],[Discount rate A2]])^0.5)+BP78</f>
        <v>98.12001188366942</v>
      </c>
      <c r="BQ79" s="17">
        <f>(BQ78*((1+Table2[Discount rate A2])^0.5)-Table2[Annual benefit payments (ongoing scheme)])*(1+Table2[Discount rate A2])^0.5</f>
        <v>50.214561707716335</v>
      </c>
      <c r="BR79" s="18">
        <f>(1+BR78)*(1+Table2[Discount rate B])-1</f>
        <v>4.0499202228948628</v>
      </c>
      <c r="BS79" s="17">
        <f>Table2[[#This Row],[Annual benefit payments (ongoing scheme)]]/((1+BR78)*(1+Table2[[#This Row],[Discount rate B]])^0.5)+BS78</f>
        <v>84.410996509559126</v>
      </c>
      <c r="BT79" s="18">
        <f>(1+BT78)*(1+Table2[Discount rate E])-1</f>
        <v>6.5240834401834968</v>
      </c>
      <c r="BU79" s="17">
        <f>Table2[[#This Row],[Annual benefit payments (ongoing scheme)]]/((1+BT78)*(1+Table2[[#This Row],[Discount rate E]])^0.5)+BU78</f>
        <v>72.554886952247543</v>
      </c>
      <c r="BV79" s="18">
        <f>Table2[CPI]+0.75%+0.75%</f>
        <v>4.2699999999999995E-2</v>
      </c>
      <c r="BW79" s="18">
        <f>(1+BW78)*(1+Table2[Self-sufficiency discount rate, from 2037])-1</f>
        <v>2.2616037512266476</v>
      </c>
      <c r="BX79" s="17">
        <f>(Table2[[#This Row],[Annual benefit payments (ongoing scheme)]]*1.005^(Table2[[#This Row],[Year]]-2038))/((1+BW78)*(1+Table2[[#This Row],[Self-sufficiency discount rate, from 2037]])^0.5)+BX78</f>
        <v>108.60764277777002</v>
      </c>
      <c r="BY79" s="17">
        <f>(BY78*((1+Table2[Self-sufficiency discount rate, from 2037])^0.5)-Table2[Annual benefit payments (ongoing scheme)]*1.005^(Table2[Year]-2038))*(1+Table2[Self-sufficiency discount rate, from 2037])^0.5</f>
        <v>63.414966022794417</v>
      </c>
      <c r="BZ79" s="17">
        <f>(BZ78*((1+Table2[Discount rate B])^0.5)-Table2[Annual benefit payments (ongoing scheme)])*(1+Table2[Discount rate B])^0.5</f>
        <v>45.964100094909519</v>
      </c>
      <c r="CA79" s="17">
        <f>(CA78*((1+Table2[Discount rate A2])^0.5)+Table2[Net cashflow (ongoing scheme)])*(1+Table2[Discount rate A2])^0.5</f>
        <v>49.059576014130592</v>
      </c>
      <c r="CB79" s="17">
        <f>Table2[[#This Row],[Asset growth, ongoing scheme, with November de-risking, net of contributions and payments]]/(1+Table2[Compounded discount rate A2])</f>
        <v>7.9064034101548994</v>
      </c>
      <c r="CC79" s="17">
        <f>Table2[[#This Row],[Asset growth, ongoing scheme, with November de-risking, net of contributions and payments]]/(1+Table2[Compounded CPI])</f>
        <v>15.874018212566551</v>
      </c>
      <c r="CD79" s="17">
        <f>(CD78*((1+Table2[Discount rate A1])^0.5)+Table2[Net cashflow (ongoing scheme)])*(1+Table2[Discount rate A1])^0.5</f>
        <v>69.099889198322927</v>
      </c>
      <c r="CE79" s="17">
        <f>Table2[[#This Row],[Asset growth, ongoing scheme, with September de-risking, net of contributions and payments]]/(1+Table2[Compounded discount rate A1])</f>
        <v>10.577124489308254</v>
      </c>
      <c r="CF79" s="17">
        <f>Table2[[#This Row],[Asset growth, ongoing scheme, with September de-risking, net of contributions and payments]]/(1+Table2[Compounded CPI])</f>
        <v>22.358385227474685</v>
      </c>
      <c r="CG79" s="17">
        <f>(CG78*((1+Table2[Discount rate B])^0.5)+Table2[Net cashflow (ongoing scheme)])*(1+Table2[Discount rate B])^0.5</f>
        <v>197.62705151943612</v>
      </c>
      <c r="CH79" s="17">
        <f>Table2[[#This Row],[Asset growth, ongoing scheme, no de-risking, net of contributions and payments]]/(1+Table2[Compounded discount rate B])</f>
        <v>19.944497315940701</v>
      </c>
      <c r="CI79" s="17">
        <f>Table2[[#This Row],[Asset growth, ongoing scheme, no de-risking, net of contributions and payments]]/(1+Table2[Compounded CPI])</f>
        <v>63.945424522457557</v>
      </c>
      <c r="CJ79" s="17">
        <f>(CJ78*((1+Table2[Discount rate E])^0.5)+Table2[Net cashflow (ongoing scheme)])*(1+Table2[Discount rate E])^0.5</f>
        <v>655.27117925426046</v>
      </c>
      <c r="CK79" s="17">
        <f>Table2[[#This Row],[Asset growth, ongoing scheme, best-estimates, no de-risking, net of contributions and payments ]]/(1+Table2[Compounded discount rate E])</f>
        <v>34.123628519449881</v>
      </c>
      <c r="CL79" s="17">
        <f>Table2[[#This Row],[Asset growth, ongoing scheme, best-estimates, no de-risking, net of contributions and payments ]]/(1+Table2[Compounded CPI])</f>
        <v>212.02357375970948</v>
      </c>
      <c r="CM79" s="9">
        <f t="shared" si="24"/>
        <v>2.7699999999999999E-2</v>
      </c>
      <c r="CN79" s="11">
        <f>(1+Table2[[#This Row],[CPI]])*(1+CN78)-1</f>
        <v>2.0905581282055565</v>
      </c>
      <c r="CO79" s="11">
        <f t="shared" si="23"/>
        <v>1.8100000000000002E-2</v>
      </c>
      <c r="CP79" s="11">
        <f>Table2[[#This Row],[CPI]]+2%</f>
        <v>4.7699999999999999E-2</v>
      </c>
      <c r="CQ79" s="26">
        <f>(1+Table2[[#This Row],[Salary growth]])*(1+CQ78)-1</f>
        <v>7.7282235252045286</v>
      </c>
      <c r="CR79" s="15">
        <f t="shared" si="17"/>
        <v>30.905581282055554</v>
      </c>
      <c r="CS79" s="17">
        <f t="shared" si="18"/>
        <v>40.177255666672224</v>
      </c>
      <c r="CT79" s="17">
        <f>CT78*(1+Table2[[#This Row],[Salary growth]])</f>
        <v>87.282235252045325</v>
      </c>
      <c r="CU79" s="19">
        <f t="shared" si="22"/>
        <v>113.46690582765891</v>
      </c>
      <c r="CV79" s="112">
        <f>('Cash flows as at 31032017'!B64)/1000000000</f>
        <v>0.79507846900000001</v>
      </c>
      <c r="CW79" s="113">
        <v>0</v>
      </c>
      <c r="CX79" s="113">
        <f>Table2[[#This Row],[Annual contributions (closed scheme)]]-Table2[[#This Row],[Annual benefit payments (closed scheme)]]</f>
        <v>-0.79507846900000001</v>
      </c>
      <c r="CY79" s="113">
        <v>4.6500000000000004</v>
      </c>
      <c r="CZ79" s="113">
        <v>0</v>
      </c>
      <c r="DA79" s="113">
        <v>-4.6500000000000004</v>
      </c>
      <c r="DB79" s="17"/>
      <c r="DC79" s="84"/>
      <c r="DD79" s="84"/>
      <c r="DE79" s="84"/>
      <c r="DF79" s="84"/>
      <c r="DG79" s="84"/>
      <c r="DH79" s="84"/>
      <c r="DI79" s="84"/>
      <c r="DJ79" s="84"/>
      <c r="DK79" s="84"/>
      <c r="DL79" s="84"/>
      <c r="DM79" s="84"/>
      <c r="DN79" s="84"/>
      <c r="DO79" s="84"/>
      <c r="DP79" s="84"/>
      <c r="DQ79" s="84"/>
      <c r="DR79" s="84"/>
      <c r="DS79" s="84"/>
      <c r="DT79" s="84"/>
      <c r="DU79" s="84"/>
      <c r="DV79" s="84"/>
      <c r="DW79" s="84"/>
      <c r="DX79" s="84"/>
      <c r="DY79" s="84"/>
      <c r="DZ79" s="84"/>
      <c r="EA79" s="84"/>
      <c r="EB79" s="84"/>
      <c r="EC79" s="84"/>
      <c r="ED79" s="84"/>
      <c r="EE79" s="84"/>
      <c r="EF79" s="84"/>
      <c r="EG79" s="84"/>
      <c r="EH79" s="84"/>
      <c r="EI79" s="84"/>
      <c r="EJ79" s="84"/>
      <c r="EK79" s="84"/>
      <c r="EL79" s="84"/>
      <c r="EM79" s="84"/>
      <c r="EN79" s="84"/>
      <c r="EO79" s="84"/>
      <c r="EP79" s="84"/>
      <c r="EQ79" s="84"/>
      <c r="ER79" s="84"/>
      <c r="ES79" s="84"/>
      <c r="ET79" s="84"/>
      <c r="EU79" s="84"/>
      <c r="EV79" s="84"/>
      <c r="EW79" s="84"/>
      <c r="EX79" s="84"/>
      <c r="EY79" s="84"/>
      <c r="EZ79" s="84"/>
      <c r="FA79" s="84"/>
      <c r="FB79" s="84"/>
      <c r="FC79" s="84"/>
      <c r="FD79" s="84"/>
      <c r="FE79" s="84"/>
      <c r="FF79" s="84"/>
    </row>
    <row r="80" spans="1:163" x14ac:dyDescent="0.2">
      <c r="A80" s="8">
        <v>2073</v>
      </c>
      <c r="B80" s="67"/>
      <c r="C80" s="67"/>
      <c r="D80" s="67"/>
      <c r="E80" s="35">
        <v>6.0999999999999999E-2</v>
      </c>
      <c r="F80" s="16">
        <f>F79*(1+Table2[[#This Row],[2008 discount rate]])</f>
        <v>1581.7635533462706</v>
      </c>
      <c r="G80" s="18">
        <v>6.0999999999999999E-2</v>
      </c>
      <c r="H80" s="16">
        <f>H79*(1+Table2[[#This Row],[2011 discount rate]])</f>
        <v>1299.8320321826948</v>
      </c>
      <c r="I80" s="18">
        <v>5.1999999999999998E-2</v>
      </c>
      <c r="J80" s="16">
        <f>J79*(1+Table2[[#This Row],[2014 discount rate]])</f>
        <v>829.9346493825044</v>
      </c>
      <c r="K80" s="9">
        <f>Table2[CPI]+1.7%</f>
        <v>4.4700000000000004E-2</v>
      </c>
      <c r="L80" s="66">
        <f t="shared" si="21"/>
        <v>5.8249791631420154</v>
      </c>
      <c r="M80" s="17">
        <f>Table2[[#This Row],[Annual benefit payments (closed scheme)]]/((1+L79)*(1+Table2[[#This Row],[Discount rate A1]])^0.5)+M79</f>
        <v>64.367042805920477</v>
      </c>
      <c r="N80" s="17">
        <f>N79*(1+Table2[Discount rate A1])</f>
        <v>443.0951787054982</v>
      </c>
      <c r="O80" s="17">
        <f>Table2[[#This Row],[Asset growth A1, under the assumption of full-funding at Year 0]]/(1+Table2[[#This Row],[Compounded CPI]])</f>
        <v>139.50627789165424</v>
      </c>
      <c r="P80" s="17">
        <f>(P79*((1+Table2[Discount rate A1])^0.5)-Table2[Annual benefit payments (closed scheme)])*(1+Table2[Discount rate A1])^0.5</f>
        <v>3.7914527620203478</v>
      </c>
      <c r="Q80" s="17">
        <f>Table2[[#This Row],[Asset growth A1 with benefit payments deducted]]/(1+Table2[Compounded CPI])</f>
        <v>1.1937197425094153</v>
      </c>
      <c r="R80" s="17">
        <f>Table2[[#This Row],[Asset growth A1 with benefit payments deducted]]/(1+Table2[Compounded discount rate A1])</f>
        <v>0.55552591024686393</v>
      </c>
      <c r="S80" s="9">
        <f>Table2[CPI]+1.7%</f>
        <v>4.4700000000000004E-2</v>
      </c>
      <c r="T80" s="18">
        <f t="shared" si="20"/>
        <v>5.482408802482051</v>
      </c>
      <c r="U80" s="17">
        <f>Table2[[#This Row],[Annual benefit payments (closed scheme)]]/((1+T79)*(1+Table2[[#This Row],[Discount rate A2]])^0.5)+U79</f>
        <v>66.926422715991734</v>
      </c>
      <c r="V80" s="17">
        <f>V79*(1+Table2[Discount rate A2])</f>
        <v>437.63588449479977</v>
      </c>
      <c r="W80" s="17">
        <f>Table2[[#This Row],[Asset growth A2, under the assumption of full-funding at Year 0]]/(1+Table2[Compounded CPI])</f>
        <v>137.78744669724807</v>
      </c>
      <c r="X80" s="17">
        <f>(X79*((1+Table2[Discount rate A2])^0.5)-Table2[Annual benefit payments (closed scheme)])*(1+Table2[Discount rate A2])^0.5</f>
        <v>3.7914527620204757</v>
      </c>
      <c r="Y80" s="17">
        <f>Table2[[#This Row],[Asset growth A2 with benefit payments deducted]]/(1+Table2[[#This Row],[Compounded CPI]])</f>
        <v>1.1937197425094555</v>
      </c>
      <c r="Z80" s="19">
        <f>Table2[[#This Row],[Asset growth A2 with benefit payments deducted]]/(1+Table2[Compounded discount rate A2])</f>
        <v>0.58488331691897699</v>
      </c>
      <c r="AA80" s="82">
        <f>Table2[CPI]+2.8%</f>
        <v>5.57E-2</v>
      </c>
      <c r="AB80" s="18">
        <f t="shared" si="10"/>
        <v>9.4607739660761787</v>
      </c>
      <c r="AC80" s="17">
        <f>Table2[[#This Row],[Annual benefit payments (closed scheme)]]/((1+AB79)*(1+Table2[[#This Row],[Discount rate B]])^0.5)+AC79</f>
        <v>60.081353779171749</v>
      </c>
      <c r="AD80" s="45">
        <f>AD79*(1+Table2[Discount rate B])</f>
        <v>627.64643796457085</v>
      </c>
      <c r="AE80" s="16">
        <f>Table2[[#This Row],[Asset growth B]]/(1+Table2[Compounded CPI])</f>
        <v>197.61130926362264</v>
      </c>
      <c r="AF80" s="17">
        <f>(AF79*((1+Table2[Discount rate B])^0.5)-Table2[Annual benefit payments (closed scheme)])*(1+Table2[Discount rate B])^0.5</f>
        <v>-0.85102349520169784</v>
      </c>
      <c r="AG80" s="17">
        <f>Table2[[#This Row],[Asset growth B with benefit payments deducted]]/(1+Table2[Compounded CPI])</f>
        <v>-0.2679404469278685</v>
      </c>
      <c r="AH80" s="19">
        <f>Table2[[#This Row],[Asset growth B with benefit payments deducted]]/(1+Table2[Compounded discount rate B])</f>
        <v>-8.1353779171744744E-2</v>
      </c>
      <c r="AI80" s="11">
        <f>Table2[CPI]+2.56%</f>
        <v>5.33E-2</v>
      </c>
      <c r="AJ80" s="18">
        <f t="shared" si="11"/>
        <v>10.707426020981238</v>
      </c>
      <c r="AK80" s="17">
        <f>Table2[[#This Row],[Annual benefit payments (closed scheme)]]/((1+AJ79)*(1+Table2[[#This Row],[Discount rate C]])^0.5)+AK79</f>
        <v>52.041510692375681</v>
      </c>
      <c r="AL80" s="17">
        <f>AL79*(1+Table2[Discount rate C])</f>
        <v>702.44556125887425</v>
      </c>
      <c r="AM80" s="17">
        <f>Table2[[#This Row],[Asset growth C]]/(1+Table2[Compounded CPI])</f>
        <v>221.1614352452072</v>
      </c>
      <c r="AN80" s="17">
        <f>(AN79*((1+Table2[Discount rate C])^0.5)-Table2[Annual benefit payments (closed scheme)])*(1+Table2[Discount rate C])^0.5</f>
        <v>93.173424807781373</v>
      </c>
      <c r="AO80" s="17">
        <f>Table2[[#This Row],[Asset growth C with benefit payments deducted]]/(1+Table2[Compounded CPI])</f>
        <v>29.335181960963659</v>
      </c>
      <c r="AP80" s="19">
        <f>Table2[[#This Row],[Asset growth C with benefit payments deducted]]/(1+Table2[Compounded discount rate C])</f>
        <v>7.9584893076242729</v>
      </c>
      <c r="AQ80" s="11">
        <f>Table2[CPI]+2.56%</f>
        <v>5.33E-2</v>
      </c>
      <c r="AR80" s="18">
        <f t="shared" si="12"/>
        <v>9.9589366070612471</v>
      </c>
      <c r="AS80" s="17">
        <f>Table2[[#This Row],[Annual benefit payments (closed scheme)]]/((1+AR79)*(1+Table2[[#This Row],[Discount rate D]])^0.5)+AS79</f>
        <v>54.519699009809521</v>
      </c>
      <c r="AT80" s="16">
        <f>AT79*(1+Table2[Discount rate D])</f>
        <v>657.5361964236746</v>
      </c>
      <c r="AU80" s="17">
        <f>Table2[[#This Row],[Asset growth D]]/(1+Table2[Compounded CPI])</f>
        <v>207.02194867047027</v>
      </c>
      <c r="AV80" s="17">
        <f>(AV79*((1+Table2[Discount rate D])^0.5)-Table2[Annual benefit payments (closed scheme)])*(1+Table2[Discount rate D])^0.5</f>
        <v>60.058271139112563</v>
      </c>
      <c r="AW80" s="17">
        <f>Table2[[#This Row],[Asset growth D with benefit payments deducted]]/(1+Table2[Compounded CPI])</f>
        <v>18.909043171499057</v>
      </c>
      <c r="AX80" s="19">
        <f>Table2[[#This Row],[Asset growth D with benefit payments deducted]]/(1+Table2[Compounded discount rate D])</f>
        <v>5.4803009901904902</v>
      </c>
      <c r="AY80" s="11">
        <f>Table2[CPI]+4%</f>
        <v>6.7699999999999996E-2</v>
      </c>
      <c r="AZ80" s="18">
        <f t="shared" si="13"/>
        <v>19.502891059518927</v>
      </c>
      <c r="BA80" s="17">
        <f>Table2[[#This Row],[Annual benefit payments (closed scheme)]]/((1+AZ79)*(1+Table2[[#This Row],[Discount rate E]])^0.5)+BA79</f>
        <v>48.129821213272088</v>
      </c>
      <c r="BB80" s="17">
        <f>BB79*(1+Table2[Discount rate E])</f>
        <v>1230.1734635711368</v>
      </c>
      <c r="BC80" s="16">
        <f>Table2[[#This Row],[Asset growth E]]/(1+Table2[Compounded CPI])</f>
        <v>387.31389848400596</v>
      </c>
      <c r="BD80" s="17">
        <f>(BD79*((1+Table2[Discount rate E])^0.5)-Table2[Annual benefit payments (closed scheme)])*(1+Table2[Discount rate E])^0.5</f>
        <v>243.37298252129523</v>
      </c>
      <c r="BE80" s="17">
        <f>Table2[[#This Row],[Asset growth E with benefit payments deducted]]/(1+Table2[Compounded CPI])</f>
        <v>76.624753693162276</v>
      </c>
      <c r="BF80" s="19">
        <f>Table2[[#This Row],[Asset growth E with benefit payments deducted]]/(1+Table2[Compounded discount rate E])</f>
        <v>11.870178786727926</v>
      </c>
      <c r="BG80" s="11">
        <f>Table2[[#This Row],[Long-dated forward gilt yields]]+0.75%</f>
        <v>2.5600000000000001E-2</v>
      </c>
      <c r="BH80" s="11">
        <f t="shared" si="14"/>
        <v>2.5896474161123675</v>
      </c>
      <c r="BI80" s="17">
        <f>((Table2[[#This Row],[Annual benefit payments (closed scheme)]])*1.005^(Table2[[#This Row],[Year]]-2018))/((1+BH79)*(1+Table2[[#This Row],[Discount rate F]])^0.5)+BI79</f>
        <v>80.783086397529104</v>
      </c>
      <c r="BJ80" s="17">
        <f>BJ79*(1+Table2[Discount rate F])</f>
        <v>295.58411354934907</v>
      </c>
      <c r="BK80" s="17">
        <f>Table2[[#This Row],[Asset growth F, under the assumption of full-funding at Year 0]]/(1+Table2[[#This Row],[Compounded CPI]])</f>
        <v>93.063164455194951</v>
      </c>
      <c r="BL80" s="17">
        <f>(BL79*((1+Table2[Discount rate F])^0.5)-Table2[Annual benefit payments (closed scheme)]*1.005^(Table2[Year]-2018))*(1+Table2[Discount rate F])^0.5</f>
        <v>5.6013161968765051</v>
      </c>
      <c r="BM80" s="17">
        <f>Table2[[#This Row],[Asset growth F with benefit payments deducted]]/(1+Table2[Compounded CPI])</f>
        <v>1.7635460990647454</v>
      </c>
      <c r="BN80" s="19">
        <f>Table2[[#This Row],[Asset growth F with benefit payments deducted]]/(1+Table2[Compounded discount rate F])</f>
        <v>1.5604084600996273</v>
      </c>
      <c r="BO80" s="18">
        <f>(1+BO79)*(1+Table2[Discount rate A2])-1</f>
        <v>2.6457408124642567</v>
      </c>
      <c r="BP80" s="17">
        <f>Table2[[#This Row],[Annual benefit payments (ongoing scheme)]]/((1+BO79)*(1+Table2[[#This Row],[Discount rate A2]])^0.5)+BP79</f>
        <v>99.392828570061454</v>
      </c>
      <c r="BQ80" s="17">
        <f>(BQ79*((1+Table2[Discount rate A2])^0.5)-Table2[Annual benefit payments (ongoing scheme)])*(1+Table2[Discount rate A2])^0.5</f>
        <v>47.818792875686292</v>
      </c>
      <c r="BR80" s="18">
        <f>(1+BR79)*(1+Table2[Discount rate B])-1</f>
        <v>4.3312007793101071</v>
      </c>
      <c r="BS80" s="17">
        <f>Table2[[#This Row],[Annual benefit payments (ongoing scheme)]]/((1+BR79)*(1+Table2[[#This Row],[Discount rate B]])^0.5)+BS79</f>
        <v>85.285982450132792</v>
      </c>
      <c r="BT80" s="18">
        <f>(1+BT79)*(1+Table2[Discount rate E])-1</f>
        <v>7.0334638890839205</v>
      </c>
      <c r="BU80" s="17">
        <f>Table2[[#This Row],[Annual benefit payments (ongoing scheme)]]/((1+BT79)*(1+Table2[[#This Row],[Discount rate E]])^0.5)+BU79</f>
        <v>73.138839595189182</v>
      </c>
      <c r="BV80" s="18">
        <f>Table2[CPI]+0.75%+0.75%</f>
        <v>4.2699999999999995E-2</v>
      </c>
      <c r="BW80" s="18">
        <f>(1+BW79)*(1+Table2[Self-sufficiency discount rate, from 2037])-1</f>
        <v>2.4008742314040252</v>
      </c>
      <c r="BX80" s="17">
        <f>(Table2[[#This Row],[Annual benefit payments (ongoing scheme)]]*1.005^(Table2[[#This Row],[Year]]-2038))/((1+BW79)*(1+Table2[[#This Row],[Self-sufficiency discount rate, from 2037]])^0.5)+BX79</f>
        <v>110.23078707271375</v>
      </c>
      <c r="BY80" s="17">
        <f>(BY79*((1+Table2[Self-sufficiency discount rate, from 2037])^0.5)-Table2[Annual benefit payments (ongoing scheme)]*1.005^(Table2[Year]-2038))*(1+Table2[Self-sufficiency discount rate, from 2037])^0.5</f>
        <v>60.602675465443149</v>
      </c>
      <c r="BZ80" s="17">
        <f>(BZ79*((1+Table2[Discount rate B])^0.5)-Table2[Annual benefit payments (ongoing scheme)])*(1+Table2[Discount rate B])^0.5</f>
        <v>43.859574741924263</v>
      </c>
      <c r="CA80" s="17">
        <f>(CA79*((1+Table2[Discount rate A2])^0.5)+Table2[Net cashflow (ongoing scheme)])*(1+Table2[Discount rate A2])^0.5</f>
        <v>46.61217932159726</v>
      </c>
      <c r="CB80" s="17">
        <f>Table2[[#This Row],[Asset growth, ongoing scheme, with November de-risking, net of contributions and payments]]/(1+Table2[Compounded discount rate A2])</f>
        <v>7.1905646098329852</v>
      </c>
      <c r="CC80" s="17">
        <f>Table2[[#This Row],[Asset growth, ongoing scheme, with November de-risking, net of contributions and payments]]/(1+Table2[Compounded CPI])</f>
        <v>14.675609110827994</v>
      </c>
      <c r="CD80" s="17">
        <f>(CD79*((1+Table2[Discount rate A1])^0.5)+Table2[Net cashflow (ongoing scheme)])*(1+Table2[Discount rate A1])^0.5</f>
        <v>67.548294505122982</v>
      </c>
      <c r="CE80" s="17">
        <f>Table2[[#This Row],[Asset growth, ongoing scheme, with September de-risking, net of contributions and payments]]/(1+Table2[Compounded discount rate A1])</f>
        <v>9.8972162244706077</v>
      </c>
      <c r="CF80" s="17">
        <f>Table2[[#This Row],[Asset growth, ongoing scheme, with September de-risking, net of contributions and payments]]/(1+Table2[Compounded CPI])</f>
        <v>21.267239178429943</v>
      </c>
      <c r="CG80" s="17">
        <f>(CG79*((1+Table2[Discount rate B])^0.5)+Table2[Net cashflow (ongoing scheme)])*(1+Table2[Discount rate B])^0.5</f>
        <v>203.970152560797</v>
      </c>
      <c r="CH80" s="17">
        <f>Table2[[#This Row],[Asset growth, ongoing scheme, no de-risking, net of contributions and payments]]/(1+Table2[Compounded discount rate B])</f>
        <v>19.49857182864892</v>
      </c>
      <c r="CI80" s="17">
        <f>Table2[[#This Row],[Asset growth, ongoing scheme, no de-risking, net of contributions and payments]]/(1+Table2[Compounded CPI])</f>
        <v>64.218971797168351</v>
      </c>
      <c r="CJ80" s="17">
        <f>(CJ79*((1+Table2[Discount rate E])^0.5)+Table2[Net cashflow (ongoing scheme)])*(1+Table2[Discount rate E])^0.5</f>
        <v>694.94187561976707</v>
      </c>
      <c r="CK80" s="17">
        <f>Table2[[#This Row],[Asset growth, ongoing scheme, best-estimates, no de-risking, net of contributions and payments ]]/(1+Table2[Compounded discount rate E])</f>
        <v>33.894823593530468</v>
      </c>
      <c r="CL80" s="17">
        <f>Table2[[#This Row],[Asset growth, ongoing scheme, best-estimates, no de-risking, net of contributions and payments ]]/(1+Table2[Compounded CPI])</f>
        <v>218.79893774063231</v>
      </c>
      <c r="CM80" s="9">
        <f t="shared" si="24"/>
        <v>2.7699999999999999E-2</v>
      </c>
      <c r="CN80" s="11">
        <f>(1+Table2[[#This Row],[CPI]])*(1+CN79)-1</f>
        <v>2.1761665883568506</v>
      </c>
      <c r="CO80" s="11">
        <f t="shared" si="23"/>
        <v>1.8100000000000002E-2</v>
      </c>
      <c r="CP80" s="11">
        <f>Table2[[#This Row],[CPI]]+2%</f>
        <v>4.7699999999999999E-2</v>
      </c>
      <c r="CQ80" s="26">
        <f>(1+Table2[[#This Row],[Salary growth]])*(1+CQ79)-1</f>
        <v>8.1445597873567852</v>
      </c>
      <c r="CR80" s="15">
        <f t="shared" si="17"/>
        <v>31.761665883568494</v>
      </c>
      <c r="CS80" s="17">
        <f t="shared" si="18"/>
        <v>41.290165648639046</v>
      </c>
      <c r="CT80" s="17">
        <f>CT79*(1+Table2[[#This Row],[Salary growth]])</f>
        <v>91.445597873567891</v>
      </c>
      <c r="CU80" s="19">
        <f t="shared" si="22"/>
        <v>118.87927723563824</v>
      </c>
      <c r="CV80" s="112">
        <f>('Cash flows as at 31032017'!B65)/1000000000</f>
        <v>0.72407152600000002</v>
      </c>
      <c r="CW80" s="113">
        <v>0</v>
      </c>
      <c r="CX80" s="113">
        <f>Table2[[#This Row],[Annual contributions (closed scheme)]]-Table2[[#This Row],[Annual benefit payments (closed scheme)]]</f>
        <v>-0.72407152600000002</v>
      </c>
      <c r="CY80" s="113">
        <v>4.54</v>
      </c>
      <c r="CZ80" s="113">
        <v>0</v>
      </c>
      <c r="DA80" s="113">
        <v>-4.54</v>
      </c>
      <c r="DB80" s="17"/>
      <c r="DC80" s="84"/>
      <c r="DD80" s="84"/>
      <c r="DE80" s="84"/>
      <c r="DF80" s="84"/>
      <c r="DG80" s="84"/>
      <c r="DH80" s="84"/>
      <c r="DI80" s="84"/>
      <c r="DJ80" s="84"/>
      <c r="DK80" s="84"/>
      <c r="DL80" s="84"/>
      <c r="DM80" s="84"/>
      <c r="DN80" s="84"/>
      <c r="DO80" s="84"/>
      <c r="DP80" s="84"/>
      <c r="DQ80" s="84"/>
      <c r="DR80" s="84"/>
      <c r="DS80" s="84"/>
      <c r="DT80" s="84"/>
      <c r="DU80" s="84"/>
      <c r="DV80" s="84"/>
      <c r="DW80" s="84"/>
      <c r="DX80" s="84"/>
      <c r="DY80" s="84"/>
      <c r="DZ80" s="84"/>
      <c r="EA80" s="84"/>
      <c r="EB80" s="84"/>
      <c r="EC80" s="84"/>
      <c r="ED80" s="84"/>
      <c r="EE80" s="84"/>
      <c r="EF80" s="84"/>
      <c r="EG80" s="84"/>
      <c r="EH80" s="84"/>
      <c r="EI80" s="84"/>
      <c r="EJ80" s="84"/>
      <c r="EK80" s="84"/>
      <c r="EL80" s="84"/>
      <c r="EM80" s="84"/>
      <c r="EN80" s="84"/>
      <c r="EO80" s="84"/>
      <c r="EP80" s="84"/>
      <c r="EQ80" s="84"/>
      <c r="ER80" s="84"/>
      <c r="ES80" s="84"/>
      <c r="ET80" s="84"/>
      <c r="EU80" s="84"/>
      <c r="EV80" s="84"/>
      <c r="EW80" s="84"/>
      <c r="EX80" s="84"/>
      <c r="EY80" s="84"/>
      <c r="EZ80" s="84"/>
      <c r="FA80" s="84"/>
      <c r="FB80" s="84"/>
      <c r="FC80" s="84"/>
      <c r="FD80" s="84"/>
      <c r="FE80" s="84"/>
      <c r="FF80" s="84"/>
      <c r="FG80" s="84"/>
    </row>
    <row r="81" spans="1:179" x14ac:dyDescent="0.2">
      <c r="A81" s="8">
        <v>2074</v>
      </c>
      <c r="B81" s="67"/>
      <c r="C81" s="67"/>
      <c r="D81" s="67"/>
      <c r="E81" s="35">
        <v>6.0999999999999999E-2</v>
      </c>
      <c r="F81" s="16">
        <f>F80*(1+Table2[[#This Row],[2008 discount rate]])</f>
        <v>1678.2511301003929</v>
      </c>
      <c r="G81" s="18">
        <v>6.0999999999999999E-2</v>
      </c>
      <c r="H81" s="16">
        <f>H80*(1+Table2[[#This Row],[2011 discount rate]])</f>
        <v>1379.121786145839</v>
      </c>
      <c r="I81" s="18">
        <v>5.1999999999999998E-2</v>
      </c>
      <c r="J81" s="16">
        <f>J80*(1+Table2[[#This Row],[2014 discount rate]])</f>
        <v>873.09125115039467</v>
      </c>
      <c r="K81" s="9">
        <f>Table2[CPI]+1.7%</f>
        <v>4.4700000000000004E-2</v>
      </c>
      <c r="L81" s="66">
        <f t="shared" si="21"/>
        <v>6.1300557317344628</v>
      </c>
      <c r="M81" s="17">
        <f>Table2[[#This Row],[Annual benefit payments (closed scheme)]]/((1+L80)*(1+Table2[[#This Row],[Discount rate A1]])^0.5)+M80</f>
        <v>64.461024147058069</v>
      </c>
      <c r="N81" s="17">
        <f>N80*(1+Table2[Discount rate A1])</f>
        <v>462.90153319363395</v>
      </c>
      <c r="O81" s="17">
        <f>Table2[[#This Row],[Asset growth A1, under the assumption of full-funding at Year 0]]/(1+Table2[[#This Row],[Compounded CPI]])</f>
        <v>141.81396177231798</v>
      </c>
      <c r="P81" s="17">
        <f>(P80*((1+Table2[Discount rate A1])^0.5)-Table2[Annual benefit payments (closed scheme)])*(1+Table2[Discount rate A1])^0.5</f>
        <v>3.2908385004285199</v>
      </c>
      <c r="Q81" s="17">
        <f>Table2[[#This Row],[Asset growth A1 with benefit payments deducted]]/(1+Table2[Compounded CPI])</f>
        <v>1.0081773591867214</v>
      </c>
      <c r="R81" s="17">
        <f>Table2[[#This Row],[Asset growth A1 with benefit payments deducted]]/(1+Table2[Compounded discount rate A1])</f>
        <v>0.46154456910927794</v>
      </c>
      <c r="S81" s="9">
        <f>Table2[CPI]+1.7%</f>
        <v>4.4700000000000004E-2</v>
      </c>
      <c r="T81" s="18">
        <f t="shared" si="20"/>
        <v>5.7721724759529982</v>
      </c>
      <c r="U81" s="17">
        <f>Table2[[#This Row],[Annual benefit payments (closed scheme)]]/((1+T80)*(1+Table2[[#This Row],[Discount rate A2]])^0.5)+U80</f>
        <v>67.025370609364728</v>
      </c>
      <c r="V81" s="17">
        <f>V80*(1+Table2[Discount rate A2])</f>
        <v>457.19820853171728</v>
      </c>
      <c r="W81" s="17">
        <f>Table2[[#This Row],[Asset growth A2, under the assumption of full-funding at Year 0]]/(1+Table2[Compounded CPI])</f>
        <v>140.06669802920604</v>
      </c>
      <c r="X81" s="17">
        <f>(X80*((1+Table2[Discount rate A2])^0.5)-Table2[Annual benefit payments (closed scheme)])*(1+Table2[Discount rate A2])^0.5</f>
        <v>3.290838500428654</v>
      </c>
      <c r="Y81" s="17">
        <f>Table2[[#This Row],[Asset growth A2 with benefit payments deducted]]/(1+Table2[[#This Row],[Compounded CPI]])</f>
        <v>1.0081773591867624</v>
      </c>
      <c r="Z81" s="19">
        <f>Table2[[#This Row],[Asset growth A2 with benefit payments deducted]]/(1+Table2[Compounded discount rate A2])</f>
        <v>0.48593542354598085</v>
      </c>
      <c r="AA81" s="82">
        <f>Table2[CPI]+2.8%</f>
        <v>5.57E-2</v>
      </c>
      <c r="AB81" s="18">
        <f t="shared" si="10"/>
        <v>10.043439075986623</v>
      </c>
      <c r="AC81" s="17">
        <f>Table2[[#This Row],[Annual benefit payments (closed scheme)]]/((1+AB80)*(1+Table2[[#This Row],[Discount rate B]])^0.5)+AC80</f>
        <v>60.142350246977252</v>
      </c>
      <c r="AD81" s="45">
        <f>AD80*(1+Table2[Discount rate B])</f>
        <v>662.60634455919751</v>
      </c>
      <c r="AE81" s="16">
        <f>Table2[[#This Row],[Asset growth B]]/(1+Table2[Compounded CPI])</f>
        <v>202.99528966586206</v>
      </c>
      <c r="AF81" s="17">
        <f>(AF80*((1+Table2[Discount rate B])^0.5)-Table2[Annual benefit payments (closed scheme)])*(1+Table2[Discount rate B])^0.5</f>
        <v>-1.5720362799448415</v>
      </c>
      <c r="AG81" s="17">
        <f>Table2[[#This Row],[Asset growth B with benefit payments deducted]]/(1+Table2[Compounded CPI])</f>
        <v>-0.4816071603192103</v>
      </c>
      <c r="AH81" s="19">
        <f>Table2[[#This Row],[Asset growth B with benefit payments deducted]]/(1+Table2[Compounded discount rate B])</f>
        <v>-0.14235024697724386</v>
      </c>
      <c r="AI81" s="11">
        <f>Table2[CPI]+2.56%</f>
        <v>5.33E-2</v>
      </c>
      <c r="AJ81" s="18">
        <f t="shared" si="11"/>
        <v>11.331431827899538</v>
      </c>
      <c r="AK81" s="17">
        <f>Table2[[#This Row],[Annual benefit payments (closed scheme)]]/((1+AJ80)*(1+Table2[[#This Row],[Discount rate C]])^0.5)+AK80</f>
        <v>52.096074076860873</v>
      </c>
      <c r="AL81" s="17">
        <f>AL80*(1+Table2[Discount rate C])</f>
        <v>739.88590967397215</v>
      </c>
      <c r="AM81" s="17">
        <f>Table2[[#This Row],[Asset growth C]]/(1+Table2[Compounded CPI])</f>
        <v>226.67056509076258</v>
      </c>
      <c r="AN81" s="17">
        <f>(AN80*((1+Table2[Discount rate C])^0.5)-Table2[Annual benefit payments (closed scheme)])*(1+Table2[Discount rate C])^0.5</f>
        <v>97.466723693957519</v>
      </c>
      <c r="AO81" s="17">
        <f>Table2[[#This Row],[Asset growth C with benefit payments deducted]]/(1+Table2[Compounded CPI])</f>
        <v>29.859789257224389</v>
      </c>
      <c r="AP81" s="19">
        <f>Table2[[#This Row],[Asset growth C with benefit payments deducted]]/(1+Table2[Compounded discount rate C])</f>
        <v>7.9039259231390826</v>
      </c>
      <c r="AQ81" s="11">
        <f>Table2[CPI]+2.56%</f>
        <v>5.33E-2</v>
      </c>
      <c r="AR81" s="18">
        <f t="shared" si="12"/>
        <v>10.543047928217611</v>
      </c>
      <c r="AS81" s="17">
        <f>Table2[[#This Row],[Annual benefit payments (closed scheme)]]/((1+AR80)*(1+Table2[[#This Row],[Discount rate D]])^0.5)+AS80</f>
        <v>54.57798904379905</v>
      </c>
      <c r="AT81" s="16">
        <f>AT80*(1+Table2[Discount rate D])</f>
        <v>692.58287569305639</v>
      </c>
      <c r="AU81" s="17">
        <f>Table2[[#This Row],[Asset growth D]]/(1+Table2[Compounded CPI])</f>
        <v>212.17886400175763</v>
      </c>
      <c r="AV81" s="17">
        <f>(AV80*((1+Table2[Discount rate D])^0.5)-Table2[Annual benefit payments (closed scheme)])*(1+Table2[Discount rate D])^0.5</f>
        <v>62.586532334748661</v>
      </c>
      <c r="AW81" s="17">
        <f>Table2[[#This Row],[Asset growth D with benefit payments deducted]]/(1+Table2[Compounded CPI])</f>
        <v>19.173935421530057</v>
      </c>
      <c r="AX81" s="19">
        <f>Table2[[#This Row],[Asset growth D with benefit payments deducted]]/(1+Table2[Compounded discount rate D])</f>
        <v>5.4220109562009586</v>
      </c>
      <c r="AY81" s="11">
        <f>Table2[CPI]+4%</f>
        <v>6.7699999999999996E-2</v>
      </c>
      <c r="AZ81" s="18">
        <f t="shared" si="13"/>
        <v>20.89093678424836</v>
      </c>
      <c r="BA81" s="17">
        <f>Table2[[#This Row],[Annual benefit payments (closed scheme)]]/((1+AZ80)*(1+Table2[[#This Row],[Discount rate E]])^0.5)+BA80</f>
        <v>48.160766822700282</v>
      </c>
      <c r="BB81" s="17">
        <f>BB80*(1+Table2[Discount rate E])</f>
        <v>1313.456207054903</v>
      </c>
      <c r="BC81" s="16">
        <f>Table2[[#This Row],[Asset growth E]]/(1+Table2[Compounded CPI])</f>
        <v>402.38887750449862</v>
      </c>
      <c r="BD81" s="17">
        <f>(BD80*((1+Table2[Discount rate E])^0.5)-Table2[Annual benefit payments (closed scheme)])*(1+Table2[Discount rate E])^0.5</f>
        <v>259.17190505824431</v>
      </c>
      <c r="BE81" s="17">
        <f>Table2[[#This Row],[Asset growth E with benefit payments deducted]]/(1+Table2[Compounded CPI])</f>
        <v>79.399595812127558</v>
      </c>
      <c r="BF81" s="19">
        <f>Table2[[#This Row],[Asset growth E with benefit payments deducted]]/(1+Table2[Compounded discount rate E])</f>
        <v>11.839233177299732</v>
      </c>
      <c r="BG81" s="11">
        <f>Table2[[#This Row],[Long-dated forward gilt yields]]+0.75%</f>
        <v>2.5600000000000001E-2</v>
      </c>
      <c r="BH81" s="11">
        <f t="shared" si="14"/>
        <v>2.6815423899648443</v>
      </c>
      <c r="BI81" s="17">
        <f>((Table2[[#This Row],[Annual benefit payments (closed scheme)]])*1.005^(Table2[[#This Row],[Year]]-2018))/((1+BH80)*(1+Table2[[#This Row],[Discount rate F]])^0.5)+BI80</f>
        <v>81.021536451155242</v>
      </c>
      <c r="BJ81" s="17">
        <f>BJ80*(1+Table2[Discount rate F])</f>
        <v>303.15106685621242</v>
      </c>
      <c r="BK81" s="17">
        <f>Table2[[#This Row],[Asset growth F, under the assumption of full-funding at Year 0]]/(1+Table2[[#This Row],[Compounded CPI]])</f>
        <v>92.872999382356667</v>
      </c>
      <c r="BL81" s="17">
        <f>(BL80*((1+Table2[Discount rate F])^0.5)-Table2[Annual benefit payments (closed scheme)]*1.005^(Table2[Year]-2018))*(1+Table2[Discount rate F])^0.5</f>
        <v>4.8668459112025193</v>
      </c>
      <c r="BM81" s="17">
        <f>Table2[[#This Row],[Asset growth F with benefit payments deducted]]/(1+Table2[Compounded CPI])</f>
        <v>1.4910011104118068</v>
      </c>
      <c r="BN81" s="19">
        <f>Table2[[#This Row],[Asset growth F with benefit payments deducted]]/(1+Table2[Compounded discount rate F])</f>
        <v>1.3219584064734873</v>
      </c>
      <c r="BO81" s="18">
        <f>(1+BO80)*(1+Table2[Discount rate A2])-1</f>
        <v>2.8087054267814087</v>
      </c>
      <c r="BP81" s="17">
        <f>Table2[[#This Row],[Annual benefit payments (ongoing scheme)]]/((1+BO80)*(1+Table2[[#This Row],[Discount rate A2]])^0.5)+BP80</f>
        <v>100.58434869694918</v>
      </c>
      <c r="BQ81" s="17">
        <f>(BQ80*((1+Table2[Discount rate A2])^0.5)-Table2[Annual benefit payments (ongoing scheme)])*(1+Table2[Discount rate A2])^0.5</f>
        <v>45.418143743832893</v>
      </c>
      <c r="BR81" s="18">
        <f>(1+BR80)*(1+Table2[Discount rate B])-1</f>
        <v>4.6281486627176802</v>
      </c>
      <c r="BS81" s="17">
        <f>Table2[[#This Row],[Annual benefit payments (ongoing scheme)]]/((1+BR80)*(1+Table2[[#This Row],[Discount rate B]])^0.5)+BS80</f>
        <v>86.096547120493085</v>
      </c>
      <c r="BT81" s="18">
        <f>(1+BT80)*(1+Table2[Discount rate E])-1</f>
        <v>7.5773293943749032</v>
      </c>
      <c r="BU81" s="17">
        <f>Table2[[#This Row],[Annual benefit payments (ongoing scheme)]]/((1+BT80)*(1+Table2[[#This Row],[Discount rate E]])^0.5)+BU80</f>
        <v>73.673718540515864</v>
      </c>
      <c r="BV81" s="18">
        <f>Table2[CPI]+0.75%+0.75%</f>
        <v>4.2699999999999995E-2</v>
      </c>
      <c r="BW81" s="18">
        <f>(1+BW80)*(1+Table2[Self-sufficiency discount rate, from 2037])-1</f>
        <v>2.5460915610849768</v>
      </c>
      <c r="BX81" s="17">
        <f>(Table2[[#This Row],[Annual benefit payments (ongoing scheme)]]*1.005^(Table2[[#This Row],[Year]]-2038))/((1+BW80)*(1+Table2[[#This Row],[Self-sufficiency discount rate, from 2037]])^0.5)+BX80</f>
        <v>111.76078532633646</v>
      </c>
      <c r="BY81" s="17">
        <f>(BY80*((1+Table2[Self-sufficiency discount rate, from 2037])^0.5)-Table2[Annual benefit payments (ongoing scheme)]*1.005^(Table2[Year]-2038))*(1+Table2[Self-sufficiency discount rate, from 2037])^0.5</f>
        <v>57.764895812171318</v>
      </c>
      <c r="BZ81" s="17">
        <f>(BZ80*((1+Table2[Discount rate B])^0.5)-Table2[Annual benefit payments (ongoing scheme)])*(1+Table2[Discount rate B])^0.5</f>
        <v>41.740574589514999</v>
      </c>
      <c r="CA81" s="17">
        <f>(CA80*((1+Table2[Discount rate A2])^0.5)+Table2[Net cashflow (ongoing scheme)])*(1+Table2[Discount rate A2])^0.5</f>
        <v>44.157594563876081</v>
      </c>
      <c r="CB81" s="17">
        <f>Table2[[#This Row],[Asset growth, ongoing scheme, with November de-risking, net of contributions and payments]]/(1+Table2[Compounded discount rate A2])</f>
        <v>6.5204474222523556</v>
      </c>
      <c r="CC81" s="17">
        <f>Table2[[#This Row],[Asset growth, ongoing scheme, with November de-risking, net of contributions and payments]]/(1+Table2[Compounded CPI])</f>
        <v>13.528068019639816</v>
      </c>
      <c r="CD81" s="17">
        <f>(CD80*((1+Table2[Discount rate A1])^0.5)+Table2[Net cashflow (ongoing scheme)])*(1+Table2[Discount rate A1])^0.5</f>
        <v>66.0295540961054</v>
      </c>
      <c r="CE81" s="17">
        <f>Table2[[#This Row],[Asset growth, ongoing scheme, with September de-risking, net of contributions and payments]]/(1+Table2[Compounded discount rate A1])</f>
        <v>9.2607346394532311</v>
      </c>
      <c r="CF81" s="17">
        <f>Table2[[#This Row],[Asset growth, ongoing scheme, with September de-risking, net of contributions and payments]]/(1+Table2[Compounded CPI])</f>
        <v>20.228735463080273</v>
      </c>
      <c r="CG81" s="17">
        <f>(CG80*((1+Table2[Discount rate B])^0.5)+Table2[Net cashflow (ongoing scheme)])*(1+Table2[Discount rate B])^0.5</f>
        <v>210.76931159289893</v>
      </c>
      <c r="CH81" s="17">
        <f>Table2[[#This Row],[Asset growth, ongoing scheme, no de-risking, net of contributions and payments]]/(1+Table2[Compounded discount rate B])</f>
        <v>19.085477824675621</v>
      </c>
      <c r="CI81" s="17">
        <f>Table2[[#This Row],[Asset growth, ongoing scheme, no de-risking, net of contributions and payments]]/(1+Table2[Compounded CPI])</f>
        <v>64.571034990523572</v>
      </c>
      <c r="CJ81" s="17">
        <f>(CJ80*((1+Table2[Discount rate E])^0.5)+Table2[Net cashflow (ongoing scheme)])*(1+Table2[Discount rate E])^0.5</f>
        <v>737.4016076990423</v>
      </c>
      <c r="CK81" s="17">
        <f>Table2[[#This Row],[Asset growth, ongoing scheme, best-estimates, no de-risking, net of contributions and payments ]]/(1+Table2[Compounded discount rate E])</f>
        <v>33.685246774347277</v>
      </c>
      <c r="CL81" s="17">
        <f>Table2[[#This Row],[Asset growth, ongoing scheme, best-estimates, no de-risking, net of contributions and payments ]]/(1+Table2[Compounded CPI])</f>
        <v>225.90947729986036</v>
      </c>
      <c r="CM81" s="9">
        <f t="shared" si="24"/>
        <v>2.7699999999999999E-2</v>
      </c>
      <c r="CN81" s="11">
        <f>(1+Table2[[#This Row],[CPI]])*(1+CN80)-1</f>
        <v>2.2641464028543354</v>
      </c>
      <c r="CO81" s="11">
        <f t="shared" si="23"/>
        <v>1.8100000000000002E-2</v>
      </c>
      <c r="CP81" s="11">
        <f>Table2[[#This Row],[CPI]]+2%</f>
        <v>4.7699999999999999E-2</v>
      </c>
      <c r="CQ81" s="26">
        <f>(1+Table2[[#This Row],[Salary growth]])*(1+CQ80)-1</f>
        <v>8.5807552892137053</v>
      </c>
      <c r="CR81" s="15">
        <f t="shared" si="17"/>
        <v>32.641464028543346</v>
      </c>
      <c r="CS81" s="17">
        <f t="shared" si="18"/>
        <v>42.43390323710635</v>
      </c>
      <c r="CT81" s="17">
        <f>CT80*(1+Table2[[#This Row],[Salary growth]])</f>
        <v>95.807552892137082</v>
      </c>
      <c r="CU81" s="19">
        <f t="shared" si="22"/>
        <v>124.54981875977819</v>
      </c>
      <c r="CV81" s="112">
        <f>('Cash flows as at 31032017'!B66)/1000000000</f>
        <v>0.65559972899999996</v>
      </c>
      <c r="CW81" s="113">
        <v>0</v>
      </c>
      <c r="CX81" s="113">
        <f>Table2[[#This Row],[Annual contributions (closed scheme)]]-Table2[[#This Row],[Annual benefit payments (closed scheme)]]</f>
        <v>-0.65559972899999996</v>
      </c>
      <c r="CY81" s="113">
        <v>4.4400000000000004</v>
      </c>
      <c r="CZ81" s="113">
        <v>0</v>
      </c>
      <c r="DA81" s="113">
        <v>-4.4400000000000004</v>
      </c>
      <c r="DB81" s="17"/>
      <c r="DC81" s="84"/>
      <c r="DD81" s="84"/>
      <c r="DE81" s="84"/>
      <c r="DF81" s="84"/>
      <c r="DG81" s="84"/>
      <c r="DH81" s="84"/>
      <c r="DI81" s="84"/>
      <c r="DJ81" s="84"/>
      <c r="DK81" s="84"/>
      <c r="DL81" s="84"/>
      <c r="DM81" s="84"/>
      <c r="DN81" s="84"/>
      <c r="DO81" s="84"/>
      <c r="DP81" s="84"/>
      <c r="DQ81" s="84"/>
      <c r="DR81" s="84"/>
      <c r="DS81" s="84"/>
      <c r="DT81" s="84"/>
      <c r="DU81" s="84"/>
      <c r="DV81" s="84"/>
      <c r="DW81" s="84"/>
      <c r="DX81" s="84"/>
      <c r="DY81" s="84"/>
      <c r="DZ81" s="84"/>
      <c r="EA81" s="84"/>
      <c r="EB81" s="84"/>
      <c r="EC81" s="84"/>
      <c r="ED81" s="84"/>
      <c r="EE81" s="84"/>
      <c r="EF81" s="84"/>
      <c r="EG81" s="84"/>
      <c r="EH81" s="84"/>
      <c r="EI81" s="84"/>
      <c r="EJ81" s="84"/>
      <c r="EK81" s="84"/>
      <c r="EL81" s="84"/>
      <c r="EM81" s="84"/>
      <c r="EN81" s="84"/>
      <c r="EO81" s="84"/>
      <c r="EP81" s="84"/>
      <c r="EQ81" s="84"/>
      <c r="ER81" s="84"/>
      <c r="ES81" s="84"/>
      <c r="ET81" s="84"/>
      <c r="EU81" s="84"/>
      <c r="EV81" s="84"/>
      <c r="EW81" s="84"/>
      <c r="EX81" s="84"/>
      <c r="EY81" s="84"/>
      <c r="EZ81" s="84"/>
      <c r="FA81" s="84"/>
      <c r="FB81" s="84"/>
      <c r="FC81" s="84"/>
      <c r="FD81" s="84"/>
      <c r="FE81" s="84"/>
      <c r="FF81" s="84"/>
      <c r="FG81" s="84"/>
      <c r="FH81" s="84"/>
    </row>
    <row r="82" spans="1:179" x14ac:dyDescent="0.2">
      <c r="A82" s="8">
        <v>2075</v>
      </c>
      <c r="B82" s="67"/>
      <c r="C82" s="67"/>
      <c r="D82" s="67"/>
      <c r="E82" s="35">
        <v>6.0999999999999999E-2</v>
      </c>
      <c r="F82" s="16">
        <f>F81*(1+Table2[[#This Row],[2008 discount rate]])</f>
        <v>1780.6244490365168</v>
      </c>
      <c r="G82" s="18">
        <v>6.0999999999999999E-2</v>
      </c>
      <c r="H82" s="16">
        <f>H81*(1+Table2[[#This Row],[2011 discount rate]])</f>
        <v>1463.248215100735</v>
      </c>
      <c r="I82" s="18">
        <v>5.1999999999999998E-2</v>
      </c>
      <c r="J82" s="16">
        <f>J81*(1+Table2[[#This Row],[2014 discount rate]])</f>
        <v>918.49199621021523</v>
      </c>
      <c r="K82" s="9">
        <f>Table2[CPI]+1.7%</f>
        <v>4.4700000000000004E-2</v>
      </c>
      <c r="L82" s="66">
        <f t="shared" si="21"/>
        <v>6.4487692229429934</v>
      </c>
      <c r="M82" s="17">
        <f>Table2[[#This Row],[Annual benefit payments (closed scheme)]]/((1+L81)*(1+Table2[[#This Row],[Discount rate A1]])^0.5)+M81</f>
        <v>64.541955580500115</v>
      </c>
      <c r="N82" s="17">
        <f>N81*(1+Table2[Discount rate A1])</f>
        <v>483.59323172738937</v>
      </c>
      <c r="O82" s="17">
        <f>Table2[[#This Row],[Asset growth A1, under the assumption of full-funding at Year 0]]/(1+Table2[[#This Row],[Compounded CPI]])</f>
        <v>144.15981888054935</v>
      </c>
      <c r="P82" s="17">
        <f>(P81*((1+Table2[Discount rate A1])^0.5)-Table2[Annual benefit payments (closed scheme)])*(1+Table2[Discount rate A1])^0.5</f>
        <v>2.8350994108058689</v>
      </c>
      <c r="Q82" s="17">
        <f>Table2[[#This Row],[Asset growth A1 with benefit payments deducted]]/(1+Table2[Compounded CPI])</f>
        <v>0.84514710040549601</v>
      </c>
      <c r="R82" s="17">
        <f>Table2[[#This Row],[Asset growth A1 with benefit payments deducted]]/(1+Table2[Compounded discount rate A1])</f>
        <v>0.38061313566722732</v>
      </c>
      <c r="S82" s="9">
        <f>Table2[CPI]+1.7%</f>
        <v>4.4700000000000004E-2</v>
      </c>
      <c r="T82" s="18">
        <f t="shared" si="20"/>
        <v>6.0748885856280967</v>
      </c>
      <c r="U82" s="17">
        <f>Table2[[#This Row],[Annual benefit payments (closed scheme)]]/((1+T81)*(1+Table2[[#This Row],[Discount rate A2]])^0.5)+U81</f>
        <v>67.110578957637017</v>
      </c>
      <c r="V82" s="17">
        <f>V81*(1+Table2[Discount rate A2])</f>
        <v>477.63496845308504</v>
      </c>
      <c r="W82" s="17">
        <f>Table2[[#This Row],[Asset growth A2, under the assumption of full-funding at Year 0]]/(1+Table2[Compounded CPI])</f>
        <v>142.38365226341494</v>
      </c>
      <c r="X82" s="17">
        <f>(X81*((1+Table2[Discount rate A2])^0.5)-Table2[Annual benefit payments (closed scheme)])*(1+Table2[Discount rate A2])^0.5</f>
        <v>2.8350994108060092</v>
      </c>
      <c r="Y82" s="17">
        <f>Table2[[#This Row],[Asset growth A2 with benefit payments deducted]]/(1+Table2[[#This Row],[Compounded CPI]])</f>
        <v>0.84514710040553787</v>
      </c>
      <c r="Z82" s="19">
        <f>Table2[[#This Row],[Asset growth A2 with benefit payments deducted]]/(1+Table2[Compounded discount rate A2])</f>
        <v>0.40072707527369689</v>
      </c>
      <c r="AA82" s="82">
        <f>Table2[CPI]+2.8%</f>
        <v>5.57E-2</v>
      </c>
      <c r="AB82" s="18">
        <f t="shared" si="10"/>
        <v>10.658558632519078</v>
      </c>
      <c r="AC82" s="17">
        <f>Table2[[#This Row],[Annual benefit payments (closed scheme)]]/((1+AB81)*(1+Table2[[#This Row],[Discount rate B]])^0.5)+AC81</f>
        <v>60.19432965798201</v>
      </c>
      <c r="AD82" s="45">
        <f>AD81*(1+Table2[Discount rate B])</f>
        <v>699.51351795114488</v>
      </c>
      <c r="AE82" s="16">
        <f>Table2[[#This Row],[Asset growth B]]/(1+Table2[Compounded CPI])</f>
        <v>208.52595825654433</v>
      </c>
      <c r="AF82" s="17">
        <f>(AF81*((1+Table2[Discount rate B])^0.5)-Table2[Annual benefit payments (closed scheme)])*(1+Table2[Discount rate B])^0.5</f>
        <v>-2.2656037116205443</v>
      </c>
      <c r="AG82" s="17">
        <f>Table2[[#This Row],[Asset growth B with benefit payments deducted]]/(1+Table2[Compounded CPI])</f>
        <v>-0.67537963580605631</v>
      </c>
      <c r="AH82" s="19">
        <f>Table2[[#This Row],[Asset growth B with benefit payments deducted]]/(1+Table2[Compounded discount rate B])</f>
        <v>-0.19432965798200155</v>
      </c>
      <c r="AI82" s="11">
        <f>Table2[CPI]+2.56%</f>
        <v>5.33E-2</v>
      </c>
      <c r="AJ82" s="18">
        <f t="shared" si="11"/>
        <v>11.988697144326581</v>
      </c>
      <c r="AK82" s="17">
        <f>Table2[[#This Row],[Annual benefit payments (closed scheme)]]/((1+AJ81)*(1+Table2[[#This Row],[Discount rate C]])^0.5)+AK81</f>
        <v>52.142677348494999</v>
      </c>
      <c r="AL82" s="17">
        <f>AL81*(1+Table2[Discount rate C])</f>
        <v>779.32182865959476</v>
      </c>
      <c r="AM82" s="17">
        <f>Table2[[#This Row],[Asset growth C]]/(1+Table2[Compounded CPI])</f>
        <v>232.31692732324626</v>
      </c>
      <c r="AN82" s="17">
        <f>(AN81*((1+Table2[Discount rate C])^0.5)-Table2[Annual benefit payments (closed scheme)])*(1+Table2[Discount rate C])^0.5</f>
        <v>102.05638428565497</v>
      </c>
      <c r="AO82" s="17">
        <f>Table2[[#This Row],[Asset growth C with benefit payments deducted]]/(1+Table2[Compounded CPI])</f>
        <v>30.42315092308289</v>
      </c>
      <c r="AP82" s="19">
        <f>Table2[[#This Row],[Asset growth C with benefit payments deducted]]/(1+Table2[Compounded discount rate C])</f>
        <v>7.8573226515049548</v>
      </c>
      <c r="AQ82" s="11">
        <f>Table2[CPI]+2.56%</f>
        <v>5.33E-2</v>
      </c>
      <c r="AR82" s="18">
        <f t="shared" si="12"/>
        <v>11.158292382791608</v>
      </c>
      <c r="AS82" s="17">
        <f>Table2[[#This Row],[Annual benefit payments (closed scheme)]]/((1+AR81)*(1+Table2[[#This Row],[Discount rate D]])^0.5)+AS81</f>
        <v>54.627775293556226</v>
      </c>
      <c r="AT82" s="16">
        <f>AT81*(1+Table2[Discount rate D])</f>
        <v>729.4975429674962</v>
      </c>
      <c r="AU82" s="17">
        <f>Table2[[#This Row],[Asset growth D]]/(1+Table2[Compounded CPI])</f>
        <v>217.46423805882191</v>
      </c>
      <c r="AV82" s="17">
        <f>(AV81*((1+Table2[Discount rate D])^0.5)-Table2[Annual benefit payments (closed scheme)])*(1+Table2[Discount rate D])^0.5</f>
        <v>65.317078727000293</v>
      </c>
      <c r="AW82" s="17">
        <f>Table2[[#This Row],[Asset growth D with benefit payments deducted]]/(1+Table2[Compounded CPI])</f>
        <v>19.471112541126253</v>
      </c>
      <c r="AX82" s="19">
        <f>Table2[[#This Row],[Asset growth D with benefit payments deducted]]/(1+Table2[Compounded discount rate D])</f>
        <v>5.37222470644378</v>
      </c>
      <c r="AY82" s="11">
        <f>Table2[CPI]+4%</f>
        <v>6.7699999999999996E-2</v>
      </c>
      <c r="AZ82" s="18">
        <f t="shared" si="13"/>
        <v>22.372953204541975</v>
      </c>
      <c r="BA82" s="17">
        <f>Table2[[#This Row],[Annual benefit payments (closed scheme)]]/((1+AZ81)*(1+Table2[[#This Row],[Discount rate E]])^0.5)+BA81</f>
        <v>48.186841382561312</v>
      </c>
      <c r="BB82" s="17">
        <f>BB81*(1+Table2[Discount rate E])</f>
        <v>1402.37719227252</v>
      </c>
      <c r="BC82" s="16">
        <f>Table2[[#This Row],[Asset growth E]]/(1+Table2[Compounded CPI])</f>
        <v>418.05060281361602</v>
      </c>
      <c r="BD82" s="17">
        <f>(BD81*((1+Table2[Discount rate E])^0.5)-Table2[Annual benefit payments (closed scheme)])*(1+Table2[Discount rate E])^0.5</f>
        <v>276.10840356322649</v>
      </c>
      <c r="BE82" s="17">
        <f>Table2[[#This Row],[Asset growth E with benefit payments deducted]]/(1+Table2[Compounded CPI])</f>
        <v>82.308301352551766</v>
      </c>
      <c r="BF82" s="19">
        <f>Table2[[#This Row],[Asset growth E with benefit payments deducted]]/(1+Table2[Compounded discount rate E])</f>
        <v>11.813158617438699</v>
      </c>
      <c r="BG82" s="11">
        <f>Table2[[#This Row],[Long-dated forward gilt yields]]+0.75%</f>
        <v>2.5600000000000001E-2</v>
      </c>
      <c r="BH82" s="11">
        <f t="shared" si="14"/>
        <v>2.7757898751479444</v>
      </c>
      <c r="BI82" s="17">
        <f>((Table2[[#This Row],[Annual benefit payments (closed scheme)]])*1.005^(Table2[[#This Row],[Year]]-2018))/((1+BH81)*(1+Table2[[#This Row],[Discount rate F]])^0.5)+BI81</f>
        <v>81.231746107928657</v>
      </c>
      <c r="BJ82" s="17">
        <f>BJ81*(1+Table2[Discount rate F])</f>
        <v>310.91173416773148</v>
      </c>
      <c r="BK82" s="17">
        <f>Table2[[#This Row],[Asset growth F, under the assumption of full-funding at Year 0]]/(1+Table2[[#This Row],[Compounded CPI]])</f>
        <v>92.683222892424837</v>
      </c>
      <c r="BL82" s="17">
        <f>(BL81*((1+Table2[Discount rate F])^0.5)-Table2[Annual benefit payments (closed scheme)]*1.005^(Table2[Year]-2018))*(1+Table2[Discount rate F])^0.5</f>
        <v>4.1977296728258962</v>
      </c>
      <c r="BM82" s="17">
        <f>Table2[[#This Row],[Asset growth F with benefit payments deducted]]/(1+Table2[Compounded CPI])</f>
        <v>1.2513490877085309</v>
      </c>
      <c r="BN82" s="19">
        <f>Table2[[#This Row],[Asset growth F with benefit payments deducted]]/(1+Table2[Compounded discount rate F])</f>
        <v>1.1117487497000662</v>
      </c>
      <c r="BO82" s="18">
        <f>(1+BO81)*(1+Table2[Discount rate A2])-1</f>
        <v>2.9789545593585376</v>
      </c>
      <c r="BP82" s="17">
        <f>Table2[[#This Row],[Annual benefit payments (ongoing scheme)]]/((1+BO81)*(1+Table2[[#This Row],[Discount rate A2]])^0.5)+BP81</f>
        <v>101.69663019795854</v>
      </c>
      <c r="BQ82" s="17">
        <f>(BQ81*((1+Table2[Discount rate A2])^0.5)-Table2[Annual benefit payments (ongoing scheme)])*(1+Table2[Discount rate A2])^0.5</f>
        <v>43.022617219450872</v>
      </c>
      <c r="BR82" s="18">
        <f>(1+BR81)*(1+Table2[Discount rate B])-1</f>
        <v>4.9416365432310556</v>
      </c>
      <c r="BS82" s="17">
        <f>Table2[[#This Row],[Annual benefit payments (ongoing scheme)]]/((1+BR81)*(1+Table2[[#This Row],[Discount rate B]])^0.5)+BS81</f>
        <v>86.845323395203437</v>
      </c>
      <c r="BT82" s="18">
        <f>(1+BT81)*(1+Table2[Discount rate E])-1</f>
        <v>8.1580145943740856</v>
      </c>
      <c r="BU82" s="17">
        <f>Table2[[#This Row],[Annual benefit payments (ongoing scheme)]]/((1+BT81)*(1+Table2[[#This Row],[Discount rate E]])^0.5)+BU81</f>
        <v>74.162270980269028</v>
      </c>
      <c r="BV82" s="18">
        <f>Table2[CPI]+0.75%+0.75%</f>
        <v>4.2699999999999995E-2</v>
      </c>
      <c r="BW82" s="18">
        <f>(1+BW81)*(1+Table2[Self-sufficiency discount rate, from 2037])-1</f>
        <v>2.6975096707433051</v>
      </c>
      <c r="BX82" s="17">
        <f>(Table2[[#This Row],[Annual benefit payments (ongoing scheme)]]*1.005^(Table2[[#This Row],[Year]]-2038))/((1+BW81)*(1+Table2[[#This Row],[Self-sufficiency discount rate, from 2037]])^0.5)+BX81</f>
        <v>113.19892990861403</v>
      </c>
      <c r="BY82" s="17">
        <f>(BY81*((1+Table2[Self-sufficiency discount rate, from 2037])^0.5)-Table2[Annual benefit payments (ongoing scheme)]*1.005^(Table2[Year]-2038))*(1+Table2[Self-sufficiency discount rate, from 2037])^0.5</f>
        <v>54.913903362452608</v>
      </c>
      <c r="BZ82" s="17">
        <f>(BZ81*((1+Table2[Discount rate B])^0.5)-Table2[Annual benefit payments (ongoing scheme)])*(1+Table2[Discount rate B])^0.5</f>
        <v>39.616568117627523</v>
      </c>
      <c r="CA82" s="17">
        <f>(CA81*((1+Table2[Discount rate A2])^0.5)+Table2[Net cashflow (ongoing scheme)])*(1+Table2[Discount rate A2])^0.5</f>
        <v>41.705721491149994</v>
      </c>
      <c r="CB82" s="17">
        <f>Table2[[#This Row],[Asset growth, ongoing scheme, with November de-risking, net of contributions and payments]]/(1+Table2[Compounded discount rate A2])</f>
        <v>5.894894454715633</v>
      </c>
      <c r="CC82" s="17">
        <f>Table2[[#This Row],[Asset growth, ongoing scheme, with November de-risking, net of contributions and payments]]/(1+Table2[Compounded CPI])</f>
        <v>12.432533918994258</v>
      </c>
      <c r="CD82" s="17">
        <f>(CD81*((1+Table2[Discount rate A1])^0.5)+Table2[Net cashflow (ongoing scheme)])*(1+Table2[Discount rate A1])^0.5</f>
        <v>64.555357614469969</v>
      </c>
      <c r="CE82" s="17">
        <f>Table2[[#This Row],[Asset growth, ongoing scheme, with September de-risking, net of contributions and payments]]/(1+Table2[Compounded discount rate A1])</f>
        <v>8.6665804352795188</v>
      </c>
      <c r="CF82" s="17">
        <f>Table2[[#This Row],[Asset growth, ongoing scheme, with September de-risking, net of contributions and payments]]/(1+Table2[Compounded CPI])</f>
        <v>19.244042411902932</v>
      </c>
      <c r="CG82" s="17">
        <f>(CG81*((1+Table2[Discount rate B])^0.5)+Table2[Net cashflow (ongoing scheme)])*(1+Table2[Discount rate B])^0.5</f>
        <v>218.06020577209992</v>
      </c>
      <c r="CH82" s="17">
        <f>Table2[[#This Row],[Asset growth, ongoing scheme, no de-risking, net of contributions and payments]]/(1+Table2[Compounded discount rate B])</f>
        <v>18.703873492891926</v>
      </c>
      <c r="CI82" s="17">
        <f>Table2[[#This Row],[Asset growth, ongoing scheme, no de-risking, net of contributions and payments]]/(1+Table2[Compounded CPI])</f>
        <v>65.004052386907773</v>
      </c>
      <c r="CJ82" s="17">
        <f>(CJ81*((1+Table2[Discount rate E])^0.5)+Table2[Net cashflow (ongoing scheme)])*(1+Table2[Discount rate E])^0.5</f>
        <v>782.84952616689088</v>
      </c>
      <c r="CK82" s="17">
        <f>Table2[[#This Row],[Asset growth, ongoing scheme, best-estimates, no de-risking, net of contributions and payments ]]/(1+Table2[Compounded discount rate E])</f>
        <v>33.493821654285554</v>
      </c>
      <c r="CL82" s="17">
        <f>Table2[[#This Row],[Asset growth, ongoing scheme, best-estimates, no de-risking, net of contributions and payments ]]/(1+Table2[Compounded CPI])</f>
        <v>233.36853888509677</v>
      </c>
      <c r="CM82" s="9">
        <f t="shared" si="24"/>
        <v>2.7699999999999999E-2</v>
      </c>
      <c r="CN82" s="11">
        <f>(1+Table2[[#This Row],[CPI]])*(1+CN81)-1</f>
        <v>2.3545632582134006</v>
      </c>
      <c r="CO82" s="11">
        <f t="shared" si="23"/>
        <v>1.8100000000000002E-2</v>
      </c>
      <c r="CP82" s="11">
        <f>Table2[[#This Row],[CPI]]+2%</f>
        <v>4.7699999999999999E-2</v>
      </c>
      <c r="CQ82" s="26">
        <f>(1+Table2[[#This Row],[Salary growth]])*(1+CQ81)-1</f>
        <v>9.0377573165092002</v>
      </c>
      <c r="CR82" s="15">
        <f t="shared" si="17"/>
        <v>33.545632582133997</v>
      </c>
      <c r="CS82" s="17">
        <f t="shared" si="18"/>
        <v>43.6093223567742</v>
      </c>
      <c r="CT82" s="17">
        <f>CT81*(1+Table2[[#This Row],[Salary growth]])</f>
        <v>100.37757316509203</v>
      </c>
      <c r="CU82" s="19">
        <f t="shared" si="22"/>
        <v>130.49084511461962</v>
      </c>
      <c r="CV82" s="112">
        <f>('Cash flows as at 31032017'!B67)/1000000000</f>
        <v>0.58980161099999995</v>
      </c>
      <c r="CW82" s="113">
        <v>0</v>
      </c>
      <c r="CX82" s="113">
        <f>Table2[[#This Row],[Annual contributions (closed scheme)]]-Table2[[#This Row],[Annual benefit payments (closed scheme)]]</f>
        <v>-0.58980161099999995</v>
      </c>
      <c r="CY82" s="113">
        <v>4.33</v>
      </c>
      <c r="CZ82" s="113">
        <v>0</v>
      </c>
      <c r="DA82" s="113">
        <v>-4.33</v>
      </c>
      <c r="DB82" s="17"/>
      <c r="DC82" s="84"/>
      <c r="DD82" s="84"/>
      <c r="DE82" s="84"/>
      <c r="DF82" s="84"/>
      <c r="DG82" s="84"/>
      <c r="DH82" s="84"/>
      <c r="DI82" s="84"/>
      <c r="DJ82" s="84"/>
      <c r="DK82" s="84"/>
      <c r="DL82" s="84"/>
      <c r="DM82" s="84"/>
      <c r="DN82" s="84"/>
      <c r="DO82" s="84"/>
      <c r="DP82" s="84"/>
      <c r="DQ82" s="84"/>
      <c r="DR82" s="84"/>
      <c r="DS82" s="84"/>
      <c r="DT82" s="84"/>
      <c r="DU82" s="84"/>
      <c r="DV82" s="84"/>
      <c r="DW82" s="84"/>
      <c r="DX82" s="84"/>
      <c r="DY82" s="84"/>
      <c r="DZ82" s="84"/>
      <c r="EA82" s="84"/>
      <c r="EB82" s="84"/>
      <c r="EC82" s="84"/>
      <c r="ED82" s="84"/>
      <c r="EE82" s="84"/>
      <c r="EF82" s="84"/>
      <c r="EG82" s="84"/>
      <c r="EH82" s="84"/>
      <c r="EI82" s="84"/>
      <c r="EJ82" s="84"/>
      <c r="EK82" s="84"/>
      <c r="EL82" s="84"/>
      <c r="EM82" s="84"/>
      <c r="EN82" s="84"/>
      <c r="EO82" s="84"/>
      <c r="EP82" s="84"/>
      <c r="EQ82" s="84"/>
      <c r="ER82" s="84"/>
      <c r="ES82" s="84"/>
      <c r="ET82" s="84"/>
      <c r="EU82" s="84"/>
      <c r="EV82" s="84"/>
      <c r="EW82" s="84"/>
      <c r="EX82" s="84"/>
      <c r="EY82" s="84"/>
      <c r="EZ82" s="84"/>
      <c r="FA82" s="84"/>
      <c r="FB82" s="84"/>
      <c r="FC82" s="84"/>
      <c r="FD82" s="84"/>
      <c r="FE82" s="84"/>
      <c r="FF82" s="84"/>
      <c r="FG82" s="84"/>
      <c r="FH82" s="84"/>
      <c r="FI82" s="84"/>
    </row>
    <row r="83" spans="1:179" x14ac:dyDescent="0.2">
      <c r="A83" s="8">
        <v>2076</v>
      </c>
      <c r="B83" s="67"/>
      <c r="C83" s="67"/>
      <c r="D83" s="67"/>
      <c r="E83" s="35">
        <v>6.0999999999999999E-2</v>
      </c>
      <c r="F83" s="16">
        <f>F82*(1+Table2[[#This Row],[2008 discount rate]])</f>
        <v>1889.2425404277442</v>
      </c>
      <c r="G83" s="18">
        <v>6.0999999999999999E-2</v>
      </c>
      <c r="H83" s="16">
        <f>H82*(1+Table2[[#This Row],[2011 discount rate]])</f>
        <v>1552.5063562218797</v>
      </c>
      <c r="I83" s="18">
        <v>5.1999999999999998E-2</v>
      </c>
      <c r="J83" s="16">
        <f>J82*(1+Table2[[#This Row],[2014 discount rate]])</f>
        <v>966.25358001314646</v>
      </c>
      <c r="K83" s="9">
        <f>Table2[CPI]+1.7%</f>
        <v>4.4700000000000004E-2</v>
      </c>
      <c r="L83" s="66">
        <f t="shared" si="21"/>
        <v>6.7817292072085449</v>
      </c>
      <c r="M83" s="17">
        <f>Table2[[#This Row],[Annual benefit payments (closed scheme)]]/((1+L82)*(1+Table2[[#This Row],[Discount rate A1]])^0.5)+M82</f>
        <v>64.611173949562684</v>
      </c>
      <c r="N83" s="17">
        <f>N82*(1+Table2[Discount rate A1])</f>
        <v>505.20984918560367</v>
      </c>
      <c r="O83" s="17">
        <f>Table2[[#This Row],[Asset growth A1, under the assumption of full-funding at Year 0]]/(1+Table2[[#This Row],[Compounded CPI]])</f>
        <v>146.54448066995224</v>
      </c>
      <c r="P83" s="17">
        <f>(P82*((1+Table2[Discount rate A1])^0.5)-Table2[Annual benefit payments (closed scheme)])*(1+Table2[Discount rate A1])^0.5</f>
        <v>2.4231897502593509</v>
      </c>
      <c r="Q83" s="17">
        <f>Table2[[#This Row],[Asset growth A1 with benefit payments deducted]]/(1+Table2[Compounded CPI])</f>
        <v>0.70288630375859829</v>
      </c>
      <c r="R83" s="17">
        <f>Table2[[#This Row],[Asset growth A1 with benefit payments deducted]]/(1+Table2[Compounded discount rate A1])</f>
        <v>0.31139476660465742</v>
      </c>
      <c r="S83" s="9">
        <f>Table2[CPI]+1.7%</f>
        <v>4.4700000000000004E-2</v>
      </c>
      <c r="T83" s="18">
        <f t="shared" si="20"/>
        <v>6.3911361054056721</v>
      </c>
      <c r="U83" s="17">
        <f>Table2[[#This Row],[Annual benefit payments (closed scheme)]]/((1+T82)*(1+Table2[[#This Row],[Discount rate A2]])^0.5)+U82</f>
        <v>67.183455251149681</v>
      </c>
      <c r="V83" s="17">
        <f>V82*(1+Table2[Discount rate A2])</f>
        <v>498.98525154293793</v>
      </c>
      <c r="W83" s="17">
        <f>Table2[[#This Row],[Asset growth A2, under the assumption of full-funding at Year 0]]/(1+Table2[Compounded CPI])</f>
        <v>144.73893307345489</v>
      </c>
      <c r="X83" s="17">
        <f>(X82*((1+Table2[Discount rate A2])^0.5)-Table2[Annual benefit payments (closed scheme)])*(1+Table2[Discount rate A2])^0.5</f>
        <v>2.4231897502594975</v>
      </c>
      <c r="Y83" s="17">
        <f>Table2[[#This Row],[Asset growth A2 with benefit payments deducted]]/(1+Table2[[#This Row],[Compounded CPI]])</f>
        <v>0.7028863037586407</v>
      </c>
      <c r="Z83" s="19">
        <f>Table2[[#This Row],[Asset growth A2 with benefit payments deducted]]/(1+Table2[Compounded discount rate A2])</f>
        <v>0.32785078176103993</v>
      </c>
      <c r="AA83" s="82">
        <f>Table2[CPI]+2.8%</f>
        <v>5.57E-2</v>
      </c>
      <c r="AB83" s="18">
        <f t="shared" si="10"/>
        <v>11.307940348350392</v>
      </c>
      <c r="AC83" s="17">
        <f>Table2[[#This Row],[Annual benefit payments (closed scheme)]]/((1+AB82)*(1+Table2[[#This Row],[Discount rate B]])^0.5)+AC82</f>
        <v>60.238322959654518</v>
      </c>
      <c r="AD83" s="45">
        <f>AD82*(1+Table2[Discount rate B])</f>
        <v>738.47642090102374</v>
      </c>
      <c r="AE83" s="16">
        <f>Table2[[#This Row],[Asset growth B]]/(1+Table2[Compounded CPI])</f>
        <v>214.20731160011078</v>
      </c>
      <c r="AF83" s="17">
        <f>(AF82*((1+Table2[Discount rate B])^0.5)-Table2[Annual benefit payments (closed scheme)])*(1+Table2[Discount rate B])^0.5</f>
        <v>-2.933264771070009</v>
      </c>
      <c r="AG83" s="17">
        <f>Table2[[#This Row],[Asset growth B with benefit payments deducted]]/(1+Table2[Compounded CPI])</f>
        <v>-0.850842008002899</v>
      </c>
      <c r="AH83" s="19">
        <f>Table2[[#This Row],[Asset growth B with benefit payments deducted]]/(1+Table2[Compounded discount rate B])</f>
        <v>-0.23832295965450859</v>
      </c>
      <c r="AI83" s="11">
        <f>Table2[CPI]+2.56%</f>
        <v>5.33E-2</v>
      </c>
      <c r="AJ83" s="18">
        <f t="shared" si="11"/>
        <v>12.680994702119186</v>
      </c>
      <c r="AK83" s="17">
        <f>Table2[[#This Row],[Annual benefit payments (closed scheme)]]/((1+AJ82)*(1+Table2[[#This Row],[Discount rate C]])^0.5)+AK82</f>
        <v>52.182210373403123</v>
      </c>
      <c r="AL83" s="17">
        <f>AL82*(1+Table2[Discount rate C])</f>
        <v>820.85968212715113</v>
      </c>
      <c r="AM83" s="17">
        <f>Table2[[#This Row],[Asset growth C]]/(1+Table2[Compounded CPI])</f>
        <v>238.10394040048192</v>
      </c>
      <c r="AN83" s="17">
        <f>(AN82*((1+Table2[Discount rate C])^0.5)-Table2[Annual benefit payments (closed scheme)])*(1+Table2[Discount rate C])^0.5</f>
        <v>106.95513846375363</v>
      </c>
      <c r="AO83" s="17">
        <f>Table2[[#This Row],[Asset growth C with benefit payments deducted]]/(1+Table2[Compounded CPI])</f>
        <v>31.024108588578642</v>
      </c>
      <c r="AP83" s="19">
        <f>Table2[[#This Row],[Asset growth C with benefit payments deducted]]/(1+Table2[Compounded discount rate C])</f>
        <v>7.8177896265968352</v>
      </c>
      <c r="AQ83" s="11">
        <f>Table2[CPI]+2.56%</f>
        <v>5.33E-2</v>
      </c>
      <c r="AR83" s="18">
        <f t="shared" si="12"/>
        <v>11.806329366794399</v>
      </c>
      <c r="AS83" s="17">
        <f>Table2[[#This Row],[Annual benefit payments (closed scheme)]]/((1+AR82)*(1+Table2[[#This Row],[Discount rate D]])^0.5)+AS82</f>
        <v>54.670008402578794</v>
      </c>
      <c r="AT83" s="16">
        <f>AT82*(1+Table2[Discount rate D])</f>
        <v>768.37976200766366</v>
      </c>
      <c r="AU83" s="17">
        <f>Table2[[#This Row],[Asset growth D]]/(1+Table2[Compounded CPI])</f>
        <v>222.88127074764725</v>
      </c>
      <c r="AV83" s="17">
        <f>(AV82*((1+Table2[Discount rate D])^0.5)-Table2[Annual benefit payments (closed scheme)])*(1+Table2[Discount rate D])^0.5</f>
        <v>68.257627918822649</v>
      </c>
      <c r="AW83" s="17">
        <f>Table2[[#This Row],[Asset growth D with benefit payments deducted]]/(1+Table2[Compounded CPI])</f>
        <v>19.799255005125371</v>
      </c>
      <c r="AX83" s="19">
        <f>Table2[[#This Row],[Asset growth D with benefit payments deducted]]/(1+Table2[Compounded discount rate D])</f>
        <v>5.3299915974212118</v>
      </c>
      <c r="AY83" s="11">
        <f>Table2[CPI]+4%</f>
        <v>6.7699999999999996E-2</v>
      </c>
      <c r="AZ83" s="18">
        <f t="shared" si="13"/>
        <v>23.955302136489468</v>
      </c>
      <c r="BA83" s="17">
        <f>Table2[[#This Row],[Annual benefit payments (closed scheme)]]/((1+AZ82)*(1+Table2[[#This Row],[Discount rate E]])^0.5)+BA82</f>
        <v>48.208661820756582</v>
      </c>
      <c r="BB83" s="17">
        <f>BB82*(1+Table2[Discount rate E])</f>
        <v>1497.3181281893696</v>
      </c>
      <c r="BC83" s="16">
        <f>Table2[[#This Row],[Asset growth E]]/(1+Table2[Compounded CPI])</f>
        <v>434.32191167081623</v>
      </c>
      <c r="BD83" s="17">
        <f>(BD82*((1+Table2[Discount rate E])^0.5)-Table2[Annual benefit payments (closed scheme)])*(1+Table2[Discount rate E])^0.5</f>
        <v>294.25640685654332</v>
      </c>
      <c r="BE83" s="17">
        <f>Table2[[#This Row],[Asset growth E with benefit payments deducted]]/(1+Table2[Compounded CPI])</f>
        <v>85.35394231943468</v>
      </c>
      <c r="BF83" s="19">
        <f>Table2[[#This Row],[Asset growth E with benefit payments deducted]]/(1+Table2[Compounded discount rate E])</f>
        <v>11.791338179243427</v>
      </c>
      <c r="BG83" s="11">
        <f>Table2[[#This Row],[Long-dated forward gilt yields]]+0.75%</f>
        <v>2.5600000000000001E-2</v>
      </c>
      <c r="BH83" s="11">
        <f t="shared" si="14"/>
        <v>2.8724500959517321</v>
      </c>
      <c r="BI83" s="17">
        <f>((Table2[[#This Row],[Annual benefit payments (closed scheme)]])*1.005^(Table2[[#This Row],[Year]]-2018))/((1+BH82)*(1+Table2[[#This Row],[Discount rate F]])^0.5)+BI82</f>
        <v>81.41579636862447</v>
      </c>
      <c r="BJ83" s="17">
        <f>BJ82*(1+Table2[Discount rate F])</f>
        <v>318.87107456242541</v>
      </c>
      <c r="BK83" s="17">
        <f>Table2[[#This Row],[Asset growth F, under the assumption of full-funding at Year 0]]/(1+Table2[[#This Row],[Compounded CPI]])</f>
        <v>92.493834191369956</v>
      </c>
      <c r="BL83" s="17">
        <f>(BL82*((1+Table2[Discount rate F])^0.5)-Table2[Annual benefit payments (closed scheme)]*1.005^(Table2[Year]-2018))*(1+Table2[Discount rate F])^0.5</f>
        <v>3.5924661027587792</v>
      </c>
      <c r="BM83" s="17">
        <f>Table2[[#This Row],[Asset growth F with benefit payments deducted]]/(1+Table2[Compounded CPI])</f>
        <v>1.0420542675520632</v>
      </c>
      <c r="BN83" s="19">
        <f>Table2[[#This Row],[Asset growth F with benefit payments deducted]]/(1+Table2[Compounded discount rate F])</f>
        <v>0.92769848900424856</v>
      </c>
      <c r="BO83" s="18">
        <f>(1+BO82)*(1+Table2[Discount rate A2])-1</f>
        <v>3.1568138281618641</v>
      </c>
      <c r="BP83" s="17">
        <f>Table2[[#This Row],[Annual benefit payments (ongoing scheme)]]/((1+BO82)*(1+Table2[[#This Row],[Discount rate A2]])^0.5)+BP82</f>
        <v>102.73673138157946</v>
      </c>
      <c r="BQ83" s="17">
        <f>(BQ82*((1+Table2[Discount rate A2])^0.5)-Table2[Annual benefit payments (ongoing scheme)])*(1+Table2[Discount rate A2])^0.5</f>
        <v>40.622221226397365</v>
      </c>
      <c r="BR83" s="18">
        <f>(1+BR82)*(1+Table2[Discount rate B])-1</f>
        <v>5.272585698689026</v>
      </c>
      <c r="BS83" s="17">
        <f>Table2[[#This Row],[Annual benefit payments (ongoing scheme)]]/((1+BR82)*(1+Table2[[#This Row],[Discount rate B]])^0.5)+BS82</f>
        <v>87.538212966197193</v>
      </c>
      <c r="BT83" s="18">
        <f>(1+BT82)*(1+Table2[Discount rate E])-1</f>
        <v>8.778012182413212</v>
      </c>
      <c r="BU83" s="17">
        <f>Table2[[#This Row],[Annual benefit payments (ongoing scheme)]]/((1+BT82)*(1+Table2[[#This Row],[Discount rate E]])^0.5)+BU82</f>
        <v>74.609278073532209</v>
      </c>
      <c r="BV83" s="18">
        <f>Table2[CPI]+0.75%+0.75%</f>
        <v>4.2699999999999995E-2</v>
      </c>
      <c r="BW83" s="18">
        <f>(1+BW82)*(1+Table2[Self-sufficiency discount rate, from 2037])-1</f>
        <v>2.8553933336840442</v>
      </c>
      <c r="BX83" s="17">
        <f>(Table2[[#This Row],[Annual benefit payments (ongoing scheme)]]*1.005^(Table2[[#This Row],[Year]]-2038))/((1+BW82)*(1+Table2[[#This Row],[Self-sufficiency discount rate, from 2037]])^0.5)+BX82</f>
        <v>114.55306411494355</v>
      </c>
      <c r="BY83" s="17">
        <f>(BY82*((1+Table2[Self-sufficiency discount rate, from 2037])^0.5)-Table2[Annual benefit payments (ongoing scheme)]*1.005^(Table2[Year]-2038))*(1+Table2[Self-sufficiency discount rate, from 2037])^0.5</f>
        <v>52.038007044032945</v>
      </c>
      <c r="BZ83" s="17">
        <f>(BZ82*((1+Table2[Discount rate B])^0.5)-Table2[Annual benefit payments (ongoing scheme)])*(1+Table2[Discount rate B])^0.5</f>
        <v>37.477001747993185</v>
      </c>
      <c r="CA83" s="17">
        <f>(CA82*((1+Table2[Discount rate A2])^0.5)+Table2[Net cashflow (ongoing scheme)])*(1+Table2[Discount rate A2])^0.5</f>
        <v>39.246460259041442</v>
      </c>
      <c r="CB83" s="17">
        <f>Table2[[#This Row],[Asset growth, ongoing scheme, with November de-risking, net of contributions and payments]]/(1+Table2[Compounded discount rate A2])</f>
        <v>5.3099360773965003</v>
      </c>
      <c r="CC83" s="17">
        <f>Table2[[#This Row],[Asset growth, ongoing scheme, with November de-risking, net of contributions and payments]]/(1+Table2[Compounded CPI])</f>
        <v>11.384085536072396</v>
      </c>
      <c r="CD83" s="17">
        <f>(CD82*((1+Table2[Discount rate A1])^0.5)+Table2[Net cashflow (ongoing scheme)])*(1+Table2[Discount rate A1])^0.5</f>
        <v>63.117475117073809</v>
      </c>
      <c r="CE83" s="17">
        <f>Table2[[#This Row],[Asset growth, ongoing scheme, with September de-risking, net of contributions and payments]]/(1+Table2[Compounded discount rate A1])</f>
        <v>8.1109832321851325</v>
      </c>
      <c r="CF83" s="17">
        <f>Table2[[#This Row],[Asset growth, ongoing scheme, with September de-risking, net of contributions and payments]]/(1+Table2[Compounded CPI])</f>
        <v>18.308268588073648</v>
      </c>
      <c r="CG83" s="17">
        <f>(CG82*((1+Table2[Discount rate B])^0.5)+Table2[Net cashflow (ongoing scheme)])*(1+Table2[Discount rate B])^0.5</f>
        <v>225.85995001981968</v>
      </c>
      <c r="CH83" s="17">
        <f>Table2[[#This Row],[Asset growth, ongoing scheme, no de-risking, net of contributions and payments]]/(1+Table2[Compounded discount rate B])</f>
        <v>18.350751110854322</v>
      </c>
      <c r="CI83" s="17">
        <f>Table2[[#This Row],[Asset growth, ongoing scheme, no de-risking, net of contributions and payments]]/(1+Table2[Compounded CPI])</f>
        <v>65.514417688314154</v>
      </c>
      <c r="CJ83" s="17">
        <f>(CJ82*((1+Table2[Discount rate E])^0.5)+Table2[Net cashflow (ongoing scheme)])*(1+Table2[Discount rate E])^0.5</f>
        <v>831.47759828483674</v>
      </c>
      <c r="CK83" s="17">
        <f>Table2[[#This Row],[Asset growth, ongoing scheme, best-estimates, no de-risking, net of contributions and payments ]]/(1+Table2[Compounded discount rate E])</f>
        <v>33.318674874669462</v>
      </c>
      <c r="CL83" s="17">
        <f>Table2[[#This Row],[Asset growth, ongoing scheme, best-estimates, no de-risking, net of contributions and payments ]]/(1+Table2[Compounded CPI])</f>
        <v>241.1838427650803</v>
      </c>
      <c r="CM83" s="9">
        <f t="shared" si="24"/>
        <v>2.7699999999999999E-2</v>
      </c>
      <c r="CN83" s="11">
        <f>(1+Table2[[#This Row],[CPI]])*(1+CN82)-1</f>
        <v>2.447484660465912</v>
      </c>
      <c r="CO83" s="11">
        <f t="shared" si="23"/>
        <v>1.8100000000000002E-2</v>
      </c>
      <c r="CP83" s="11">
        <f>Table2[[#This Row],[CPI]]+2%</f>
        <v>4.7699999999999999E-2</v>
      </c>
      <c r="CQ83" s="26">
        <f>(1+Table2[[#This Row],[Salary growth]])*(1+CQ82)-1</f>
        <v>9.5165583405066894</v>
      </c>
      <c r="CR83" s="15">
        <f t="shared" si="17"/>
        <v>34.474846604659113</v>
      </c>
      <c r="CS83" s="17">
        <f t="shared" si="18"/>
        <v>44.817300586056845</v>
      </c>
      <c r="CT83" s="17">
        <f>CT82*(1+Table2[[#This Row],[Salary growth]])</f>
        <v>105.16558340506693</v>
      </c>
      <c r="CU83" s="19">
        <f t="shared" si="22"/>
        <v>136.71525842658698</v>
      </c>
      <c r="CV83" s="112">
        <f>('Cash flows as at 31032017'!B68)/1000000000</f>
        <v>0.52698915599999996</v>
      </c>
      <c r="CW83" s="113">
        <v>0</v>
      </c>
      <c r="CX83" s="113">
        <f>Table2[[#This Row],[Annual contributions (closed scheme)]]-Table2[[#This Row],[Annual benefit payments (closed scheme)]]</f>
        <v>-0.52698915599999996</v>
      </c>
      <c r="CY83" s="113">
        <v>4.2300000000000004</v>
      </c>
      <c r="CZ83" s="113">
        <v>0</v>
      </c>
      <c r="DA83" s="113">
        <v>-4.2300000000000004</v>
      </c>
      <c r="DB83" s="17"/>
      <c r="DC83" s="84"/>
      <c r="DD83" s="84"/>
      <c r="DE83" s="84"/>
      <c r="DF83" s="84"/>
      <c r="DG83" s="84"/>
      <c r="DH83" s="84"/>
      <c r="DI83" s="84"/>
      <c r="DJ83" s="84"/>
      <c r="DK83" s="84"/>
      <c r="DL83" s="84"/>
      <c r="DM83" s="84"/>
      <c r="DN83" s="84"/>
      <c r="DO83" s="84"/>
      <c r="DP83" s="84"/>
      <c r="DQ83" s="84"/>
      <c r="DR83" s="84"/>
      <c r="DS83" s="84"/>
      <c r="DT83" s="84"/>
      <c r="DU83" s="84"/>
      <c r="DV83" s="84"/>
      <c r="DW83" s="84"/>
      <c r="DX83" s="84"/>
      <c r="DY83" s="84"/>
      <c r="DZ83" s="84"/>
      <c r="EA83" s="84"/>
      <c r="EB83" s="84"/>
      <c r="EC83" s="84"/>
      <c r="ED83" s="84"/>
      <c r="EE83" s="84"/>
      <c r="EF83" s="84"/>
      <c r="EG83" s="84"/>
      <c r="EH83" s="84"/>
      <c r="EI83" s="84"/>
      <c r="EJ83" s="84"/>
      <c r="EK83" s="84"/>
      <c r="EL83" s="84"/>
      <c r="EM83" s="84"/>
      <c r="EN83" s="84"/>
      <c r="EO83" s="84"/>
      <c r="EP83" s="84"/>
      <c r="EQ83" s="84"/>
      <c r="ER83" s="84"/>
      <c r="ES83" s="84"/>
      <c r="ET83" s="84"/>
      <c r="EU83" s="84"/>
      <c r="EV83" s="84"/>
      <c r="EW83" s="84"/>
      <c r="EX83" s="84"/>
      <c r="EY83" s="84"/>
      <c r="EZ83" s="84"/>
      <c r="FA83" s="84"/>
      <c r="FB83" s="84"/>
      <c r="FC83" s="84"/>
      <c r="FD83" s="84"/>
      <c r="FE83" s="84"/>
      <c r="FF83" s="84"/>
      <c r="FG83" s="84"/>
      <c r="FH83" s="84"/>
      <c r="FI83" s="84"/>
      <c r="FJ83" s="84"/>
    </row>
    <row r="84" spans="1:179" x14ac:dyDescent="0.2">
      <c r="A84" s="8">
        <v>2077</v>
      </c>
      <c r="B84" s="67"/>
      <c r="C84" s="67"/>
      <c r="D84" s="67"/>
      <c r="E84" s="35">
        <v>6.0999999999999999E-2</v>
      </c>
      <c r="F84" s="16">
        <f>F83*(1+Table2[[#This Row],[2008 discount rate]])</f>
        <v>2004.4863353938365</v>
      </c>
      <c r="G84" s="18">
        <v>6.0999999999999999E-2</v>
      </c>
      <c r="H84" s="16">
        <f>H83*(1+Table2[[#This Row],[2011 discount rate]])</f>
        <v>1647.2092439514142</v>
      </c>
      <c r="I84" s="18">
        <v>5.1999999999999998E-2</v>
      </c>
      <c r="J84" s="16">
        <f>J83*(1+Table2[[#This Row],[2014 discount rate]])</f>
        <v>1016.4987661738302</v>
      </c>
      <c r="K84" s="9">
        <f>Table2[CPI]+1.7%</f>
        <v>4.4700000000000004E-2</v>
      </c>
      <c r="L84" s="66">
        <f t="shared" si="21"/>
        <v>7.1295725027707668</v>
      </c>
      <c r="M84" s="17">
        <f>Table2[[#This Row],[Annual benefit payments (closed scheme)]]/((1+L83)*(1+Table2[[#This Row],[Discount rate A1]])^0.5)+M83</f>
        <v>64.669925139991207</v>
      </c>
      <c r="N84" s="17">
        <f>N83*(1+Table2[Discount rate A1])</f>
        <v>527.79272944420018</v>
      </c>
      <c r="O84" s="17">
        <f>Table2[[#This Row],[Asset growth A1, under the assumption of full-funding at Year 0]]/(1+Table2[[#This Row],[Compounded CPI]])</f>
        <v>148.96858903950482</v>
      </c>
      <c r="P84" s="17">
        <f>(P83*((1+Table2[Discount rate A1])^0.5)-Table2[Annual benefit payments (closed scheme)])*(1+Table2[Discount rate A1])^0.5</f>
        <v>2.0538842698831683</v>
      </c>
      <c r="Q84" s="17">
        <f>Table2[[#This Row],[Asset growth A1 with benefit payments deducted]]/(1+Table2[Compounded CPI])</f>
        <v>0.57970529843624263</v>
      </c>
      <c r="R84" s="17">
        <f>Table2[[#This Row],[Asset growth A1 with benefit payments deducted]]/(1+Table2[Compounded discount rate A1])</f>
        <v>0.2526435761761337</v>
      </c>
      <c r="S84" s="9">
        <f>Table2[CPI]+1.7%</f>
        <v>4.4700000000000004E-2</v>
      </c>
      <c r="T84" s="18">
        <f t="shared" si="20"/>
        <v>6.7215198893173058</v>
      </c>
      <c r="U84" s="17">
        <f>Table2[[#This Row],[Annual benefit payments (closed scheme)]]/((1+T83)*(1+Table2[[#This Row],[Discount rate A2]])^0.5)+U83</f>
        <v>67.245311215915578</v>
      </c>
      <c r="V84" s="17">
        <f>V83*(1+Table2[Discount rate A2])</f>
        <v>521.28989228690727</v>
      </c>
      <c r="W84" s="17">
        <f>Table2[[#This Row],[Asset growth A2, under the assumption of full-funding at Year 0]]/(1+Table2[Compounded CPI])</f>
        <v>147.1331744495848</v>
      </c>
      <c r="X84" s="17">
        <f>(X83*((1+Table2[Discount rate A2])^0.5)-Table2[Annual benefit payments (closed scheme)])*(1+Table2[Discount rate A2])^0.5</f>
        <v>2.0538842698833215</v>
      </c>
      <c r="Y84" s="17">
        <f>Table2[[#This Row],[Asset growth A2 with benefit payments deducted]]/(1+Table2[[#This Row],[Compounded CPI]])</f>
        <v>0.57970529843628582</v>
      </c>
      <c r="Z84" s="19">
        <f>Table2[[#This Row],[Asset growth A2 with benefit payments deducted]]/(1+Table2[Compounded discount rate A2])</f>
        <v>0.26599481699514405</v>
      </c>
      <c r="AA84" s="82">
        <f>Table2[CPI]+2.8%</f>
        <v>5.57E-2</v>
      </c>
      <c r="AB84" s="18">
        <f t="shared" si="10"/>
        <v>11.993492625753511</v>
      </c>
      <c r="AC84" s="17">
        <f>Table2[[#This Row],[Annual benefit payments (closed scheme)]]/((1+AB83)*(1+Table2[[#This Row],[Discount rate B]])^0.5)+AC83</f>
        <v>60.275274533322758</v>
      </c>
      <c r="AD84" s="45">
        <f>AD83*(1+Table2[Discount rate B])</f>
        <v>779.60955754521081</v>
      </c>
      <c r="AE84" s="16">
        <f>Table2[[#This Row],[Asset growth B]]/(1+Table2[Compounded CPI])</f>
        <v>220.04345514862018</v>
      </c>
      <c r="AF84" s="17">
        <f>(AF83*((1+Table2[Discount rate B])^0.5)-Table2[Annual benefit payments (closed scheme)])*(1+Table2[Discount rate B])^0.5</f>
        <v>-3.576777618786863</v>
      </c>
      <c r="AG84" s="17">
        <f>Table2[[#This Row],[Asset growth B with benefit payments deducted]]/(1+Table2[Compounded CPI])</f>
        <v>-1.0095393237793566</v>
      </c>
      <c r="AH84" s="19">
        <f>Table2[[#This Row],[Asset growth B with benefit payments deducted]]/(1+Table2[Compounded discount rate B])</f>
        <v>-0.27527453332274782</v>
      </c>
      <c r="AI84" s="11">
        <f>Table2[CPI]+2.56%</f>
        <v>5.33E-2</v>
      </c>
      <c r="AJ84" s="18">
        <f t="shared" si="11"/>
        <v>13.410191719742137</v>
      </c>
      <c r="AK84" s="17">
        <f>Table2[[#This Row],[Annual benefit payments (closed scheme)]]/((1+AJ83)*(1+Table2[[#This Row],[Discount rate C]])^0.5)+AK83</f>
        <v>52.215491258310664</v>
      </c>
      <c r="AL84" s="17">
        <f>AL83*(1+Table2[Discount rate C])</f>
        <v>864.61150318452826</v>
      </c>
      <c r="AM84" s="17">
        <f>Table2[[#This Row],[Asset growth C]]/(1+Table2[Compounded CPI])</f>
        <v>244.03510793405428</v>
      </c>
      <c r="AN84" s="17">
        <f>(AN83*((1+Table2[Discount rate C])^0.5)-Table2[Annual benefit payments (closed scheme)])*(1+Table2[Discount rate C])^0.5</f>
        <v>112.17626341175138</v>
      </c>
      <c r="AO84" s="17">
        <f>Table2[[#This Row],[Asset growth C with benefit payments deducted]]/(1+Table2[Compounded CPI])</f>
        <v>31.661557183195608</v>
      </c>
      <c r="AP84" s="19">
        <f>Table2[[#This Row],[Asset growth C with benefit payments deducted]]/(1+Table2[Compounded discount rate C])</f>
        <v>7.7845087416892964</v>
      </c>
      <c r="AQ84" s="11">
        <f>Table2[CPI]+2.56%</f>
        <v>5.33E-2</v>
      </c>
      <c r="AR84" s="18">
        <f t="shared" si="12"/>
        <v>12.48890672204454</v>
      </c>
      <c r="AS84" s="17">
        <f>Table2[[#This Row],[Annual benefit payments (closed scheme)]]/((1+AR83)*(1+Table2[[#This Row],[Discount rate D]])^0.5)+AS83</f>
        <v>54.705562353836868</v>
      </c>
      <c r="AT84" s="16">
        <f>AT83*(1+Table2[Discount rate D])</f>
        <v>809.33440332267207</v>
      </c>
      <c r="AU84" s="17">
        <f>Table2[[#This Row],[Asset growth D]]/(1+Table2[Compounded CPI])</f>
        <v>228.43324168385408</v>
      </c>
      <c r="AV84" s="17">
        <f>(AV83*((1+Table2[Discount rate D])^0.5)-Table2[Annual benefit payments (closed scheme)])*(1+Table2[Discount rate D])^0.5</f>
        <v>71.416175554775592</v>
      </c>
      <c r="AW84" s="17">
        <f>Table2[[#This Row],[Asset growth D with benefit payments deducted]]/(1+Table2[Compounded CPI])</f>
        <v>20.157092573434657</v>
      </c>
      <c r="AX84" s="19">
        <f>Table2[[#This Row],[Asset growth D with benefit payments deducted]]/(1+Table2[Compounded discount rate D])</f>
        <v>5.2944376461631357</v>
      </c>
      <c r="AY84" s="11">
        <f>Table2[CPI]+4%</f>
        <v>6.7699999999999996E-2</v>
      </c>
      <c r="AZ84" s="18">
        <f t="shared" si="13"/>
        <v>25.644776091129806</v>
      </c>
      <c r="BA84" s="17">
        <f>Table2[[#This Row],[Annual benefit payments (closed scheme)]]/((1+AZ83)*(1+Table2[[#This Row],[Discount rate E]])^0.5)+BA83</f>
        <v>48.226783612218718</v>
      </c>
      <c r="BB84" s="17">
        <f>BB83*(1+Table2[Discount rate E])</f>
        <v>1598.6865654677902</v>
      </c>
      <c r="BC84" s="16">
        <f>Table2[[#This Row],[Asset growth E]]/(1+Table2[Compounded CPI])</f>
        <v>451.22653020427219</v>
      </c>
      <c r="BD84" s="17">
        <f>(BD83*((1+Table2[Discount rate E])^0.5)-Table2[Annual benefit payments (closed scheme)])*(1+Table2[Discount rate E])^0.5</f>
        <v>313.69471452485254</v>
      </c>
      <c r="BE84" s="17">
        <f>Table2[[#This Row],[Asset growth E with benefit payments deducted]]/(1+Table2[Compounded CPI])</f>
        <v>88.539793000043673</v>
      </c>
      <c r="BF84" s="19">
        <f>Table2[[#This Row],[Asset growth E with benefit payments deducted]]/(1+Table2[Compounded discount rate E])</f>
        <v>11.773216387781289</v>
      </c>
      <c r="BG84" s="11">
        <f>Table2[[#This Row],[Long-dated forward gilt yields]]+0.75%</f>
        <v>2.5600000000000001E-2</v>
      </c>
      <c r="BH84" s="11">
        <f t="shared" si="14"/>
        <v>2.9715848184080969</v>
      </c>
      <c r="BI84" s="17">
        <f>((Table2[[#This Row],[Annual benefit payments (closed scheme)]])*1.005^(Table2[[#This Row],[Year]]-2018))/((1+BH83)*(1+Table2[[#This Row],[Discount rate F]])^0.5)+BI83</f>
        <v>81.575719538656173</v>
      </c>
      <c r="BJ84" s="17">
        <f>BJ83*(1+Table2[Discount rate F])</f>
        <v>327.0341740712235</v>
      </c>
      <c r="BK84" s="17">
        <f>Table2[[#This Row],[Asset growth F, under the assumption of full-funding at Year 0]]/(1+Table2[[#This Row],[Compounded CPI]])</f>
        <v>92.304832486785074</v>
      </c>
      <c r="BL84" s="17">
        <f>(BL83*((1+Table2[Discount rate F])^0.5)-Table2[Annual benefit payments (closed scheme)]*1.005^(Table2[Year]-2018))*(1+Table2[Discount rate F])^0.5</f>
        <v>3.0492848007798141</v>
      </c>
      <c r="BM84" s="17">
        <f>Table2[[#This Row],[Asset growth F with benefit payments deducted]]/(1+Table2[Compounded CPI])</f>
        <v>0.86065538422654775</v>
      </c>
      <c r="BN84" s="19">
        <f>Table2[[#This Row],[Asset growth F with benefit payments deducted]]/(1+Table2[Compounded discount rate F])</f>
        <v>0.76777531897255014</v>
      </c>
      <c r="BO84" s="18">
        <f>(1+BO83)*(1+Table2[Discount rate A2])-1</f>
        <v>3.3426234062806994</v>
      </c>
      <c r="BP84" s="17">
        <f>Table2[[#This Row],[Annual benefit payments (ongoing scheme)]]/((1+BO83)*(1+Table2[[#This Row],[Discount rate A2]])^0.5)+BP83</f>
        <v>103.68525614724732</v>
      </c>
      <c r="BQ84" s="17">
        <f>(BQ83*((1+Table2[Discount rate A2])^0.5)-Table2[Annual benefit payments (ongoing scheme)])*(1+Table2[Discount rate A2])^0.5</f>
        <v>38.318948666391151</v>
      </c>
      <c r="BR84" s="18">
        <f>(1+BR83)*(1+Table2[Discount rate B])-1</f>
        <v>5.6219687221060051</v>
      </c>
      <c r="BS84" s="17">
        <f>Table2[[#This Row],[Annual benefit payments (ongoing scheme)]]/((1+BR83)*(1+Table2[[#This Row],[Discount rate B]])^0.5)+BS83</f>
        <v>88.163512610770994</v>
      </c>
      <c r="BT84" s="18">
        <f>(1+BT83)*(1+Table2[Discount rate E])-1</f>
        <v>9.4399836071625867</v>
      </c>
      <c r="BU84" s="17">
        <f>Table2[[#This Row],[Annual benefit payments (ongoing scheme)]]/((1+BT83)*(1+Table2[[#This Row],[Discount rate E]])^0.5)+BU83</f>
        <v>75.00814667530355</v>
      </c>
      <c r="BV84" s="18">
        <f>Table2[CPI]+0.75%+0.75%</f>
        <v>4.2699999999999995E-2</v>
      </c>
      <c r="BW84" s="18">
        <f>(1+BW83)*(1+Table2[Self-sufficiency discount rate, from 2037])-1</f>
        <v>3.0200186290323527</v>
      </c>
      <c r="BX84" s="17">
        <f>(Table2[[#This Row],[Annual benefit payments (ongoing scheme)]]*1.005^(Table2[[#This Row],[Year]]-2038))/((1+BW83)*(1+Table2[[#This Row],[Self-sufficiency discount rate, from 2037]])^0.5)+BX83</f>
        <v>115.79652771242009</v>
      </c>
      <c r="BY84" s="17">
        <f>(BY83*((1+Table2[Self-sufficiency discount rate, from 2037])^0.5)-Table2[Annual benefit payments (ongoing scheme)]*1.005^(Table2[Year]-2038))*(1+Table2[Self-sufficiency discount rate, from 2037])^0.5</f>
        <v>49.261283118433916</v>
      </c>
      <c r="BZ84" s="17">
        <f>(BZ83*((1+Table2[Discount rate B])^0.5)-Table2[Annual benefit payments (ongoing scheme)])*(1+Table2[Discount rate B])^0.5</f>
        <v>35.423756057044734</v>
      </c>
      <c r="CA84" s="17">
        <f>(CA83*((1+Table2[Discount rate A2])^0.5)+Table2[Net cashflow (ongoing scheme)])*(1+Table2[Discount rate A2])^0.5</f>
        <v>36.881691183794416</v>
      </c>
      <c r="CB84" s="17">
        <f>Table2[[#This Row],[Asset growth, ongoing scheme, with November de-risking, net of contributions and payments]]/(1+Table2[Compounded discount rate A2])</f>
        <v>4.7764807592893854</v>
      </c>
      <c r="CC84" s="17">
        <f>Table2[[#This Row],[Asset growth, ongoing scheme, with November de-risking, net of contributions and payments]]/(1+Table2[Compounded CPI])</f>
        <v>10.409793827259348</v>
      </c>
      <c r="CD84" s="17">
        <f>(CD83*((1+Table2[Discount rate A1])^0.5)+Table2[Net cashflow (ongoing scheme)])*(1+Table2[Discount rate A1])^0.5</f>
        <v>61.819740405980831</v>
      </c>
      <c r="CE84" s="17">
        <f>Table2[[#This Row],[Asset growth, ongoing scheme, with September de-risking, net of contributions and payments]]/(1+Table2[Compounded discount rate A1])</f>
        <v>7.6043039636968706</v>
      </c>
      <c r="CF84" s="17">
        <f>Table2[[#This Row],[Asset growth, ongoing scheme, with September de-risking, net of contributions and payments]]/(1+Table2[Compounded CPI])</f>
        <v>17.448515277513032</v>
      </c>
      <c r="CG84" s="17">
        <f>(CG83*((1+Table2[Discount rate B])^0.5)+Table2[Net cashflow (ongoing scheme)])*(1+Table2[Discount rate B])^0.5</f>
        <v>234.29963454761193</v>
      </c>
      <c r="CH84" s="17">
        <f>Table2[[#This Row],[Asset growth, ongoing scheme, no de-risking, net of contributions and payments]]/(1+Table2[Compounded discount rate B])</f>
        <v>18.032075077583272</v>
      </c>
      <c r="CI84" s="17">
        <f>Table2[[#This Row],[Asset growth, ongoing scheme, no de-risking, net of contributions and payments]]/(1+Table2[Compounded CPI])</f>
        <v>66.130668392845763</v>
      </c>
      <c r="CJ84" s="17">
        <f>(CJ83*((1+Table2[Discount rate E])^0.5)+Table2[Net cashflow (ongoing scheme)])*(1+Table2[Discount rate E])^0.5</f>
        <v>883.60445002481549</v>
      </c>
      <c r="CK84" s="17">
        <f>Table2[[#This Row],[Asset growth, ongoing scheme, best-estimates, no de-risking, net of contributions and payments ]]/(1+Table2[Compounded discount rate E])</f>
        <v>33.162389768363347</v>
      </c>
      <c r="CL84" s="17">
        <f>Table2[[#This Row],[Asset growth, ongoing scheme, best-estimates, no de-risking, net of contributions and payments ]]/(1+Table2[Compounded CPI])</f>
        <v>249.39583447433725</v>
      </c>
      <c r="CM84" s="9">
        <f t="shared" si="24"/>
        <v>2.7699999999999999E-2</v>
      </c>
      <c r="CN84" s="11">
        <f>(1+Table2[[#This Row],[CPI]])*(1+CN83)-1</f>
        <v>2.5429799855608177</v>
      </c>
      <c r="CO84" s="11">
        <f t="shared" si="23"/>
        <v>1.8100000000000002E-2</v>
      </c>
      <c r="CP84" s="11">
        <f>Table2[[#This Row],[CPI]]+2%</f>
        <v>4.7699999999999999E-2</v>
      </c>
      <c r="CQ84" s="26">
        <f>(1+Table2[[#This Row],[Salary growth]])*(1+CQ83)-1</f>
        <v>10.018198173348859</v>
      </c>
      <c r="CR84" s="15">
        <f t="shared" si="17"/>
        <v>35.429799855608174</v>
      </c>
      <c r="CS84" s="17">
        <f t="shared" si="18"/>
        <v>46.058739812290625</v>
      </c>
      <c r="CT84" s="17">
        <f>CT83*(1+Table2[[#This Row],[Salary growth]])</f>
        <v>110.18198173348863</v>
      </c>
      <c r="CU84" s="19">
        <f t="shared" si="22"/>
        <v>143.23657625353519</v>
      </c>
      <c r="CV84" s="112">
        <f>('Cash flows as at 31032017'!B69)/1000000000</f>
        <v>0.46729225400000002</v>
      </c>
      <c r="CW84" s="113">
        <v>0</v>
      </c>
      <c r="CX84" s="113">
        <f>Table2[[#This Row],[Annual contributions (closed scheme)]]-Table2[[#This Row],[Annual benefit payments (closed scheme)]]</f>
        <v>-0.46729225400000002</v>
      </c>
      <c r="CY84" s="113">
        <v>4.03</v>
      </c>
      <c r="CZ84" s="113">
        <v>0</v>
      </c>
      <c r="DA84" s="113">
        <v>-4.03</v>
      </c>
      <c r="DB84" s="17"/>
      <c r="DC84" s="84"/>
      <c r="DD84" s="84"/>
      <c r="DE84" s="84"/>
      <c r="DF84" s="84"/>
      <c r="DG84" s="84"/>
      <c r="DH84" s="84"/>
      <c r="DI84" s="84"/>
      <c r="DJ84" s="84"/>
      <c r="DK84" s="84"/>
      <c r="DL84" s="84"/>
      <c r="DM84" s="84"/>
      <c r="DN84" s="84"/>
      <c r="DO84" s="84"/>
      <c r="DP84" s="84"/>
      <c r="DQ84" s="84"/>
      <c r="DR84" s="84"/>
      <c r="DS84" s="84"/>
      <c r="DT84" s="84"/>
      <c r="DU84" s="84"/>
      <c r="DV84" s="84"/>
      <c r="DW84" s="84"/>
      <c r="DX84" s="84"/>
      <c r="DY84" s="84"/>
      <c r="DZ84" s="84"/>
      <c r="EA84" s="84"/>
      <c r="EB84" s="84"/>
      <c r="EC84" s="84"/>
      <c r="ED84" s="84"/>
      <c r="EE84" s="84"/>
      <c r="EF84" s="84"/>
      <c r="EG84" s="84"/>
      <c r="EH84" s="84"/>
      <c r="EI84" s="84"/>
      <c r="EJ84" s="84"/>
      <c r="EK84" s="84"/>
      <c r="EL84" s="84"/>
      <c r="EM84" s="84"/>
      <c r="EN84" s="84"/>
      <c r="EO84" s="84"/>
      <c r="EP84" s="84"/>
      <c r="EQ84" s="84"/>
      <c r="ER84" s="84"/>
      <c r="ES84" s="84"/>
      <c r="ET84" s="84"/>
      <c r="EU84" s="84"/>
      <c r="EV84" s="84"/>
      <c r="EW84" s="84"/>
      <c r="EX84" s="84"/>
      <c r="EY84" s="84"/>
      <c r="EZ84" s="84"/>
      <c r="FA84" s="84"/>
      <c r="FB84" s="84"/>
      <c r="FC84" s="84"/>
      <c r="FD84" s="84"/>
      <c r="FE84" s="84"/>
      <c r="FF84" s="84"/>
      <c r="FG84" s="84"/>
      <c r="FH84" s="84"/>
      <c r="FI84" s="84"/>
      <c r="FJ84" s="84"/>
      <c r="FK84" s="84"/>
    </row>
    <row r="85" spans="1:179" x14ac:dyDescent="0.2">
      <c r="A85" s="8">
        <v>2078</v>
      </c>
      <c r="B85" s="67"/>
      <c r="C85" s="67"/>
      <c r="D85" s="67"/>
      <c r="E85" s="35">
        <v>6.0999999999999999E-2</v>
      </c>
      <c r="F85" s="16">
        <f>F84*(1+Table2[[#This Row],[2008 discount rate]])</f>
        <v>2126.7600018528606</v>
      </c>
      <c r="G85" s="18">
        <v>6.0999999999999999E-2</v>
      </c>
      <c r="H85" s="16">
        <f>H84*(1+Table2[[#This Row],[2011 discount rate]])</f>
        <v>1747.6890078324504</v>
      </c>
      <c r="I85" s="18">
        <v>5.1999999999999998E-2</v>
      </c>
      <c r="J85" s="16">
        <f>J84*(1+Table2[[#This Row],[2014 discount rate]])</f>
        <v>1069.3567020148694</v>
      </c>
      <c r="K85" s="9">
        <f>Table2[CPI]+1.7%</f>
        <v>4.4700000000000004E-2</v>
      </c>
      <c r="L85" s="66">
        <f t="shared" si="21"/>
        <v>7.4929643936446197</v>
      </c>
      <c r="M85" s="17">
        <f>Table2[[#This Row],[Annual benefit payments (closed scheme)]]/((1+L84)*(1+Table2[[#This Row],[Discount rate A1]])^0.5)+M84</f>
        <v>64.719400106747401</v>
      </c>
      <c r="N85" s="17">
        <f>N84*(1+Table2[Discount rate A1])</f>
        <v>551.38506445035591</v>
      </c>
      <c r="O85" s="17">
        <f>Table2[[#This Row],[Asset growth A1, under the assumption of full-funding at Year 0]]/(1+Table2[[#This Row],[Compounded CPI]])</f>
        <v>151.43279650634491</v>
      </c>
      <c r="P85" s="17">
        <f>(P84*((1+Table2[Discount rate A1])^0.5)-Table2[Annual benefit payments (closed scheme)])*(1+Table2[Discount rate A1])^0.5</f>
        <v>1.7255037657098227</v>
      </c>
      <c r="Q85" s="17">
        <f>Table2[[#This Row],[Asset growth A1 with benefit payments deducted]]/(1+Table2[Compounded CPI])</f>
        <v>0.47389361350246267</v>
      </c>
      <c r="R85" s="17">
        <f>Table2[[#This Row],[Asset growth A1 with benefit payments deducted]]/(1+Table2[Compounded discount rate A1])</f>
        <v>0.20316860941993781</v>
      </c>
      <c r="S85" s="9">
        <f>Table2[CPI]+1.7%</f>
        <v>4.4700000000000004E-2</v>
      </c>
      <c r="T85" s="18">
        <f t="shared" si="20"/>
        <v>7.0666718283697882</v>
      </c>
      <c r="U85" s="17">
        <f>Table2[[#This Row],[Annual benefit payments (closed scheme)]]/((1+T84)*(1+Table2[[#This Row],[Discount rate A2]])^0.5)+U84</f>
        <v>67.297400744283323</v>
      </c>
      <c r="V85" s="17">
        <f>V84*(1+Table2[Discount rate A2])</f>
        <v>544.59155047213198</v>
      </c>
      <c r="W85" s="17">
        <f>Table2[[#This Row],[Asset growth A2, under the assumption of full-funding at Year 0]]/(1+Table2[Compounded CPI])</f>
        <v>149.56702086939887</v>
      </c>
      <c r="X85" s="17">
        <f>(X84*((1+Table2[Discount rate A2])^0.5)-Table2[Annual benefit payments (closed scheme)])*(1+Table2[Discount rate A2])^0.5</f>
        <v>1.7255037657099828</v>
      </c>
      <c r="Y85" s="17">
        <f>Table2[[#This Row],[Asset growth A2 with benefit payments deducted]]/(1+Table2[[#This Row],[Compounded CPI]])</f>
        <v>0.47389361350250664</v>
      </c>
      <c r="Z85" s="19">
        <f>Table2[[#This Row],[Asset growth A2 with benefit payments deducted]]/(1+Table2[Compounded discount rate A2])</f>
        <v>0.21390528862740332</v>
      </c>
      <c r="AA85" s="82">
        <f>Table2[CPI]+2.8%</f>
        <v>5.57E-2</v>
      </c>
      <c r="AB85" s="18">
        <f t="shared" si="10"/>
        <v>12.717230165007983</v>
      </c>
      <c r="AC85" s="17">
        <f>Table2[[#This Row],[Annual benefit payments (closed scheme)]]/((1+AB84)*(1+Table2[[#This Row],[Discount rate B]])^0.5)+AC84</f>
        <v>60.306067593589802</v>
      </c>
      <c r="AD85" s="45">
        <f>AD84*(1+Table2[Discount rate B])</f>
        <v>823.03380990047913</v>
      </c>
      <c r="AE85" s="16">
        <f>Table2[[#This Row],[Asset growth B]]/(1+Table2[Compounded CPI])</f>
        <v>226.03860620842497</v>
      </c>
      <c r="AF85" s="17">
        <f>(AF84*((1+Table2[Discount rate B])^0.5)-Table2[Annual benefit payments (closed scheme)])*(1+Table2[Discount rate B])^0.5</f>
        <v>-4.1983996273212663</v>
      </c>
      <c r="AG85" s="17">
        <f>Table2[[#This Row],[Asset growth B with benefit payments deducted]]/(1+Table2[Compounded CPI])</f>
        <v>-1.1530515376767116</v>
      </c>
      <c r="AH85" s="19">
        <f>Table2[[#This Row],[Asset growth B with benefit payments deducted]]/(1+Table2[Compounded discount rate B])</f>
        <v>-0.30606759358978963</v>
      </c>
      <c r="AI85" s="11">
        <f>Table2[CPI]+2.56%</f>
        <v>5.33E-2</v>
      </c>
      <c r="AJ85" s="18">
        <f t="shared" si="11"/>
        <v>14.178254938404391</v>
      </c>
      <c r="AK85" s="17">
        <f>Table2[[#This Row],[Annual benefit payments (closed scheme)]]/((1+AJ84)*(1+Table2[[#This Row],[Discount rate C]])^0.5)+AK84</f>
        <v>52.24328859683267</v>
      </c>
      <c r="AL85" s="17">
        <f>AL84*(1+Table2[Discount rate C])</f>
        <v>910.69529630426348</v>
      </c>
      <c r="AM85" s="17">
        <f>Table2[[#This Row],[Asset growth C]]/(1+Table2[Compounded CPI])</f>
        <v>250.1140208104888</v>
      </c>
      <c r="AN85" s="17">
        <f>(AN84*((1+Table2[Discount rate C])^0.5)-Table2[Annual benefit payments (closed scheme)])*(1+Table2[Discount rate C])^0.5</f>
        <v>117.73334316090153</v>
      </c>
      <c r="AO85" s="17">
        <f>Table2[[#This Row],[Asset growth C with benefit payments deducted]]/(1+Table2[Compounded CPI])</f>
        <v>32.33437128854564</v>
      </c>
      <c r="AP85" s="19">
        <f>Table2[[#This Row],[Asset growth C with benefit payments deducted]]/(1+Table2[Compounded discount rate C])</f>
        <v>7.7567114031672864</v>
      </c>
      <c r="AQ85" s="11">
        <f>Table2[CPI]+2.56%</f>
        <v>5.33E-2</v>
      </c>
      <c r="AR85" s="18">
        <f t="shared" si="12"/>
        <v>13.207865450329512</v>
      </c>
      <c r="AS85" s="17">
        <f>Table2[[#This Row],[Annual benefit payments (closed scheme)]]/((1+AR84)*(1+Table2[[#This Row],[Discount rate D]])^0.5)+AS84</f>
        <v>54.735258235471669</v>
      </c>
      <c r="AT85" s="16">
        <f>AT84*(1+Table2[Discount rate D])</f>
        <v>852.47192701977042</v>
      </c>
      <c r="AU85" s="17">
        <f>Table2[[#This Row],[Asset growth D]]/(1+Table2[Compounded CPI])</f>
        <v>234.12351217826551</v>
      </c>
      <c r="AV85" s="17">
        <f>(AV84*((1+Table2[Discount rate D])^0.5)-Table2[Annual benefit payments (closed scheme)])*(1+Table2[Discount rate D])^0.5</f>
        <v>74.800742621148956</v>
      </c>
      <c r="AW85" s="17">
        <f>Table2[[#This Row],[Asset growth D with benefit payments deducted]]/(1+Table2[Compounded CPI])</f>
        <v>20.543330543716216</v>
      </c>
      <c r="AX85" s="19">
        <f>Table2[[#This Row],[Asset growth D with benefit payments deducted]]/(1+Table2[Compounded discount rate D])</f>
        <v>5.2647417645283348</v>
      </c>
      <c r="AY85" s="11">
        <f>Table2[CPI]+4%</f>
        <v>6.7699999999999996E-2</v>
      </c>
      <c r="AZ85" s="18">
        <f t="shared" si="13"/>
        <v>27.448627432499297</v>
      </c>
      <c r="BA85" s="17">
        <f>Table2[[#This Row],[Annual benefit payments (closed scheme)]]/((1+AZ84)*(1+Table2[[#This Row],[Discount rate E]])^0.5)+BA84</f>
        <v>48.241715417596652</v>
      </c>
      <c r="BB85" s="17">
        <f>BB84*(1+Table2[Discount rate E])</f>
        <v>1706.9176459499597</v>
      </c>
      <c r="BC85" s="16">
        <f>Table2[[#This Row],[Asset growth E]]/(1+Table2[Compounded CPI])</f>
        <v>468.78910800729926</v>
      </c>
      <c r="BD85" s="17">
        <f>(BD84*((1+Table2[Discount rate E])^0.5)-Table2[Annual benefit payments (closed scheme)])*(1+Table2[Discount rate E])^0.5</f>
        <v>334.50705733009369</v>
      </c>
      <c r="BE85" s="17">
        <f>Table2[[#This Row],[Asset growth E with benefit payments deducted]]/(1+Table2[Compounded CPI])</f>
        <v>91.869262351347373</v>
      </c>
      <c r="BF85" s="19">
        <f>Table2[[#This Row],[Asset growth E with benefit payments deducted]]/(1+Table2[Compounded discount rate E])</f>
        <v>11.758284582403357</v>
      </c>
      <c r="BG85" s="11">
        <f>Table2[[#This Row],[Long-dated forward gilt yields]]+0.75%</f>
        <v>2.5600000000000001E-2</v>
      </c>
      <c r="BH85" s="11">
        <f t="shared" si="14"/>
        <v>3.0732573897593447</v>
      </c>
      <c r="BI85" s="17">
        <f>((Table2[[#This Row],[Annual benefit payments (closed scheme)]])*1.005^(Table2[[#This Row],[Year]]-2018))/((1+BH84)*(1+Table2[[#This Row],[Discount rate F]])^0.5)+BI84</f>
        <v>81.713586395495142</v>
      </c>
      <c r="BJ85" s="17">
        <f>BJ84*(1+Table2[Discount rate F])</f>
        <v>335.40624892744682</v>
      </c>
      <c r="BK85" s="17">
        <f>Table2[[#This Row],[Asset growth F, under the assumption of full-funding at Year 0]]/(1+Table2[[#This Row],[Compounded CPI]])</f>
        <v>92.116216987882424</v>
      </c>
      <c r="BL85" s="17">
        <f>(BL84*((1+Table2[Discount rate F])^0.5)-Table2[Annual benefit payments (closed scheme)]*1.005^(Table2[Year]-2018))*(1+Table2[Discount rate F])^0.5</f>
        <v>2.565779298257544</v>
      </c>
      <c r="BM85" s="17">
        <f>Table2[[#This Row],[Asset growth F with benefit payments deducted]]/(1+Table2[Compounded CPI])</f>
        <v>0.70466749900188796</v>
      </c>
      <c r="BN85" s="19">
        <f>Table2[[#This Row],[Asset growth F with benefit payments deducted]]/(1+Table2[Compounded discount rate F])</f>
        <v>0.62990846213357876</v>
      </c>
      <c r="BO85" s="18">
        <f>(1+BO84)*(1+Table2[Discount rate A2])-1</f>
        <v>3.5367386725414462</v>
      </c>
      <c r="BP85" s="17">
        <f>Table2[[#This Row],[Annual benefit payments (ongoing scheme)]]/((1+BO84)*(1+Table2[[#This Row],[Discount rate A2]])^0.5)+BP84</f>
        <v>104.57066647651531</v>
      </c>
      <c r="BQ85" s="17">
        <f>(BQ84*((1+Table2[Discount rate A2])^0.5)-Table2[Annual benefit payments (ongoing scheme)])*(1+Table2[Discount rate A2])^0.5</f>
        <v>36.014930389921055</v>
      </c>
      <c r="BR85" s="18">
        <f>(1+BR84)*(1+Table2[Discount rate B])-1</f>
        <v>5.9908123799273101</v>
      </c>
      <c r="BS85" s="17">
        <f>Table2[[#This Row],[Annual benefit payments (ongoing scheme)]]/((1+BR84)*(1+Table2[[#This Row],[Discount rate B]])^0.5)+BS84</f>
        <v>88.741123223976487</v>
      </c>
      <c r="BT85" s="18">
        <f>(1+BT84)*(1+Table2[Discount rate E])-1</f>
        <v>10.146770497367495</v>
      </c>
      <c r="BU85" s="17">
        <f>Table2[[#This Row],[Annual benefit payments (ongoing scheme)]]/((1+BT84)*(1+Table2[[#This Row],[Discount rate E]])^0.5)+BU84</f>
        <v>75.37245417540322</v>
      </c>
      <c r="BV85" s="18">
        <f>Table2[CPI]+0.75%+0.75%</f>
        <v>4.2699999999999995E-2</v>
      </c>
      <c r="BW85" s="18">
        <f>(1+BW84)*(1+Table2[Self-sufficiency discount rate, from 2037])-1</f>
        <v>3.1916734244920342</v>
      </c>
      <c r="BX85" s="17">
        <f>(Table2[[#This Row],[Annual benefit payments (ongoing scheme)]]*1.005^(Table2[[#This Row],[Year]]-2038))/((1+BW84)*(1+Table2[[#This Row],[Self-sufficiency discount rate, from 2037]])^0.5)+BX84</f>
        <v>116.96529290228034</v>
      </c>
      <c r="BY85" s="17">
        <f>(BY84*((1+Table2[Self-sufficiency discount rate, from 2037])^0.5)-Table2[Annual benefit payments (ongoing scheme)]*1.005^(Table2[Year]-2038))*(1+Table2[Self-sufficiency discount rate, from 2037])^0.5</f>
        <v>46.465657921782416</v>
      </c>
      <c r="BZ85" s="17">
        <f>(BZ84*((1+Table2[Discount rate B])^0.5)-Table2[Annual benefit payments (ongoing scheme)])*(1+Table2[Discount rate B])^0.5</f>
        <v>33.358891843847715</v>
      </c>
      <c r="CA85" s="17">
        <f>(CA84*((1+Table2[Discount rate A2])^0.5)+Table2[Net cashflow (ongoing scheme)])*(1+Table2[Discount rate A2])^0.5</f>
        <v>34.513427497852248</v>
      </c>
      <c r="CB85" s="17">
        <f>Table2[[#This Row],[Asset growth, ongoing scheme, with November de-risking, net of contributions and payments]]/(1+Table2[Compounded discount rate A2])</f>
        <v>4.2785213322390909</v>
      </c>
      <c r="CC85" s="17">
        <f>Table2[[#This Row],[Asset growth, ongoing scheme, with November de-risking, net of contributions and payments]]/(1+Table2[Compounded CPI])</f>
        <v>9.4787929162149336</v>
      </c>
      <c r="CD85" s="17">
        <f>(CD84*((1+Table2[Discount rate A1])^0.5)+Table2[Net cashflow (ongoing scheme)])*(1+Table2[Discount rate A1])^0.5</f>
        <v>60.566207520270389</v>
      </c>
      <c r="CE85" s="17">
        <f>Table2[[#This Row],[Asset growth, ongoing scheme, with September de-risking, net of contributions and payments]]/(1+Table2[Compounded discount rate A1])</f>
        <v>7.1313389192580106</v>
      </c>
      <c r="CF85" s="17">
        <f>Table2[[#This Row],[Asset growth, ongoing scheme, with September de-risking, net of contributions and payments]]/(1+Table2[Compounded CPI])</f>
        <v>16.63394743512125</v>
      </c>
      <c r="CG85" s="17">
        <f>(CG84*((1+Table2[Discount rate B])^0.5)+Table2[Net cashflow (ongoing scheme)])*(1+Table2[Discount rate B])^0.5</f>
        <v>243.31215676633948</v>
      </c>
      <c r="CH85" s="17">
        <f>Table2[[#This Row],[Asset growth, ongoing scheme, no de-risking, net of contributions and payments]]/(1+Table2[Compounded discount rate B])</f>
        <v>17.737703154315913</v>
      </c>
      <c r="CI85" s="17">
        <f>Table2[[#This Row],[Asset growth, ongoing scheme, no de-risking, net of contributions and payments]]/(1+Table2[Compounded CPI])</f>
        <v>66.823428305672522</v>
      </c>
      <c r="CJ85" s="17">
        <f>(CJ84*((1+Table2[Discount rate E])^0.5)+Table2[Net cashflow (ongoing scheme)])*(1+Table2[Discount rate E])^0.5</f>
        <v>939.36361919741478</v>
      </c>
      <c r="CK85" s="17">
        <f>Table2[[#This Row],[Asset growth, ongoing scheme, best-estimates, no de-risking, net of contributions and payments ]]/(1+Table2[Compounded discount rate E])</f>
        <v>33.019646428505702</v>
      </c>
      <c r="CL85" s="17">
        <f>Table2[[#This Row],[Asset growth, ongoing scheme, best-estimates, no de-risking, net of contributions and payments ]]/(1+Table2[Compounded CPI])</f>
        <v>257.98750993225957</v>
      </c>
      <c r="CM85" s="9">
        <f t="shared" si="24"/>
        <v>2.7699999999999999E-2</v>
      </c>
      <c r="CN85" s="11">
        <f>(1+Table2[[#This Row],[CPI]])*(1+CN84)-1</f>
        <v>2.6411205311608525</v>
      </c>
      <c r="CO85" s="11">
        <f t="shared" si="23"/>
        <v>1.8100000000000002E-2</v>
      </c>
      <c r="CP85" s="11">
        <f>Table2[[#This Row],[CPI]]+2%</f>
        <v>4.7699999999999999E-2</v>
      </c>
      <c r="CQ85" s="26">
        <f>(1+Table2[[#This Row],[Salary growth]])*(1+CQ84)-1</f>
        <v>10.543766226217601</v>
      </c>
      <c r="CR85" s="15">
        <f t="shared" si="17"/>
        <v>36.411205311608519</v>
      </c>
      <c r="CS85" s="17">
        <f t="shared" si="18"/>
        <v>47.33456690509108</v>
      </c>
      <c r="CT85" s="17">
        <f>CT84*(1+Table2[[#This Row],[Salary growth]])</f>
        <v>115.43766226217605</v>
      </c>
      <c r="CU85" s="19">
        <f t="shared" si="22"/>
        <v>150.06896094082882</v>
      </c>
      <c r="CV85" s="112">
        <f>('Cash flows as at 31032017'!B70)/1000000000</f>
        <v>0.41110145799999998</v>
      </c>
      <c r="CW85" s="113">
        <v>0</v>
      </c>
      <c r="CX85" s="113">
        <f>Table2[[#This Row],[Annual contributions (closed scheme)]]-Table2[[#This Row],[Annual benefit payments (closed scheme)]]</f>
        <v>-0.41110145799999998</v>
      </c>
      <c r="CY85" s="113">
        <v>3.93</v>
      </c>
      <c r="CZ85" s="113">
        <v>0</v>
      </c>
      <c r="DA85" s="113">
        <v>-3.93</v>
      </c>
      <c r="DB85" s="17"/>
      <c r="DC85" s="84"/>
      <c r="DD85" s="84"/>
      <c r="DE85" s="84"/>
      <c r="DF85" s="84"/>
      <c r="DG85" s="84"/>
      <c r="DH85" s="84"/>
      <c r="DI85" s="84"/>
      <c r="DJ85" s="84"/>
      <c r="DK85" s="84"/>
      <c r="DL85" s="84"/>
      <c r="DM85" s="84"/>
      <c r="DN85" s="84"/>
      <c r="DO85" s="84"/>
      <c r="DP85" s="84"/>
      <c r="DQ85" s="84"/>
      <c r="DR85" s="84"/>
      <c r="DS85" s="84"/>
      <c r="DT85" s="84"/>
      <c r="DU85" s="84"/>
      <c r="DV85" s="84"/>
      <c r="DW85" s="84"/>
      <c r="DX85" s="84"/>
      <c r="DY85" s="84"/>
      <c r="DZ85" s="84"/>
      <c r="EA85" s="84"/>
      <c r="EB85" s="84"/>
      <c r="EC85" s="84"/>
      <c r="ED85" s="84"/>
      <c r="EE85" s="84"/>
      <c r="EF85" s="84"/>
      <c r="EG85" s="84"/>
      <c r="EH85" s="84"/>
      <c r="EI85" s="84"/>
      <c r="EJ85" s="84"/>
      <c r="EK85" s="84"/>
      <c r="EL85" s="84"/>
      <c r="EM85" s="84"/>
      <c r="EN85" s="84"/>
      <c r="EO85" s="84"/>
      <c r="EP85" s="84"/>
      <c r="EQ85" s="84"/>
      <c r="ER85" s="84"/>
      <c r="ES85" s="84"/>
      <c r="ET85" s="84"/>
      <c r="EU85" s="84"/>
      <c r="EV85" s="84"/>
      <c r="EW85" s="84"/>
      <c r="EX85" s="84"/>
      <c r="EY85" s="84"/>
      <c r="EZ85" s="84"/>
      <c r="FA85" s="84"/>
      <c r="FB85" s="84"/>
      <c r="FC85" s="84"/>
      <c r="FD85" s="84"/>
      <c r="FE85" s="84"/>
      <c r="FF85" s="84"/>
      <c r="FG85" s="84"/>
      <c r="FH85" s="84"/>
      <c r="FI85" s="84"/>
      <c r="FJ85" s="84"/>
      <c r="FK85" s="84"/>
      <c r="FL85" s="84"/>
    </row>
    <row r="86" spans="1:179" x14ac:dyDescent="0.2">
      <c r="A86" s="8">
        <v>2079</v>
      </c>
      <c r="B86" s="67"/>
      <c r="C86" s="67"/>
      <c r="D86" s="67"/>
      <c r="E86" s="35">
        <v>6.0999999999999999E-2</v>
      </c>
      <c r="F86" s="16">
        <f>F85*(1+Table2[[#This Row],[2008 discount rate]])</f>
        <v>2256.4923619658848</v>
      </c>
      <c r="G86" s="18">
        <v>6.0999999999999999E-2</v>
      </c>
      <c r="H86" s="16">
        <f>H85*(1+Table2[[#This Row],[2011 discount rate]])</f>
        <v>1854.2980373102298</v>
      </c>
      <c r="I86" s="18">
        <v>5.1999999999999998E-2</v>
      </c>
      <c r="J86" s="16">
        <f>J85*(1+Table2[[#This Row],[2014 discount rate]])</f>
        <v>1124.9632505196425</v>
      </c>
      <c r="K86" s="9">
        <f>Table2[CPI]+1.7%</f>
        <v>4.4700000000000004E-2</v>
      </c>
      <c r="L86" s="66">
        <f t="shared" si="21"/>
        <v>7.8725999020405339</v>
      </c>
      <c r="M86" s="17">
        <f>Table2[[#This Row],[Annual benefit payments (closed scheme)]]/((1+L85)*(1+Table2[[#This Row],[Discount rate A1]])^0.5)+M85</f>
        <v>64.760702099494793</v>
      </c>
      <c r="N86" s="17">
        <f>N85*(1+Table2[Discount rate A1])</f>
        <v>576.03197683128678</v>
      </c>
      <c r="O86" s="17">
        <f>Table2[[#This Row],[Asset growth A1, under the assumption of full-funding at Year 0]]/(1+Table2[[#This Row],[Compounded CPI]])</f>
        <v>153.93776638141335</v>
      </c>
      <c r="P86" s="17">
        <f>(P85*((1+Table2[Discount rate A1])^0.5)-Table2[Annual benefit payments (closed scheme)])*(1+Table2[Discount rate A1])^0.5</f>
        <v>1.4361777272324436</v>
      </c>
      <c r="Q86" s="17">
        <f>Table2[[#This Row],[Asset growth A1 with benefit payments deducted]]/(1+Table2[Compounded CPI])</f>
        <v>0.38380159496188787</v>
      </c>
      <c r="R86" s="17">
        <f>Table2[[#This Row],[Asset growth A1 with benefit payments deducted]]/(1+Table2[Compounded discount rate A1])</f>
        <v>0.16186661667254368</v>
      </c>
      <c r="S86" s="9">
        <f>Table2[CPI]+1.7%</f>
        <v>4.4700000000000004E-2</v>
      </c>
      <c r="T86" s="18">
        <f t="shared" si="20"/>
        <v>7.427252059097917</v>
      </c>
      <c r="U86" s="17">
        <f>Table2[[#This Row],[Annual benefit payments (closed scheme)]]/((1+T85)*(1+Table2[[#This Row],[Discount rate A2]])^0.5)+U85</f>
        <v>67.340885388415799</v>
      </c>
      <c r="V86" s="17">
        <f>V85*(1+Table2[Discount rate A2])</f>
        <v>568.93479277823621</v>
      </c>
      <c r="W86" s="17">
        <f>Table2[[#This Row],[Asset growth A2, under the assumption of full-funding at Year 0]]/(1+Table2[Compounded CPI])</f>
        <v>152.0411274713058</v>
      </c>
      <c r="X86" s="17">
        <f>(X85*((1+Table2[Discount rate A2])^0.5)-Table2[Annual benefit payments (closed scheme)])*(1+Table2[Discount rate A2])^0.5</f>
        <v>1.4361777272326106</v>
      </c>
      <c r="Y86" s="17">
        <f>Table2[[#This Row],[Asset growth A2 with benefit payments deducted]]/(1+Table2[[#This Row],[Compounded CPI]])</f>
        <v>0.3838015949619325</v>
      </c>
      <c r="Z86" s="19">
        <f>Table2[[#This Row],[Asset growth A2 with benefit payments deducted]]/(1+Table2[Compounded discount rate A2])</f>
        <v>0.17042064449492023</v>
      </c>
      <c r="AA86" s="82">
        <f>Table2[CPI]+2.8%</f>
        <v>5.57E-2</v>
      </c>
      <c r="AB86" s="18">
        <f t="shared" si="10"/>
        <v>13.481279885198928</v>
      </c>
      <c r="AC86" s="17">
        <f>Table2[[#This Row],[Annual benefit payments (closed scheme)]]/((1+AB85)*(1+Table2[[#This Row],[Discount rate B]])^0.5)+AC85</f>
        <v>60.331505971809726</v>
      </c>
      <c r="AD86" s="45">
        <f>AD85*(1+Table2[Discount rate B])</f>
        <v>868.87679311193585</v>
      </c>
      <c r="AE86" s="16">
        <f>Table2[[#This Row],[Asset growth B]]/(1+Table2[Compounded CPI])</f>
        <v>232.19709698767562</v>
      </c>
      <c r="AF86" s="17">
        <f>(AF85*((1+Table2[Discount rate B])^0.5)-Table2[Annual benefit payments (closed scheme)])*(1+Table2[Discount rate B])^0.5</f>
        <v>-4.8006307613912806</v>
      </c>
      <c r="AG86" s="17">
        <f>Table2[[#This Row],[Asset growth B with benefit payments deducted]]/(1+Table2[Compounded CPI])</f>
        <v>-1.2829120714715492</v>
      </c>
      <c r="AH86" s="19">
        <f>Table2[[#This Row],[Asset growth B with benefit payments deducted]]/(1+Table2[Compounded discount rate B])</f>
        <v>-0.33150597180971031</v>
      </c>
      <c r="AI86" s="11">
        <f>Table2[CPI]+2.56%</f>
        <v>5.33E-2</v>
      </c>
      <c r="AJ86" s="18">
        <f t="shared" si="11"/>
        <v>14.987255926621344</v>
      </c>
      <c r="AK86" s="17">
        <f>Table2[[#This Row],[Annual benefit payments (closed scheme)]]/((1+AJ85)*(1+Table2[[#This Row],[Discount rate C]])^0.5)+AK85</f>
        <v>52.266304510592683</v>
      </c>
      <c r="AL86" s="17">
        <f>AL85*(1+Table2[Discount rate C])</f>
        <v>959.23535559728066</v>
      </c>
      <c r="AM86" s="17">
        <f>Table2[[#This Row],[Asset growth C]]/(1+Table2[Compounded CPI])</f>
        <v>256.34435936526984</v>
      </c>
      <c r="AN86" s="17">
        <f>(AN85*((1+Table2[Discount rate C])^0.5)-Table2[Annual benefit payments (closed scheme)])*(1+Table2[Discount rate C])^0.5</f>
        <v>123.64056904771114</v>
      </c>
      <c r="AO86" s="17">
        <f>Table2[[#This Row],[Asset growth C with benefit payments deducted]]/(1+Table2[Compounded CPI])</f>
        <v>33.041486929303062</v>
      </c>
      <c r="AP86" s="19">
        <f>Table2[[#This Row],[Asset growth C with benefit payments deducted]]/(1+Table2[Compounded discount rate C])</f>
        <v>7.7336954894072703</v>
      </c>
      <c r="AQ86" s="11">
        <f>Table2[CPI]+2.56%</f>
        <v>5.33E-2</v>
      </c>
      <c r="AR86" s="18">
        <f t="shared" si="12"/>
        <v>13.965144678832074</v>
      </c>
      <c r="AS86" s="17">
        <f>Table2[[#This Row],[Annual benefit payments (closed scheme)]]/((1+AR85)*(1+Table2[[#This Row],[Discount rate D]])^0.5)+AS85</f>
        <v>54.759846123632009</v>
      </c>
      <c r="AT86" s="16">
        <f>AT85*(1+Table2[Discount rate D])</f>
        <v>897.90868072992407</v>
      </c>
      <c r="AU86" s="17">
        <f>Table2[[#This Row],[Asset growth D]]/(1+Table2[Compounded CPI])</f>
        <v>239.95552727193441</v>
      </c>
      <c r="AV86" s="17">
        <f>(AV85*((1+Table2[Discount rate D])^0.5)-Table2[Annual benefit payments (closed scheme)])*(1+Table2[Discount rate D])^0.5</f>
        <v>78.419660899189779</v>
      </c>
      <c r="AW86" s="17">
        <f>Table2[[#This Row],[Asset growth D with benefit payments deducted]]/(1+Table2[Compounded CPI])</f>
        <v>20.956731439832566</v>
      </c>
      <c r="AX86" s="19">
        <f>Table2[[#This Row],[Asset growth D with benefit payments deducted]]/(1+Table2[Compounded discount rate D])</f>
        <v>5.2401538763679962</v>
      </c>
      <c r="AY86" s="11">
        <f>Table2[CPI]+4%</f>
        <v>6.7699999999999996E-2</v>
      </c>
      <c r="AZ86" s="18">
        <f t="shared" si="13"/>
        <v>29.374599509679502</v>
      </c>
      <c r="BA86" s="17">
        <f>Table2[[#This Row],[Annual benefit payments (closed scheme)]]/((1+AZ85)*(1+Table2[[#This Row],[Discount rate E]])^0.5)+BA85</f>
        <v>48.253912056542276</v>
      </c>
      <c r="BB86" s="17">
        <f>BB85*(1+Table2[Discount rate E])</f>
        <v>1822.4759705807721</v>
      </c>
      <c r="BC86" s="16">
        <f>Table2[[#This Row],[Asset growth E]]/(1+Table2[Compounded CPI])</f>
        <v>487.03525408134027</v>
      </c>
      <c r="BD86" s="17">
        <f>(BD85*((1+Table2[Discount rate E])^0.5)-Table2[Annual benefit payments (closed scheme)])*(1+Table2[Discount rate E])^0.5</f>
        <v>356.78271708800344</v>
      </c>
      <c r="BE86" s="17">
        <f>Table2[[#This Row],[Asset growth E with benefit payments deducted]]/(1+Table2[Compounded CPI])</f>
        <v>95.345982100061605</v>
      </c>
      <c r="BF86" s="19">
        <f>Table2[[#This Row],[Asset growth E with benefit payments deducted]]/(1+Table2[Compounded discount rate E])</f>
        <v>11.746087943457729</v>
      </c>
      <c r="BG86" s="11">
        <f>Table2[[#This Row],[Long-dated forward gilt yields]]+0.75%</f>
        <v>2.5600000000000001E-2</v>
      </c>
      <c r="BH86" s="11">
        <f t="shared" si="14"/>
        <v>3.1775327789371843</v>
      </c>
      <c r="BI86" s="17">
        <f>((Table2[[#This Row],[Annual benefit payments (closed scheme)]])*1.005^(Table2[[#This Row],[Year]]-2018))/((1+BH85)*(1+Table2[[#This Row],[Discount rate F]])^0.5)+BI85</f>
        <v>81.831408021987997</v>
      </c>
      <c r="BJ86" s="17">
        <f>BJ85*(1+Table2[Discount rate F])</f>
        <v>343.99264889998949</v>
      </c>
      <c r="BK86" s="17">
        <f>Table2[[#This Row],[Asset growth F, under the assumption of full-funding at Year 0]]/(1+Table2[[#This Row],[Compounded CPI]])</f>
        <v>91.927986905490144</v>
      </c>
      <c r="BL86" s="17">
        <f>(BL85*((1+Table2[Discount rate F])^0.5)-Table2[Annual benefit payments (closed scheme)]*1.005^(Table2[Year]-2018))*(1+Table2[Discount rate F])^0.5</f>
        <v>2.1392595415513367</v>
      </c>
      <c r="BM86" s="17">
        <f>Table2[[#This Row],[Asset growth F with benefit payments deducted]]/(1+Table2[Compounded CPI])</f>
        <v>0.57169193513885619</v>
      </c>
      <c r="BN86" s="19">
        <f>Table2[[#This Row],[Asset growth F with benefit payments deducted]]/(1+Table2[Compounded discount rate F])</f>
        <v>0.51208683564072255</v>
      </c>
      <c r="BO86" s="18">
        <f>(1+BO85)*(1+Table2[Discount rate A2])-1</f>
        <v>3.7395308912040486</v>
      </c>
      <c r="BP86" s="17">
        <f>Table2[[#This Row],[Annual benefit payments (ongoing scheme)]]/((1+BO85)*(1+Table2[[#This Row],[Discount rate A2]])^0.5)+BP85</f>
        <v>105.39447029757251</v>
      </c>
      <c r="BQ86" s="17">
        <f>(BQ85*((1+Table2[Discount rate A2])^0.5)-Table2[Annual benefit payments (ongoing scheme)])*(1+Table2[Discount rate A2])^0.5</f>
        <v>33.720354120157971</v>
      </c>
      <c r="BR86" s="18">
        <f>(1+BR85)*(1+Table2[Discount rate B])-1</f>
        <v>6.3802006294892619</v>
      </c>
      <c r="BS86" s="17">
        <f>Table2[[#This Row],[Annual benefit payments (ongoing scheme)]]/((1+BR85)*(1+Table2[[#This Row],[Discount rate B]])^0.5)+BS85</f>
        <v>89.272944191130193</v>
      </c>
      <c r="BT86" s="18">
        <f>(1+BT85)*(1+Table2[Discount rate E])-1</f>
        <v>10.901406860039275</v>
      </c>
      <c r="BU86" s="17">
        <f>Table2[[#This Row],[Annual benefit payments (ongoing scheme)]]/((1+BT85)*(1+Table2[[#This Row],[Discount rate E]])^0.5)+BU85</f>
        <v>75.704111567986587</v>
      </c>
      <c r="BV86" s="18">
        <f>Table2[CPI]+0.75%+0.75%</f>
        <v>4.2699999999999995E-2</v>
      </c>
      <c r="BW86" s="18">
        <f>(1+BW85)*(1+Table2[Self-sufficiency discount rate, from 2037])-1</f>
        <v>3.3706578797178439</v>
      </c>
      <c r="BX86" s="17">
        <f>(Table2[[#This Row],[Annual benefit payments (ongoing scheme)]]*1.005^(Table2[[#This Row],[Year]]-2038))/((1+BW85)*(1+Table2[[#This Row],[Self-sufficiency discount rate, from 2037]])^0.5)+BX85</f>
        <v>118.06026932759437</v>
      </c>
      <c r="BY86" s="17">
        <f>(BY85*((1+Table2[Self-sufficiency discount rate, from 2037])^0.5)-Table2[Annual benefit payments (ongoing scheme)]*1.005^(Table2[Year]-2038))*(1+Table2[Self-sufficiency discount rate, from 2037])^0.5</f>
        <v>43.663974173638486</v>
      </c>
      <c r="BZ86" s="17">
        <f>(BZ85*((1+Table2[Discount rate B])^0.5)-Table2[Annual benefit payments (ongoing scheme)])*(1+Table2[Discount rate B])^0.5</f>
        <v>31.292036682986609</v>
      </c>
      <c r="CA86" s="17">
        <f>(CA85*((1+Table2[Discount rate A2])^0.5)+Table2[Net cashflow (ongoing scheme)])*(1+Table2[Discount rate A2])^0.5</f>
        <v>32.151734048813694</v>
      </c>
      <c r="CB86" s="17">
        <f>Table2[[#This Row],[Asset growth, ongoing scheme, with November de-risking, net of contributions and payments]]/(1+Table2[Compounded discount rate A2])</f>
        <v>3.8152097294993368</v>
      </c>
      <c r="CC86" s="17">
        <f>Table2[[#This Row],[Asset growth, ongoing scheme, with November de-risking, net of contributions and payments]]/(1+Table2[Compounded CPI])</f>
        <v>8.5921725248479195</v>
      </c>
      <c r="CD86" s="17">
        <f>(CD85*((1+Table2[Discount rate A1])^0.5)+Table2[Net cashflow (ongoing scheme)])*(1+Table2[Discount rate A1])^0.5</f>
        <v>59.369073338233925</v>
      </c>
      <c r="CE86" s="17">
        <f>Table2[[#This Row],[Asset growth, ongoing scheme, with September de-risking, net of contributions and payments]]/(1+Table2[Compounded discount rate A1])</f>
        <v>6.6912825996560645</v>
      </c>
      <c r="CF86" s="17">
        <f>Table2[[#This Row],[Asset growth, ongoing scheme, with September de-risking, net of contributions and payments]]/(1+Table2[Compounded CPI])</f>
        <v>15.865686124051411</v>
      </c>
      <c r="CG86" s="17">
        <f>(CG85*((1+Table2[Discount rate B])^0.5)+Table2[Net cashflow (ongoing scheme)])*(1+Table2[Discount rate B])^0.5</f>
        <v>252.93969846166115</v>
      </c>
      <c r="CH86" s="17">
        <f>Table2[[#This Row],[Asset growth, ongoing scheme, no de-risking, net of contributions and payments]]/(1+Table2[Compounded discount rate B])</f>
        <v>17.466667343415313</v>
      </c>
      <c r="CI86" s="17">
        <f>Table2[[#This Row],[Asset growth, ongoing scheme, no de-risking, net of contributions and payments]]/(1+Table2[Compounded CPI])</f>
        <v>67.59515751984118</v>
      </c>
      <c r="CJ86" s="17">
        <f>(CJ85*((1+Table2[Discount rate E])^0.5)+Table2[Net cashflow (ongoing scheme)])*(1+Table2[Discount rate E])^0.5</f>
        <v>999.0113466498052</v>
      </c>
      <c r="CK86" s="17">
        <f>Table2[[#This Row],[Asset growth, ongoing scheme, best-estimates, no de-risking, net of contributions and payments ]]/(1+Table2[Compounded discount rate E])</f>
        <v>32.889696087398598</v>
      </c>
      <c r="CL86" s="17">
        <f>Table2[[#This Row],[Asset growth, ongoing scheme, best-estimates, no de-risking, net of contributions and payments ]]/(1+Table2[Compounded CPI])</f>
        <v>266.97402484307031</v>
      </c>
      <c r="CM86" s="9">
        <f t="shared" si="24"/>
        <v>2.7699999999999999E-2</v>
      </c>
      <c r="CN86" s="11">
        <f>(1+Table2[[#This Row],[CPI]])*(1+CN85)-1</f>
        <v>2.7419795698740086</v>
      </c>
      <c r="CO86" s="11">
        <f t="shared" si="23"/>
        <v>1.8100000000000002E-2</v>
      </c>
      <c r="CP86" s="11">
        <f>Table2[[#This Row],[CPI]]+2%</f>
        <v>4.7699999999999999E-2</v>
      </c>
      <c r="CQ86" s="26">
        <f>(1+Table2[[#This Row],[Salary growth]])*(1+CQ85)-1</f>
        <v>11.094403875208181</v>
      </c>
      <c r="CR86" s="15">
        <f t="shared" si="17"/>
        <v>37.419795698740074</v>
      </c>
      <c r="CS86" s="17">
        <f t="shared" si="18"/>
        <v>48.645734408362102</v>
      </c>
      <c r="CT86" s="17">
        <f>CT85*(1+Table2[[#This Row],[Salary growth]])</f>
        <v>120.94403875208185</v>
      </c>
      <c r="CU86" s="19">
        <f t="shared" si="22"/>
        <v>157.22725037770635</v>
      </c>
      <c r="CV86" s="112">
        <f>('Cash flows as at 31032017'!B71)/1000000000</f>
        <v>0.35853049999999997</v>
      </c>
      <c r="CW86" s="113">
        <v>0</v>
      </c>
      <c r="CX86" s="113">
        <f>Table2[[#This Row],[Annual contributions (closed scheme)]]-Table2[[#This Row],[Annual benefit payments (closed scheme)]]</f>
        <v>-0.35853049999999997</v>
      </c>
      <c r="CY86" s="113">
        <v>3.82</v>
      </c>
      <c r="CZ86" s="113">
        <v>0</v>
      </c>
      <c r="DA86" s="113">
        <v>-3.82</v>
      </c>
      <c r="DB86" s="17"/>
      <c r="DC86" s="84"/>
      <c r="DD86" s="84"/>
      <c r="DE86" s="84"/>
      <c r="DF86" s="84"/>
      <c r="DG86" s="84"/>
      <c r="DH86" s="84"/>
      <c r="DI86" s="84"/>
      <c r="DJ86" s="84"/>
      <c r="DK86" s="84"/>
      <c r="DL86" s="84"/>
      <c r="DM86" s="84"/>
      <c r="DN86" s="84"/>
      <c r="DO86" s="84"/>
      <c r="DP86" s="84"/>
      <c r="DQ86" s="84"/>
      <c r="DR86" s="84"/>
      <c r="DS86" s="84"/>
      <c r="DT86" s="84"/>
      <c r="DU86" s="84"/>
      <c r="DV86" s="84"/>
      <c r="DW86" s="84"/>
      <c r="DX86" s="84"/>
      <c r="DY86" s="84"/>
      <c r="DZ86" s="84"/>
      <c r="EA86" s="84"/>
      <c r="EB86" s="84"/>
      <c r="EC86" s="84"/>
      <c r="ED86" s="84"/>
      <c r="EE86" s="84"/>
      <c r="EF86" s="84"/>
      <c r="EG86" s="84"/>
      <c r="EH86" s="84"/>
      <c r="EI86" s="84"/>
      <c r="EJ86" s="84"/>
      <c r="EK86" s="84"/>
      <c r="EL86" s="84"/>
      <c r="EM86" s="84"/>
      <c r="EN86" s="84"/>
      <c r="EO86" s="84"/>
      <c r="EP86" s="84"/>
      <c r="EQ86" s="84"/>
      <c r="ER86" s="84"/>
      <c r="ES86" s="84"/>
      <c r="ET86" s="84"/>
      <c r="EU86" s="84"/>
      <c r="EV86" s="84"/>
      <c r="EW86" s="84"/>
      <c r="EX86" s="84"/>
      <c r="EY86" s="84"/>
      <c r="EZ86" s="84"/>
      <c r="FA86" s="84"/>
      <c r="FB86" s="84"/>
      <c r="FC86" s="84"/>
      <c r="FD86" s="84"/>
      <c r="FE86" s="84"/>
      <c r="FF86" s="84"/>
      <c r="FG86" s="84"/>
      <c r="FH86" s="84"/>
      <c r="FI86" s="84"/>
      <c r="FJ86" s="84"/>
      <c r="FK86" s="84"/>
      <c r="FL86" s="84"/>
      <c r="FM86" s="84"/>
    </row>
    <row r="87" spans="1:179" x14ac:dyDescent="0.2">
      <c r="A87" s="8">
        <v>2080</v>
      </c>
      <c r="B87" s="67"/>
      <c r="C87" s="67"/>
      <c r="D87" s="67"/>
      <c r="E87" s="35">
        <v>6.0999999999999999E-2</v>
      </c>
      <c r="F87" s="16">
        <f>F86*(1+Table2[[#This Row],[2008 discount rate]])</f>
        <v>2394.1383960458038</v>
      </c>
      <c r="G87" s="18">
        <v>6.0999999999999999E-2</v>
      </c>
      <c r="H87" s="16">
        <f>H86*(1+Table2[[#This Row],[2011 discount rate]])</f>
        <v>1967.4102175861537</v>
      </c>
      <c r="I87" s="18">
        <v>5.1999999999999998E-2</v>
      </c>
      <c r="J87" s="16">
        <f>J86*(1+Table2[[#This Row],[2014 discount rate]])</f>
        <v>1183.461339546664</v>
      </c>
      <c r="K87" s="9">
        <f>Table2[CPI]+1.7%</f>
        <v>4.4700000000000004E-2</v>
      </c>
      <c r="L87" s="66">
        <f t="shared" si="21"/>
        <v>8.2692051176617447</v>
      </c>
      <c r="M87" s="17">
        <f>Table2[[#This Row],[Annual benefit payments (closed scheme)]]/((1+L86)*(1+Table2[[#This Row],[Discount rate A1]])^0.5)+M86</f>
        <v>64.794864699620859</v>
      </c>
      <c r="N87" s="17">
        <f>N86*(1+Table2[Discount rate A1])</f>
        <v>601.7806061956453</v>
      </c>
      <c r="O87" s="17">
        <f>Table2[[#This Row],[Asset growth A1, under the assumption of full-funding at Year 0]]/(1+Table2[[#This Row],[Compounded CPI]])</f>
        <v>156.48417294800285</v>
      </c>
      <c r="P87" s="17">
        <f>(P86*((1+Table2[Discount rate A1])^0.5)-Table2[Annual benefit payments (closed scheme)])*(1+Table2[Discount rate A1])^0.5</f>
        <v>1.1837147237185388</v>
      </c>
      <c r="Q87" s="17">
        <f>Table2[[#This Row],[Asset growth A1 with benefit payments deducted]]/(1+Table2[Compounded CPI])</f>
        <v>0.30780755916758162</v>
      </c>
      <c r="R87" s="17">
        <f>Table2[[#This Row],[Asset growth A1 with benefit payments deducted]]/(1+Table2[Compounded discount rate A1])</f>
        <v>0.1277040165464742</v>
      </c>
      <c r="S87" s="9">
        <f>Table2[CPI]+1.7%</f>
        <v>4.4700000000000004E-2</v>
      </c>
      <c r="T87" s="18">
        <f t="shared" si="20"/>
        <v>7.8039502261395928</v>
      </c>
      <c r="U87" s="17">
        <f>Table2[[#This Row],[Annual benefit payments (closed scheme)]]/((1+T86)*(1+Table2[[#This Row],[Discount rate A2]])^0.5)+U86</f>
        <v>67.376853350499573</v>
      </c>
      <c r="V87" s="17">
        <f>V86*(1+Table2[Discount rate A2])</f>
        <v>594.36617801542332</v>
      </c>
      <c r="W87" s="17">
        <f>Table2[[#This Row],[Asset growth A2, under the assumption of full-funding at Year 0]]/(1+Table2[Compounded CPI])</f>
        <v>154.55616023087782</v>
      </c>
      <c r="X87" s="17">
        <f>(X86*((1+Table2[Discount rate A2])^0.5)-Table2[Annual benefit payments (closed scheme)])*(1+Table2[Discount rate A2])^0.5</f>
        <v>1.1837147237187131</v>
      </c>
      <c r="Y87" s="17">
        <f>Table2[[#This Row],[Asset growth A2 with benefit payments deducted]]/(1+Table2[[#This Row],[Compounded CPI]])</f>
        <v>0.30780755916762698</v>
      </c>
      <c r="Z87" s="19">
        <f>Table2[[#This Row],[Asset growth A2 with benefit payments deducted]]/(1+Table2[Compounded discount rate A2])</f>
        <v>0.13445268241114935</v>
      </c>
      <c r="AA87" s="82">
        <f>Table2[CPI]+2.8%</f>
        <v>5.57E-2</v>
      </c>
      <c r="AB87" s="18">
        <f t="shared" si="10"/>
        <v>14.28788717480451</v>
      </c>
      <c r="AC87" s="17">
        <f>Table2[[#This Row],[Annual benefit payments (closed scheme)]]/((1+AB86)*(1+Table2[[#This Row],[Discount rate B]])^0.5)+AC86</f>
        <v>60.352327874129777</v>
      </c>
      <c r="AD87" s="45">
        <f>AD86*(1+Table2[Discount rate B])</f>
        <v>917.27323048827077</v>
      </c>
      <c r="AE87" s="16">
        <f>Table2[[#This Row],[Asset growth B]]/(1+Table2[Compounded CPI])</f>
        <v>238.52337772685527</v>
      </c>
      <c r="AF87" s="17">
        <f>(AF86*((1+Table2[Discount rate B])^0.5)-Table2[Annual benefit payments (closed scheme)])*(1+Table2[Discount rate B])^0.5</f>
        <v>-5.3863487882344945</v>
      </c>
      <c r="AG87" s="17">
        <f>Table2[[#This Row],[Asset growth B with benefit payments deducted]]/(1+Table2[Compounded CPI])</f>
        <v>-1.4006405767458772</v>
      </c>
      <c r="AH87" s="19">
        <f>Table2[[#This Row],[Asset growth B with benefit payments deducted]]/(1+Table2[Compounded discount rate B])</f>
        <v>-0.35232787412975991</v>
      </c>
      <c r="AI87" s="11">
        <f>Table2[CPI]+2.56%</f>
        <v>5.33E-2</v>
      </c>
      <c r="AJ87" s="18">
        <f t="shared" si="11"/>
        <v>15.839376667510262</v>
      </c>
      <c r="AK87" s="17">
        <f>Table2[[#This Row],[Annual benefit payments (closed scheme)]]/((1+AJ86)*(1+Table2[[#This Row],[Discount rate C]])^0.5)+AK86</f>
        <v>52.285186495388075</v>
      </c>
      <c r="AL87" s="17">
        <f>AL86*(1+Table2[Discount rate C])</f>
        <v>1010.3626000506156</v>
      </c>
      <c r="AM87" s="17">
        <f>Table2[[#This Row],[Asset growth C]]/(1+Table2[Compounded CPI])</f>
        <v>262.72989561101355</v>
      </c>
      <c r="AN87" s="17">
        <f>(AN86*((1+Table2[Discount rate C])^0.5)-Table2[Annual benefit payments (closed scheme)])*(1+Table2[Discount rate C])^0.5</f>
        <v>129.91265052375434</v>
      </c>
      <c r="AO87" s="17">
        <f>Table2[[#This Row],[Asset growth C with benefit payments deducted]]/(1+Table2[Compounded CPI])</f>
        <v>33.781869112085282</v>
      </c>
      <c r="AP87" s="19">
        <f>Table2[[#This Row],[Asset growth C with benefit payments deducted]]/(1+Table2[Compounded discount rate C])</f>
        <v>7.714813504611878</v>
      </c>
      <c r="AQ87" s="11">
        <f>Table2[CPI]+2.56%</f>
        <v>5.33E-2</v>
      </c>
      <c r="AR87" s="18">
        <f t="shared" si="12"/>
        <v>14.762786890213821</v>
      </c>
      <c r="AS87" s="17">
        <f>Table2[[#This Row],[Annual benefit payments (closed scheme)]]/((1+AR86)*(1+Table2[[#This Row],[Discount rate D]])^0.5)+AS86</f>
        <v>54.78001773772629</v>
      </c>
      <c r="AT87" s="16">
        <f>AT86*(1+Table2[Discount rate D])</f>
        <v>945.76721341282894</v>
      </c>
      <c r="AU87" s="17">
        <f>Table2[[#This Row],[Asset growth D]]/(1+Table2[Compounded CPI])</f>
        <v>245.93281782186287</v>
      </c>
      <c r="AV87" s="17">
        <f>(AV86*((1+Table2[Discount rate D])^0.5)-Table2[Annual benefit payments (closed scheme)])*(1+Table2[Discount rate D])^0.5</f>
        <v>82.281467970916793</v>
      </c>
      <c r="AW87" s="17">
        <f>Table2[[#This Row],[Asset growth D with benefit payments deducted]]/(1+Table2[Compounded CPI])</f>
        <v>21.396082445685291</v>
      </c>
      <c r="AX87" s="19">
        <f>Table2[[#This Row],[Asset growth D with benefit payments deducted]]/(1+Table2[Compounded discount rate D])</f>
        <v>5.2199822622737146</v>
      </c>
      <c r="AY87" s="11">
        <f>Table2[CPI]+4%</f>
        <v>6.7699999999999996E-2</v>
      </c>
      <c r="AZ87" s="18">
        <f t="shared" si="13"/>
        <v>31.430959896484808</v>
      </c>
      <c r="BA87" s="17">
        <f>Table2[[#This Row],[Annual benefit payments (closed scheme)]]/((1+AZ86)*(1+Table2[[#This Row],[Discount rate E]])^0.5)+BA86</f>
        <v>48.263783085617625</v>
      </c>
      <c r="BB87" s="17">
        <f>BB86*(1+Table2[Discount rate E])</f>
        <v>1945.8575937890905</v>
      </c>
      <c r="BC87" s="16">
        <f>Table2[[#This Row],[Asset growth E]]/(1+Table2[Compounded CPI])</f>
        <v>505.99157417791866</v>
      </c>
      <c r="BD87" s="17">
        <f>(BD86*((1+Table2[Discount rate E])^0.5)-Table2[Annual benefit payments (closed scheme)])*(1+Table2[Discount rate E])^0.5</f>
        <v>380.6167800867816</v>
      </c>
      <c r="BE87" s="17">
        <f>Table2[[#This Row],[Asset growth E with benefit payments deducted]]/(1+Table2[Compounded CPI])</f>
        <v>98.973781190030806</v>
      </c>
      <c r="BF87" s="19">
        <f>Table2[[#This Row],[Asset growth E with benefit payments deducted]]/(1+Table2[Compounded discount rate E])</f>
        <v>11.736216914382378</v>
      </c>
      <c r="BG87" s="11">
        <f>Table2[[#This Row],[Long-dated forward gilt yields]]+0.75%</f>
        <v>2.5600000000000001E-2</v>
      </c>
      <c r="BH87" s="11">
        <f t="shared" si="14"/>
        <v>3.2844776180779762</v>
      </c>
      <c r="BI87" s="17">
        <f>((Table2[[#This Row],[Annual benefit payments (closed scheme)]])*1.005^(Table2[[#This Row],[Year]]-2018))/((1+BH86)*(1+Table2[[#This Row],[Discount rate F]])^0.5)+BI86</f>
        <v>81.931174483601765</v>
      </c>
      <c r="BJ87" s="17">
        <f>BJ86*(1+Table2[Discount rate F])</f>
        <v>352.79886071182926</v>
      </c>
      <c r="BK87" s="17">
        <f>Table2[[#This Row],[Asset growth F, under the assumption of full-funding at Year 0]]/(1+Table2[[#This Row],[Compounded CPI]])</f>
        <v>91.740141452048931</v>
      </c>
      <c r="BL87" s="17">
        <f>(BL86*((1+Table2[Discount rate F])^0.5)-Table2[Annual benefit payments (closed scheme)]*1.005^(Table2[Year]-2018))*(1+Table2[Discount rate F])^0.5</f>
        <v>1.76657741399604</v>
      </c>
      <c r="BM87" s="17">
        <f>Table2[[#This Row],[Asset growth F with benefit payments deducted]]/(1+Table2[Compounded CPI])</f>
        <v>0.45937240703951482</v>
      </c>
      <c r="BN87" s="19">
        <f>Table2[[#This Row],[Asset growth F with benefit payments deducted]]/(1+Table2[Compounded discount rate F])</f>
        <v>0.4123203740269577</v>
      </c>
      <c r="BO87" s="18">
        <f>(1+BO86)*(1+Table2[Discount rate A2])-1</f>
        <v>3.951387922040869</v>
      </c>
      <c r="BP87" s="17">
        <f>Table2[[#This Row],[Annual benefit payments (ongoing scheme)]]/((1+BO86)*(1+Table2[[#This Row],[Discount rate A2]])^0.5)+BP86</f>
        <v>106.14380435084607</v>
      </c>
      <c r="BQ87" s="17">
        <f>(BQ86*((1+Table2[Discount rate A2])^0.5)-Table2[Annual benefit payments (ongoing scheme)])*(1+Table2[Discount rate A2])^0.5</f>
        <v>31.517410368376428</v>
      </c>
      <c r="BR87" s="18">
        <f>(1+BR86)*(1+Table2[Discount rate B])-1</f>
        <v>6.7912778045518145</v>
      </c>
      <c r="BS87" s="17">
        <f>Table2[[#This Row],[Annual benefit payments (ongoing scheme)]]/((1+BR86)*(1+Table2[[#This Row],[Discount rate B]])^0.5)+BS86</f>
        <v>89.751649447305709</v>
      </c>
      <c r="BT87" s="18">
        <f>(1+BT86)*(1+Table2[Discount rate E])-1</f>
        <v>11.707132104463936</v>
      </c>
      <c r="BU87" s="17">
        <f>Table2[[#This Row],[Annual benefit payments (ongoing scheme)]]/((1+BT86)*(1+Table2[[#This Row],[Discount rate E]])^0.5)+BU86</f>
        <v>75.999289374731134</v>
      </c>
      <c r="BV87" s="18">
        <f>Table2[CPI]+0.75%+0.75%</f>
        <v>4.2699999999999995E-2</v>
      </c>
      <c r="BW87" s="18">
        <f>(1+BW86)*(1+Table2[Self-sufficiency discount rate, from 2037])-1</f>
        <v>3.5572849711817955</v>
      </c>
      <c r="BX87" s="17">
        <f>(Table2[[#This Row],[Annual benefit payments (ongoing scheme)]]*1.005^(Table2[[#This Row],[Year]]-2038))/((1+BW86)*(1+Table2[[#This Row],[Self-sufficiency discount rate, from 2037]])^0.5)+BX86</f>
        <v>119.06316260305908</v>
      </c>
      <c r="BY87" s="17">
        <f>(BY86*((1+Table2[Self-sufficiency discount rate, from 2037])^0.5)-Table2[Annual benefit payments (ongoing scheme)]*1.005^(Table2[Year]-2038))*(1+Table2[Self-sufficiency discount rate, from 2037])^0.5</f>
        <v>40.957955418878207</v>
      </c>
      <c r="BZ87" s="17">
        <f>(BZ86*((1+Table2[Discount rate B])^0.5)-Table2[Annual benefit payments (ongoing scheme)])*(1+Table2[Discount rate B])^0.5</f>
        <v>29.305277488866338</v>
      </c>
      <c r="CA87" s="17">
        <f>(CA86*((1+Table2[Discount rate A2])^0.5)+Table2[Net cashflow (ongoing scheme)])*(1+Table2[Discount rate A2])^0.5</f>
        <v>29.878672979843056</v>
      </c>
      <c r="CB87" s="17">
        <f>Table2[[#This Row],[Asset growth, ongoing scheme, with November de-risking, net of contributions and payments]]/(1+Table2[Compounded discount rate A2])</f>
        <v>3.3937803159235296</v>
      </c>
      <c r="CC87" s="17">
        <f>Table2[[#This Row],[Asset growth, ongoing scheme, with November de-risking, net of contributions and payments]]/(1+Table2[Compounded CPI])</f>
        <v>7.7695083256214348</v>
      </c>
      <c r="CD87" s="17">
        <f>(CD86*((1+Table2[Discount rate A1])^0.5)+Table2[Net cashflow (ongoing scheme)])*(1+Table2[Discount rate A1])^0.5</f>
        <v>58.312627335500373</v>
      </c>
      <c r="CE87" s="17">
        <f>Table2[[#This Row],[Asset growth, ongoing scheme, with September de-risking, net of contributions and payments]]/(1+Table2[Compounded discount rate A1])</f>
        <v>6.291006250837003</v>
      </c>
      <c r="CF87" s="17">
        <f>Table2[[#This Row],[Asset growth, ongoing scheme, with September de-risking, net of contributions and payments]]/(1+Table2[Compounded CPI])</f>
        <v>15.163338876451334</v>
      </c>
      <c r="CG87" s="17">
        <f>(CG86*((1+Table2[Discount rate B])^0.5)+Table2[Net cashflow (ongoing scheme)])*(1+Table2[Discount rate B])^0.5</f>
        <v>263.29871402861306</v>
      </c>
      <c r="CH87" s="17">
        <f>Table2[[#This Row],[Asset growth, ongoing scheme, no de-risking, net of contributions and payments]]/(1+Table2[Compounded discount rate B])</f>
        <v>17.222701280955778</v>
      </c>
      <c r="CI87" s="17">
        <f>Table2[[#This Row],[Asset growth, ongoing scheme, no de-risking, net of contributions and payments]]/(1+Table2[Compounded CPI])</f>
        <v>68.466948051903472</v>
      </c>
      <c r="CJ87" s="17">
        <f>(CJ86*((1+Table2[Discount rate E])^0.5)+Table2[Net cashflow (ongoing scheme)])*(1+Table2[Discount rate E])^0.5</f>
        <v>1062.8935514333878</v>
      </c>
      <c r="CK87" s="17">
        <f>Table2[[#This Row],[Asset growth, ongoing scheme, best-estimates, no de-risking, net of contributions and payments ]]/(1+Table2[Compounded discount rate E])</f>
        <v>32.774039215181993</v>
      </c>
      <c r="CL87" s="17">
        <f>Table2[[#This Row],[Asset growth, ongoing scheme, best-estimates, no de-risking, net of contributions and payments ]]/(1+Table2[Compounded CPI])</f>
        <v>276.38979491097933</v>
      </c>
      <c r="CM87" s="9">
        <f t="shared" si="24"/>
        <v>2.7699999999999999E-2</v>
      </c>
      <c r="CN87" s="11">
        <f>(1+Table2[[#This Row],[CPI]])*(1+CN86)-1</f>
        <v>2.8456324039595189</v>
      </c>
      <c r="CO87" s="11">
        <f t="shared" si="23"/>
        <v>1.8100000000000002E-2</v>
      </c>
      <c r="CP87" s="11">
        <f>Table2[[#This Row],[CPI]]+2%</f>
        <v>4.7699999999999999E-2</v>
      </c>
      <c r="CQ87" s="26">
        <f>(1+Table2[[#This Row],[Salary growth]])*(1+CQ86)-1</f>
        <v>11.671306940055613</v>
      </c>
      <c r="CR87" s="15">
        <f t="shared" si="17"/>
        <v>38.456324039595174</v>
      </c>
      <c r="CS87" s="17">
        <f t="shared" si="18"/>
        <v>49.993221251473734</v>
      </c>
      <c r="CT87" s="17">
        <f>CT86*(1+Table2[[#This Row],[Salary growth]])</f>
        <v>126.71306940055617</v>
      </c>
      <c r="CU87" s="19">
        <f t="shared" si="22"/>
        <v>164.72699022072297</v>
      </c>
      <c r="CV87" s="112">
        <f>('Cash flows as at 31032017'!B72)/1000000000</f>
        <v>0.30981155599999999</v>
      </c>
      <c r="CW87" s="113">
        <v>0</v>
      </c>
      <c r="CX87" s="113">
        <f>Table2[[#This Row],[Annual contributions (closed scheme)]]-Table2[[#This Row],[Annual benefit payments (closed scheme)]]</f>
        <v>-0.30981155599999999</v>
      </c>
      <c r="CY87" s="113">
        <v>3.63</v>
      </c>
      <c r="CZ87" s="113">
        <v>0</v>
      </c>
      <c r="DA87" s="113">
        <v>-3.63</v>
      </c>
      <c r="DB87" s="17"/>
      <c r="DC87" s="84"/>
      <c r="DD87" s="84"/>
      <c r="DE87" s="84"/>
      <c r="DF87" s="84"/>
      <c r="DG87" s="84"/>
      <c r="DH87" s="84"/>
      <c r="DI87" s="84"/>
      <c r="DJ87" s="84"/>
      <c r="DK87" s="84"/>
      <c r="DL87" s="84"/>
      <c r="DM87" s="84"/>
      <c r="DN87" s="84"/>
      <c r="DO87" s="84"/>
      <c r="DP87" s="84"/>
      <c r="DQ87" s="84"/>
      <c r="DR87" s="84"/>
      <c r="DS87" s="84"/>
      <c r="DT87" s="84"/>
      <c r="DU87" s="84"/>
      <c r="DV87" s="84"/>
      <c r="DW87" s="84"/>
      <c r="DX87" s="84"/>
      <c r="DY87" s="84"/>
      <c r="DZ87" s="84"/>
      <c r="EA87" s="84"/>
      <c r="EB87" s="84"/>
      <c r="EC87" s="84"/>
      <c r="ED87" s="84"/>
      <c r="EE87" s="84"/>
      <c r="EF87" s="84"/>
      <c r="EG87" s="84"/>
      <c r="EH87" s="84"/>
      <c r="EI87" s="84"/>
      <c r="EJ87" s="84"/>
      <c r="EK87" s="84"/>
      <c r="EL87" s="84"/>
      <c r="EM87" s="84"/>
      <c r="EN87" s="84"/>
      <c r="EO87" s="84"/>
      <c r="EP87" s="84"/>
      <c r="EQ87" s="84"/>
      <c r="ER87" s="84"/>
      <c r="ES87" s="84"/>
      <c r="ET87" s="84"/>
      <c r="EU87" s="84"/>
      <c r="EV87" s="84"/>
      <c r="EW87" s="84"/>
      <c r="EX87" s="84"/>
      <c r="EY87" s="84"/>
      <c r="EZ87" s="84"/>
      <c r="FA87" s="84"/>
      <c r="FB87" s="84"/>
      <c r="FC87" s="84"/>
      <c r="FD87" s="84"/>
      <c r="FE87" s="84"/>
      <c r="FF87" s="84"/>
      <c r="FG87" s="84"/>
      <c r="FH87" s="84"/>
      <c r="FI87" s="84"/>
      <c r="FJ87" s="84"/>
      <c r="FK87" s="84"/>
      <c r="FL87" s="84"/>
      <c r="FM87" s="84"/>
      <c r="FN87" s="84"/>
    </row>
    <row r="88" spans="1:179" x14ac:dyDescent="0.2">
      <c r="A88" s="8">
        <v>2081</v>
      </c>
      <c r="B88" s="67"/>
      <c r="C88" s="67"/>
      <c r="D88" s="67"/>
      <c r="E88" s="35">
        <v>6.0999999999999999E-2</v>
      </c>
      <c r="F88" s="16">
        <f>F87*(1+Table2[[#This Row],[2008 discount rate]])</f>
        <v>2540.1808382045979</v>
      </c>
      <c r="G88" s="18">
        <v>6.0999999999999999E-2</v>
      </c>
      <c r="H88" s="16">
        <f>H87*(1+Table2[[#This Row],[2011 discount rate]])</f>
        <v>2087.4222408589089</v>
      </c>
      <c r="I88" s="18">
        <v>5.1999999999999998E-2</v>
      </c>
      <c r="J88" s="16">
        <f>J87*(1+Table2[[#This Row],[2014 discount rate]])</f>
        <v>1245.0013292030906</v>
      </c>
      <c r="K88" s="9">
        <f>Table2[CPI]+1.7%</f>
        <v>4.4700000000000004E-2</v>
      </c>
      <c r="L88" s="66">
        <f t="shared" si="21"/>
        <v>8.6835385864212249</v>
      </c>
      <c r="M88" s="17">
        <f>Table2[[#This Row],[Annual benefit payments (closed scheme)]]/((1+L87)*(1+Table2[[#This Row],[Discount rate A1]])^0.5)+M87</f>
        <v>64.822837057235631</v>
      </c>
      <c r="N88" s="17">
        <f>N87*(1+Table2[Discount rate A1])</f>
        <v>628.6801992925906</v>
      </c>
      <c r="O88" s="17">
        <f>Table2[[#This Row],[Asset growth A1, under the assumption of full-funding at Year 0]]/(1+Table2[[#This Row],[Compounded CPI]])</f>
        <v>159.07270164326025</v>
      </c>
      <c r="P88" s="17">
        <f>(P87*((1+Table2[Discount rate A1])^0.5)-Table2[Annual benefit payments (closed scheme)])*(1+Table2[Discount rate A1])^0.5</f>
        <v>0.96575536755297953</v>
      </c>
      <c r="Q88" s="17">
        <f>Table2[[#This Row],[Asset growth A1 with benefit payments deducted]]/(1+Table2[Compounded CPI])</f>
        <v>0.2443616255387015</v>
      </c>
      <c r="R88" s="17">
        <f>Table2[[#This Row],[Asset growth A1 with benefit payments deducted]]/(1+Table2[Compounded discount rate A1])</f>
        <v>9.9731658931706366E-2</v>
      </c>
      <c r="S88" s="9">
        <f>Table2[CPI]+1.7%</f>
        <v>4.4700000000000004E-2</v>
      </c>
      <c r="T88" s="18">
        <f t="shared" si="20"/>
        <v>8.1974868012480329</v>
      </c>
      <c r="U88" s="17">
        <f>Table2[[#This Row],[Annual benefit payments (closed scheme)]]/((1+T87)*(1+Table2[[#This Row],[Discount rate A2]])^0.5)+U87</f>
        <v>67.406303939575608</v>
      </c>
      <c r="V88" s="17">
        <f>V87*(1+Table2[Discount rate A2])</f>
        <v>620.93434617271271</v>
      </c>
      <c r="W88" s="17">
        <f>Table2[[#This Row],[Asset growth A2, under the assumption of full-funding at Year 0]]/(1+Table2[Compounded CPI])</f>
        <v>157.11279614011681</v>
      </c>
      <c r="X88" s="17">
        <f>(X87*((1+Table2[Discount rate A2])^0.5)-Table2[Annual benefit payments (closed scheme)])*(1+Table2[Discount rate A2])^0.5</f>
        <v>0.96575536755316171</v>
      </c>
      <c r="Y88" s="17">
        <f>Table2[[#This Row],[Asset growth A2 with benefit payments deducted]]/(1+Table2[[#This Row],[Compounded CPI]])</f>
        <v>0.24436162553874757</v>
      </c>
      <c r="Z88" s="19">
        <f>Table2[[#This Row],[Asset growth A2 with benefit payments deducted]]/(1+Table2[Compounded discount rate A2])</f>
        <v>0.10500209333511798</v>
      </c>
      <c r="AA88" s="82">
        <f>Table2[CPI]+2.8%</f>
        <v>5.57E-2</v>
      </c>
      <c r="AB88" s="18">
        <f t="shared" si="10"/>
        <v>15.139422490441124</v>
      </c>
      <c r="AC88" s="17">
        <f>Table2[[#This Row],[Annual benefit payments (closed scheme)]]/((1+AB87)*(1+Table2[[#This Row],[Discount rate B]])^0.5)+AC87</f>
        <v>60.369199216250976</v>
      </c>
      <c r="AD88" s="45">
        <f>AD87*(1+Table2[Discount rate B])</f>
        <v>968.36534942646756</v>
      </c>
      <c r="AE88" s="16">
        <f>Table2[[#This Row],[Asset growth B]]/(1+Table2[Compounded CPI])</f>
        <v>245.02201991460652</v>
      </c>
      <c r="AF88" s="17">
        <f>(AF87*((1+Table2[Discount rate B])^0.5)-Table2[Annual benefit payments (closed scheme)])*(1+Table2[Discount rate B])^0.5</f>
        <v>-5.9586621342139905</v>
      </c>
      <c r="AG88" s="17">
        <f>Table2[[#This Row],[Asset growth B with benefit payments deducted]]/(1+Table2[Compounded CPI])</f>
        <v>-1.5076989619449999</v>
      </c>
      <c r="AH88" s="19">
        <f>Table2[[#This Row],[Asset growth B with benefit payments deducted]]/(1+Table2[Compounded discount rate B])</f>
        <v>-0.36919921625096064</v>
      </c>
      <c r="AI88" s="11">
        <f>Table2[CPI]+2.56%</f>
        <v>5.33E-2</v>
      </c>
      <c r="AJ88" s="18">
        <f t="shared" si="11"/>
        <v>16.736915443888556</v>
      </c>
      <c r="AK88" s="17">
        <f>Table2[[#This Row],[Annual benefit payments (closed scheme)]]/((1+AJ87)*(1+Table2[[#This Row],[Discount rate C]])^0.5)+AK87</f>
        <v>52.300520843156477</v>
      </c>
      <c r="AL88" s="17">
        <f>AL87*(1+Table2[Discount rate C])</f>
        <v>1064.2149266333133</v>
      </c>
      <c r="AM88" s="17">
        <f>Table2[[#This Row],[Asset growth C]]/(1+Table2[Compounded CPI])</f>
        <v>269.27449552114484</v>
      </c>
      <c r="AN88" s="17">
        <f>(AN87*((1+Table2[Discount rate C])^0.5)-Table2[Annual benefit payments (closed scheme)])*(1+Table2[Discount rate C])^0.5</f>
        <v>136.56501076691504</v>
      </c>
      <c r="AO88" s="17">
        <f>Table2[[#This Row],[Asset growth C with benefit payments deducted]]/(1+Table2[Compounded CPI])</f>
        <v>34.554556095576601</v>
      </c>
      <c r="AP88" s="19">
        <f>Table2[[#This Row],[Asset growth C with benefit payments deducted]]/(1+Table2[Compounded discount rate C])</f>
        <v>7.6994791568434735</v>
      </c>
      <c r="AQ88" s="11">
        <f>Table2[CPI]+2.56%</f>
        <v>5.33E-2</v>
      </c>
      <c r="AR88" s="18">
        <f t="shared" si="12"/>
        <v>15.602943431462215</v>
      </c>
      <c r="AS88" s="17">
        <f>Table2[[#This Row],[Annual benefit payments (closed scheme)]]/((1+AR87)*(1+Table2[[#This Row],[Discount rate D]])^0.5)+AS87</f>
        <v>54.796399413112837</v>
      </c>
      <c r="AT88" s="16">
        <f>AT87*(1+Table2[Discount rate D])</f>
        <v>996.17660588773265</v>
      </c>
      <c r="AU88" s="17">
        <f>Table2[[#This Row],[Asset growth D]]/(1+Table2[Compounded CPI])</f>
        <v>252.05900263867679</v>
      </c>
      <c r="AV88" s="17">
        <f>(AV87*((1+Table2[Discount rate D])^0.5)-Table2[Annual benefit payments (closed scheme)])*(1+Table2[Discount rate D])^0.5</f>
        <v>86.395086184011248</v>
      </c>
      <c r="AW88" s="17">
        <f>Table2[[#This Row],[Asset growth D with benefit payments deducted]]/(1+Table2[Compounded CPI])</f>
        <v>21.860239567680221</v>
      </c>
      <c r="AX88" s="19">
        <f>Table2[[#This Row],[Asset growth D with benefit payments deducted]]/(1+Table2[Compounded discount rate D])</f>
        <v>5.2036005868871689</v>
      </c>
      <c r="AY88" s="11">
        <f>Table2[CPI]+4%</f>
        <v>6.7699999999999996E-2</v>
      </c>
      <c r="AZ88" s="18">
        <f t="shared" si="13"/>
        <v>33.626535881476833</v>
      </c>
      <c r="BA88" s="17">
        <f>Table2[[#This Row],[Annual benefit payments (closed scheme)]]/((1+AZ87)*(1+Table2[[#This Row],[Discount rate E]])^0.5)+BA87</f>
        <v>48.271691382004647</v>
      </c>
      <c r="BB88" s="17">
        <f>BB87*(1+Table2[Discount rate E])</f>
        <v>2077.592152888612</v>
      </c>
      <c r="BC88" s="16">
        <f>Table2[[#This Row],[Asset growth E]]/(1+Table2[Compounded CPI])</f>
        <v>525.68570959400961</v>
      </c>
      <c r="BD88" s="17">
        <f>(BD87*((1+Table2[Discount rate E])^0.5)-Table2[Annual benefit payments (closed scheme)])*(1+Table2[Discount rate E])^0.5</f>
        <v>406.11069919005007</v>
      </c>
      <c r="BE88" s="17">
        <f>Table2[[#This Row],[Asset growth E with benefit payments deducted]]/(1+Table2[Compounded CPI])</f>
        <v>102.75673730314034</v>
      </c>
      <c r="BF88" s="19">
        <f>Table2[[#This Row],[Asset growth E with benefit payments deducted]]/(1+Table2[Compounded discount rate E])</f>
        <v>11.728308617995353</v>
      </c>
      <c r="BG88" s="11">
        <f>Table2[[#This Row],[Long-dated forward gilt yields]]+0.75%</f>
        <v>2.5600000000000001E-2</v>
      </c>
      <c r="BH88" s="11">
        <f t="shared" si="14"/>
        <v>3.3941602451007729</v>
      </c>
      <c r="BI88" s="17">
        <f>((Table2[[#This Row],[Annual benefit payments (closed scheme)]])*1.005^(Table2[[#This Row],[Year]]-2018))/((1+BH87)*(1+Table2[[#This Row],[Discount rate F]])^0.5)+BI87</f>
        <v>82.014800684630771</v>
      </c>
      <c r="BJ88" s="17">
        <f>BJ87*(1+Table2[Discount rate F])</f>
        <v>361.83051154605209</v>
      </c>
      <c r="BK88" s="17">
        <f>Table2[[#This Row],[Asset growth F, under the assumption of full-funding at Year 0]]/(1+Table2[[#This Row],[Compounded CPI]])</f>
        <v>91.552679841608821</v>
      </c>
      <c r="BL88" s="17">
        <f>(BL87*((1+Table2[Discount rate F])^0.5)-Table2[Annual benefit payments (closed scheme)]*1.005^(Table2[Year]-2018))*(1+Table2[Discount rate F])^0.5</f>
        <v>1.4443348677839081</v>
      </c>
      <c r="BM88" s="17">
        <f>Table2[[#This Row],[Asset growth F with benefit payments deducted]]/(1+Table2[Compounded CPI])</f>
        <v>0.36545488430281969</v>
      </c>
      <c r="BN88" s="19">
        <f>Table2[[#This Row],[Asset growth F with benefit payments deducted]]/(1+Table2[Compounded discount rate F])</f>
        <v>0.32869417299795917</v>
      </c>
      <c r="BO88" s="18">
        <f>(1+BO87)*(1+Table2[Discount rate A2])-1</f>
        <v>4.1727149621560953</v>
      </c>
      <c r="BP88" s="17">
        <f>Table2[[#This Row],[Annual benefit payments (ongoing scheme)]]/((1+BO87)*(1+Table2[[#This Row],[Discount rate A2]])^0.5)+BP87</f>
        <v>106.8413167868455</v>
      </c>
      <c r="BQ88" s="17">
        <f>(BQ87*((1+Table2[Discount rate A2])^0.5)-Table2[Annual benefit payments (ongoing scheme)])*(1+Table2[Discount rate A2])^0.5</f>
        <v>29.318205597858633</v>
      </c>
      <c r="BR88" s="18">
        <f>(1+BR87)*(1+Table2[Discount rate B])-1</f>
        <v>7.2252519782653515</v>
      </c>
      <c r="BS88" s="17">
        <f>Table2[[#This Row],[Annual benefit payments (ongoing scheme)]]/((1+BR87)*(1+Table2[[#This Row],[Discount rate B]])^0.5)+BS87</f>
        <v>90.19260595346617</v>
      </c>
      <c r="BT88" s="18">
        <f>(1+BT87)*(1+Table2[Discount rate E])-1</f>
        <v>12.567404947936145</v>
      </c>
      <c r="BU88" s="17">
        <f>Table2[[#This Row],[Annual benefit payments (ongoing scheme)]]/((1+BT87)*(1+Table2[[#This Row],[Discount rate E]])^0.5)+BU87</f>
        <v>76.268134730846185</v>
      </c>
      <c r="BV88" s="18">
        <f>Table2[CPI]+0.75%+0.75%</f>
        <v>4.2699999999999995E-2</v>
      </c>
      <c r="BW88" s="18">
        <f>(1+BW87)*(1+Table2[Self-sufficiency discount rate, from 2037])-1</f>
        <v>3.7518810394512583</v>
      </c>
      <c r="BX88" s="17">
        <f>(Table2[[#This Row],[Annual benefit payments (ongoing scheme)]]*1.005^(Table2[[#This Row],[Year]]-2038))/((1+BW87)*(1+Table2[[#This Row],[Self-sufficiency discount rate, from 2037]])^0.5)+BX87</f>
        <v>120.00316614036393</v>
      </c>
      <c r="BY88" s="17">
        <f>(BY87*((1+Table2[Self-sufficiency discount rate, from 2037])^0.5)-Table2[Annual benefit payments (ongoing scheme)]*1.005^(Table2[Year]-2038))*(1+Table2[Self-sufficiency discount rate, from 2037])^0.5</f>
        <v>38.240075129328261</v>
      </c>
      <c r="BZ88" s="17">
        <f>(BZ87*((1+Table2[Discount rate B])^0.5)-Table2[Annual benefit payments (ongoing scheme)])*(1+Table2[Discount rate B])^0.5</f>
        <v>27.310603070370831</v>
      </c>
      <c r="CA88" s="17">
        <f>(CA87*((1+Table2[Discount rate A2])^0.5)+Table2[Net cashflow (ongoing scheme)])*(1+Table2[Discount rate A2])^0.5</f>
        <v>27.606216648057824</v>
      </c>
      <c r="CB88" s="17">
        <f>Table2[[#This Row],[Asset growth, ongoing scheme, with November de-risking, net of contributions and payments]]/(1+Table2[Compounded discount rate A2])</f>
        <v>3.0014956525201928</v>
      </c>
      <c r="CC88" s="17">
        <f>Table2[[#This Row],[Asset growth, ongoing scheme, with November de-risking, net of contributions and payments]]/(1+Table2[Compounded CPI])</f>
        <v>6.9851022336905686</v>
      </c>
      <c r="CD88" s="17">
        <f>(CD87*((1+Table2[Discount rate A1])^0.5)+Table2[Net cashflow (ongoing scheme)])*(1+Table2[Discount rate A1])^0.5</f>
        <v>57.311168763413022</v>
      </c>
      <c r="CE88" s="17">
        <f>Table2[[#This Row],[Asset growth, ongoing scheme, with September de-risking, net of contributions and payments]]/(1+Table2[Compounded discount rate A1])</f>
        <v>5.918411771888616</v>
      </c>
      <c r="CF88" s="17">
        <f>Table2[[#This Row],[Asset growth, ongoing scheme, with September de-risking, net of contributions and payments]]/(1+Table2[Compounded CPI])</f>
        <v>14.501239994177086</v>
      </c>
      <c r="CG88" s="17">
        <f>(CG87*((1+Table2[Discount rate B])^0.5)+Table2[Net cashflow (ongoing scheme)])*(1+Table2[Discount rate B])^0.5</f>
        <v>274.33747402538143</v>
      </c>
      <c r="CH88" s="17">
        <f>Table2[[#This Row],[Asset growth, ongoing scheme, no de-risking, net of contributions and payments]]/(1+Table2[Compounded discount rate B])</f>
        <v>16.997973390179418</v>
      </c>
      <c r="CI88" s="17">
        <f>Table2[[#This Row],[Asset growth, ongoing scheme, no de-risking, net of contributions and payments]]/(1+Table2[Compounded CPI])</f>
        <v>69.414629575274873</v>
      </c>
      <c r="CJ88" s="17">
        <f>(CJ87*((1+Table2[Discount rate E])^0.5)+Table2[Net cashflow (ongoing scheme)])*(1+Table2[Discount rate E])^0.5</f>
        <v>1131.2039110506432</v>
      </c>
      <c r="CK88" s="17">
        <f>Table2[[#This Row],[Asset growth, ongoing scheme, best-estimates, no de-risking, net of contributions and payments ]]/(1+Table2[Compounded discount rate E])</f>
        <v>32.668699950888559</v>
      </c>
      <c r="CL88" s="17">
        <f>Table2[[#This Row],[Asset growth, ongoing scheme, best-estimates, no de-risking, net of contributions and payments ]]/(1+Table2[Compounded CPI])</f>
        <v>286.22447858661042</v>
      </c>
      <c r="CM88" s="9">
        <f t="shared" si="24"/>
        <v>2.7699999999999999E-2</v>
      </c>
      <c r="CN88" s="11">
        <f>(1+Table2[[#This Row],[CPI]])*(1+CN87)-1</f>
        <v>2.9521564215491978</v>
      </c>
      <c r="CO88" s="11">
        <f t="shared" si="23"/>
        <v>1.8100000000000002E-2</v>
      </c>
      <c r="CP88" s="11">
        <f>Table2[[#This Row],[CPI]]+2%</f>
        <v>4.7699999999999999E-2</v>
      </c>
      <c r="CQ88" s="26">
        <f>(1+Table2[[#This Row],[Salary growth]])*(1+CQ87)-1</f>
        <v>12.275728281096267</v>
      </c>
      <c r="CR88" s="15">
        <f t="shared" si="17"/>
        <v>39.521564215491964</v>
      </c>
      <c r="CS88" s="17">
        <f t="shared" si="18"/>
        <v>51.378033480139557</v>
      </c>
      <c r="CT88" s="17">
        <f>CT87*(1+Table2[[#This Row],[Salary growth]])</f>
        <v>132.75728281096269</v>
      </c>
      <c r="CU88" s="19">
        <f t="shared" si="22"/>
        <v>172.58446765425145</v>
      </c>
      <c r="CV88" s="112">
        <f>('Cash flows as at 31032017'!B73)/1000000000</f>
        <v>0.265013112</v>
      </c>
      <c r="CW88" s="113">
        <v>0</v>
      </c>
      <c r="CX88" s="113">
        <f>Table2[[#This Row],[Annual contributions (closed scheme)]]-Table2[[#This Row],[Annual benefit payments (closed scheme)]]</f>
        <v>-0.265013112</v>
      </c>
      <c r="CY88" s="113">
        <v>3.53</v>
      </c>
      <c r="CZ88" s="113">
        <v>0</v>
      </c>
      <c r="DA88" s="113">
        <v>-3.53</v>
      </c>
      <c r="DB88" s="17"/>
      <c r="DC88" s="84"/>
      <c r="DD88" s="84"/>
      <c r="DE88" s="84"/>
      <c r="DF88" s="84"/>
      <c r="DG88" s="84"/>
      <c r="DH88" s="84"/>
      <c r="DI88" s="84"/>
      <c r="DJ88" s="84"/>
      <c r="DK88" s="84"/>
      <c r="DL88" s="84"/>
      <c r="DM88" s="84"/>
      <c r="DN88" s="84"/>
      <c r="DO88" s="84"/>
      <c r="DP88" s="84"/>
      <c r="DQ88" s="84"/>
      <c r="DR88" s="84"/>
      <c r="DS88" s="84"/>
      <c r="DT88" s="84"/>
      <c r="DU88" s="84"/>
      <c r="DV88" s="84"/>
      <c r="DW88" s="84"/>
      <c r="DX88" s="84"/>
      <c r="DY88" s="84"/>
      <c r="DZ88" s="84"/>
      <c r="EA88" s="84"/>
      <c r="EB88" s="84"/>
      <c r="EC88" s="84"/>
      <c r="ED88" s="84"/>
      <c r="EE88" s="84"/>
      <c r="EF88" s="84"/>
      <c r="EG88" s="84"/>
      <c r="EH88" s="84"/>
      <c r="EI88" s="84"/>
      <c r="EJ88" s="84"/>
      <c r="EK88" s="84"/>
      <c r="EL88" s="84"/>
      <c r="EM88" s="84"/>
      <c r="EN88" s="84"/>
      <c r="EO88" s="84"/>
      <c r="EP88" s="84"/>
      <c r="EQ88" s="84"/>
      <c r="ER88" s="84"/>
      <c r="ES88" s="84"/>
      <c r="ET88" s="84"/>
      <c r="EU88" s="84"/>
      <c r="EV88" s="84"/>
      <c r="EW88" s="84"/>
      <c r="EX88" s="84"/>
      <c r="EY88" s="84"/>
      <c r="EZ88" s="84"/>
      <c r="FA88" s="84"/>
      <c r="FB88" s="84"/>
      <c r="FC88" s="84"/>
      <c r="FD88" s="84"/>
      <c r="FE88" s="84"/>
      <c r="FF88" s="84"/>
      <c r="FG88" s="84"/>
      <c r="FH88" s="84"/>
      <c r="FI88" s="84"/>
      <c r="FJ88" s="84"/>
      <c r="FK88" s="84"/>
      <c r="FL88" s="84"/>
      <c r="FM88" s="84"/>
      <c r="FN88" s="84"/>
      <c r="FO88" s="84"/>
    </row>
    <row r="89" spans="1:179" x14ac:dyDescent="0.2">
      <c r="A89" s="8">
        <v>2082</v>
      </c>
      <c r="B89" s="67"/>
      <c r="C89" s="67"/>
      <c r="D89" s="67"/>
      <c r="E89" s="35">
        <v>6.0999999999999999E-2</v>
      </c>
      <c r="F89" s="16">
        <f>F88*(1+Table2[[#This Row],[2008 discount rate]])</f>
        <v>2695.1318693350781</v>
      </c>
      <c r="G89" s="18">
        <v>6.0999999999999999E-2</v>
      </c>
      <c r="H89" s="16">
        <f>H88*(1+Table2[[#This Row],[2011 discount rate]])</f>
        <v>2214.754997551302</v>
      </c>
      <c r="I89" s="18">
        <v>5.1999999999999998E-2</v>
      </c>
      <c r="J89" s="16">
        <f>J88*(1+Table2[[#This Row],[2014 discount rate]])</f>
        <v>1309.7413983216513</v>
      </c>
      <c r="K89" s="9">
        <f>Table2[CPI]+1.7%</f>
        <v>4.4700000000000004E-2</v>
      </c>
      <c r="L89" s="66">
        <f t="shared" si="21"/>
        <v>9.1163927612342537</v>
      </c>
      <c r="M89" s="17">
        <f>Table2[[#This Row],[Annual benefit payments (closed scheme)]]/((1+L88)*(1+Table2[[#This Row],[Discount rate A1]])^0.5)+M88</f>
        <v>64.845504425182042</v>
      </c>
      <c r="N89" s="17">
        <f>N88*(1+Table2[Discount rate A1])</f>
        <v>656.78220420096943</v>
      </c>
      <c r="O89" s="17">
        <f>Table2[[#This Row],[Asset growth A1, under the assumption of full-funding at Year 0]]/(1+Table2[[#This Row],[Compounded CPI]])</f>
        <v>161.70404924269141</v>
      </c>
      <c r="P89" s="17">
        <f>(P88*((1+Table2[Discount rate A1])^0.5)-Table2[Annual benefit payments (closed scheme)])*(1+Table2[Discount rate A1])^0.5</f>
        <v>0.77961263547324477</v>
      </c>
      <c r="Q89" s="17">
        <f>Table2[[#This Row],[Asset growth A1 with benefit payments deducted]]/(1+Table2[Compounded CPI])</f>
        <v>0.19194570009728032</v>
      </c>
      <c r="R89" s="17">
        <f>Table2[[#This Row],[Asset growth A1 with benefit payments deducted]]/(1+Table2[Compounded discount rate A1])</f>
        <v>7.7064290985290676E-2</v>
      </c>
      <c r="S89" s="9">
        <f>Table2[CPI]+1.7%</f>
        <v>4.4700000000000004E-2</v>
      </c>
      <c r="T89" s="18">
        <f t="shared" si="20"/>
        <v>8.6086144612638194</v>
      </c>
      <c r="U89" s="17">
        <f>Table2[[#This Row],[Annual benefit payments (closed scheme)]]/((1+T88)*(1+Table2[[#This Row],[Discount rate A2]])^0.5)+U88</f>
        <v>67.430169190693107</v>
      </c>
      <c r="V89" s="17">
        <f>V88*(1+Table2[Discount rate A2])</f>
        <v>648.69011144663295</v>
      </c>
      <c r="W89" s="17">
        <f>Table2[[#This Row],[Asset growth A2, under the assumption of full-funding at Year 0]]/(1+Table2[Compounded CPI])</f>
        <v>159.71172338968572</v>
      </c>
      <c r="X89" s="17">
        <f>(X88*((1+Table2[Discount rate A2])^0.5)-Table2[Annual benefit payments (closed scheme)])*(1+Table2[Discount rate A2])^0.5</f>
        <v>0.77961263547343507</v>
      </c>
      <c r="Y89" s="17">
        <f>Table2[[#This Row],[Asset growth A2 with benefit payments deducted]]/(1+Table2[[#This Row],[Compounded CPI]])</f>
        <v>0.19194570009732717</v>
      </c>
      <c r="Z89" s="19">
        <f>Table2[[#This Row],[Asset growth A2 with benefit payments deducted]]/(1+Table2[Compounded discount rate A2])</f>
        <v>8.113684221761279E-2</v>
      </c>
      <c r="AA89" s="82">
        <f>Table2[CPI]+2.8%</f>
        <v>5.57E-2</v>
      </c>
      <c r="AB89" s="18">
        <f t="shared" si="10"/>
        <v>16.038388323158696</v>
      </c>
      <c r="AC89" s="17">
        <f>Table2[[#This Row],[Annual benefit payments (closed scheme)]]/((1+AB88)*(1+Table2[[#This Row],[Discount rate B]])^0.5)+AC88</f>
        <v>60.382728435282409</v>
      </c>
      <c r="AD89" s="45">
        <f>AD88*(1+Table2[Discount rate B])</f>
        <v>1022.3032993895218</v>
      </c>
      <c r="AE89" s="16">
        <f>Table2[[#This Row],[Asset growth B]]/(1+Table2[Compounded CPI])</f>
        <v>251.69771959117452</v>
      </c>
      <c r="AF89" s="17">
        <f>(AF88*((1+Table2[Discount rate B])^0.5)-Table2[Annual benefit payments (closed scheme)])*(1+Table2[Discount rate B])^0.5</f>
        <v>-6.521075702656395</v>
      </c>
      <c r="AG89" s="17">
        <f>Table2[[#This Row],[Asset growth B with benefit payments deducted]]/(1+Table2[Compounded CPI])</f>
        <v>-1.6055312397212964</v>
      </c>
      <c r="AH89" s="19">
        <f>Table2[[#This Row],[Asset growth B with benefit payments deducted]]/(1+Table2[Compounded discount rate B])</f>
        <v>-0.38272843528239719</v>
      </c>
      <c r="AI89" s="11">
        <f>Table2[CPI]+2.56%</f>
        <v>5.33E-2</v>
      </c>
      <c r="AJ89" s="18">
        <f t="shared" si="11"/>
        <v>17.682293037047813</v>
      </c>
      <c r="AK89" s="17">
        <f>Table2[[#This Row],[Annual benefit payments (closed scheme)]]/((1+AJ88)*(1+Table2[[#This Row],[Discount rate C]])^0.5)+AK88</f>
        <v>52.312845556909892</v>
      </c>
      <c r="AL89" s="17">
        <f>AL88*(1+Table2[Discount rate C])</f>
        <v>1120.9375822228687</v>
      </c>
      <c r="AM89" s="17">
        <f>Table2[[#This Row],[Asset growth C]]/(1+Table2[Compounded CPI])</f>
        <v>275.98212137046005</v>
      </c>
      <c r="AN89" s="17">
        <f>(AN88*((1+Table2[Discount rate C])^0.5)-Table2[Annual benefit payments (closed scheme)])*(1+Table2[Discount rate C])^0.5</f>
        <v>143.61367192685262</v>
      </c>
      <c r="AO89" s="17">
        <f>Table2[[#This Row],[Asset growth C with benefit payments deducted]]/(1+Table2[Compounded CPI])</f>
        <v>35.358619841772544</v>
      </c>
      <c r="AP89" s="19">
        <f>Table2[[#This Row],[Asset growth C with benefit payments deducted]]/(1+Table2[Compounded discount rate C])</f>
        <v>7.6871544430900611</v>
      </c>
      <c r="AQ89" s="11">
        <f>Table2[CPI]+2.56%</f>
        <v>5.33E-2</v>
      </c>
      <c r="AR89" s="18">
        <f t="shared" si="12"/>
        <v>16.487880316359149</v>
      </c>
      <c r="AS89" s="17">
        <f>Table2[[#This Row],[Annual benefit payments (closed scheme)]]/((1+AR88)*(1+Table2[[#This Row],[Discount rate D]])^0.5)+AS88</f>
        <v>54.809565898116944</v>
      </c>
      <c r="AT89" s="16">
        <f>AT88*(1+Table2[Discount rate D])</f>
        <v>1049.2728189815487</v>
      </c>
      <c r="AU89" s="17">
        <f>Table2[[#This Row],[Asset growth D]]/(1+Table2[Compounded CPI])</f>
        <v>258.33779067755006</v>
      </c>
      <c r="AV89" s="17">
        <f>(AV88*((1+Table2[Discount rate D])^0.5)-Table2[Annual benefit payments (closed scheme)])*(1+Table2[Discount rate D])^0.5</f>
        <v>90.769690363680041</v>
      </c>
      <c r="AW89" s="17">
        <f>Table2[[#This Row],[Asset growth D with benefit payments deducted]]/(1+Table2[Compounded CPI])</f>
        <v>22.348087975631397</v>
      </c>
      <c r="AX89" s="19">
        <f>Table2[[#This Row],[Asset growth D with benefit payments deducted]]/(1+Table2[Compounded discount rate D])</f>
        <v>5.19043410188306</v>
      </c>
      <c r="AY89" s="11">
        <f>Table2[CPI]+4%</f>
        <v>6.7699999999999996E-2</v>
      </c>
      <c r="AZ89" s="18">
        <f t="shared" si="13"/>
        <v>35.970752360652817</v>
      </c>
      <c r="BA89" s="17">
        <f>Table2[[#This Row],[Annual benefit payments (closed scheme)]]/((1+AZ88)*(1+Table2[[#This Row],[Discount rate E]])^0.5)+BA88</f>
        <v>48.277961811830089</v>
      </c>
      <c r="BB89" s="17">
        <f>BB88*(1+Table2[Discount rate E])</f>
        <v>2218.2451416391714</v>
      </c>
      <c r="BC89" s="16">
        <f>Table2[[#This Row],[Asset growth E]]/(1+Table2[Compounded CPI])</f>
        <v>546.14637747740016</v>
      </c>
      <c r="BD89" s="17">
        <f>(BD88*((1+Table2[Discount rate E])^0.5)-Table2[Annual benefit payments (closed scheme)])*(1+Table2[Discount rate E])^0.5</f>
        <v>433.37257101694513</v>
      </c>
      <c r="BE89" s="17">
        <f>Table2[[#This Row],[Asset growth E with benefit payments deducted]]/(1+Table2[Compounded CPI])</f>
        <v>106.69914488534559</v>
      </c>
      <c r="BF89" s="19">
        <f>Table2[[#This Row],[Asset growth E with benefit payments deducted]]/(1+Table2[Compounded discount rate E])</f>
        <v>11.722038188169909</v>
      </c>
      <c r="BG89" s="11">
        <f>Table2[[#This Row],[Long-dated forward gilt yields]]+0.75%</f>
        <v>2.5600000000000001E-2</v>
      </c>
      <c r="BH89" s="11">
        <f t="shared" si="14"/>
        <v>3.5066507473753532</v>
      </c>
      <c r="BI89" s="17">
        <f>((Table2[[#This Row],[Annual benefit payments (closed scheme)]])*1.005^(Table2[[#This Row],[Year]]-2018))/((1+BH88)*(1+Table2[[#This Row],[Discount rate F]])^0.5)+BI88</f>
        <v>82.08417425315406</v>
      </c>
      <c r="BJ89" s="17">
        <f>BJ88*(1+Table2[Discount rate F])</f>
        <v>371.09337264163105</v>
      </c>
      <c r="BK89" s="17">
        <f>Table2[[#This Row],[Asset growth F, under the assumption of full-funding at Year 0]]/(1+Table2[[#This Row],[Compounded CPI]])</f>
        <v>91.365601289825818</v>
      </c>
      <c r="BL89" s="17">
        <f>(BL88*((1+Table2[Discount rate F])^0.5)-Table2[Annual benefit payments (closed scheme)]*1.005^(Table2[Year]-2018))*(1+Table2[Discount rate F])^0.5</f>
        <v>1.1686673959655689</v>
      </c>
      <c r="BM89" s="17">
        <f>Table2[[#This Row],[Asset growth F with benefit payments deducted]]/(1+Table2[Compounded CPI])</f>
        <v>0.2877335118655539</v>
      </c>
      <c r="BN89" s="19">
        <f>Table2[[#This Row],[Asset growth F with benefit payments deducted]]/(1+Table2[Compounded discount rate F])</f>
        <v>0.2593206044746631</v>
      </c>
      <c r="BO89" s="18">
        <f>(1+BO88)*(1+Table2[Discount rate A2])-1</f>
        <v>4.4039353209644725</v>
      </c>
      <c r="BP89" s="17">
        <f>Table2[[#This Row],[Annual benefit payments (ongoing scheme)]]/((1+BO88)*(1+Table2[[#This Row],[Discount rate A2]])^0.5)+BP88</f>
        <v>107.47304768923073</v>
      </c>
      <c r="BQ89" s="17">
        <f>(BQ88*((1+Table2[Discount rate A2])^0.5)-Table2[Annual benefit payments (ongoing scheme)])*(1+Table2[Discount rate A2])^0.5</f>
        <v>27.214896451338639</v>
      </c>
      <c r="BR89" s="18">
        <f>(1+BR88)*(1+Table2[Discount rate B])-1</f>
        <v>7.6833985134547316</v>
      </c>
      <c r="BS89" s="17">
        <f>Table2[[#This Row],[Annual benefit payments (ongoing scheme)]]/((1+BR88)*(1+Table2[[#This Row],[Discount rate B]])^0.5)+BS88</f>
        <v>90.587815106899257</v>
      </c>
      <c r="BT89" s="18">
        <f>(1+BT88)*(1+Table2[Discount rate E])-1</f>
        <v>13.485918262911424</v>
      </c>
      <c r="BU89" s="17">
        <f>Table2[[#This Row],[Annual benefit payments (ongoing scheme)]]/((1+BT88)*(1+Table2[[#This Row],[Discount rate E]])^0.5)+BU88</f>
        <v>76.506380423627405</v>
      </c>
      <c r="BV89" s="18">
        <f>Table2[CPI]+0.75%+0.75%</f>
        <v>4.2699999999999995E-2</v>
      </c>
      <c r="BW89" s="18">
        <f>(1+BW88)*(1+Table2[Self-sufficiency discount rate, from 2037])-1</f>
        <v>3.9547863598358264</v>
      </c>
      <c r="BX89" s="17">
        <f>(Table2[[#This Row],[Annual benefit payments (ongoing scheme)]]*1.005^(Table2[[#This Row],[Year]]-2038))/((1+BW88)*(1+Table2[[#This Row],[Self-sufficiency discount rate, from 2037]])^0.5)+BX88</f>
        <v>120.86041701625548</v>
      </c>
      <c r="BY89" s="17">
        <f>(BY88*((1+Table2[Self-sufficiency discount rate, from 2037])^0.5)-Table2[Annual benefit payments (ongoing scheme)]*1.005^(Table2[Year]-2038))*(1+Table2[Self-sufficiency discount rate, from 2037])^0.5</f>
        <v>35.625431390525783</v>
      </c>
      <c r="BZ89" s="17">
        <f>(BZ88*((1+Table2[Discount rate B])^0.5)-Table2[Annual benefit payments (ongoing scheme)])*(1+Table2[Discount rate B])^0.5</f>
        <v>25.400045085965928</v>
      </c>
      <c r="CA89" s="17">
        <f>(CA88*((1+Table2[Discount rate A2])^0.5)+Table2[Net cashflow (ongoing scheme)])*(1+Table2[Discount rate A2])^0.5</f>
        <v>25.42638159548174</v>
      </c>
      <c r="CB89" s="17">
        <f>Table2[[#This Row],[Asset growth, ongoing scheme, with November de-risking, net of contributions and payments]]/(1+Table2[Compounded discount rate A2])</f>
        <v>2.6462068696777967</v>
      </c>
      <c r="CC89" s="17">
        <f>Table2[[#This Row],[Asset growth, ongoing scheme, with November de-risking, net of contributions and payments]]/(1+Table2[Compounded CPI])</f>
        <v>6.2601404777422145</v>
      </c>
      <c r="CD89" s="17">
        <f>(CD88*((1+Table2[Discount rate A1])^0.5)+Table2[Net cashflow (ongoing scheme)])*(1+Table2[Discount rate A1])^0.5</f>
        <v>56.459145070393305</v>
      </c>
      <c r="CE89" s="17">
        <f>Table2[[#This Row],[Asset growth, ongoing scheme, with September de-risking, net of contributions and payments]]/(1+Table2[Compounded discount rate A1])</f>
        <v>5.5809562166015576</v>
      </c>
      <c r="CF89" s="17">
        <f>Table2[[#This Row],[Asset growth, ongoing scheme, with September de-risking, net of contributions and payments]]/(1+Table2[Compounded CPI])</f>
        <v>13.900608628350623</v>
      </c>
      <c r="CG89" s="17">
        <f>(CG88*((1+Table2[Discount rate B])^0.5)+Table2[Net cashflow (ongoing scheme)])*(1+Table2[Discount rate B])^0.5</f>
        <v>286.18631275317057</v>
      </c>
      <c r="CH89" s="17">
        <f>Table2[[#This Row],[Asset growth, ongoing scheme, no de-risking, net of contributions and payments]]/(1+Table2[Compounded discount rate B])</f>
        <v>16.796560057513428</v>
      </c>
      <c r="CI89" s="17">
        <f>Table2[[#This Row],[Asset growth, ongoing scheme, no de-risking, net of contributions and payments]]/(1+Table2[Compounded CPI])</f>
        <v>70.460931057538957</v>
      </c>
      <c r="CJ89" s="17">
        <f>(CJ88*((1+Table2[Discount rate E])^0.5)+Table2[Net cashflow (ongoing scheme)])*(1+Table2[Discount rate E])^0.5</f>
        <v>1204.3352081966523</v>
      </c>
      <c r="CK89" s="17">
        <f>Table2[[#This Row],[Asset growth, ongoing scheme, best-estimates, no de-risking, net of contributions and payments ]]/(1+Table2[Compounded discount rate E])</f>
        <v>32.575350278194513</v>
      </c>
      <c r="CL89" s="17">
        <f>Table2[[#This Row],[Asset growth, ongoing scheme, best-estimates, no de-risking, net of contributions and payments ]]/(1+Table2[Compounded CPI])</f>
        <v>296.51515915822222</v>
      </c>
      <c r="CM89" s="9">
        <f t="shared" si="24"/>
        <v>2.7699999999999999E-2</v>
      </c>
      <c r="CN89" s="11">
        <f>(1+Table2[[#This Row],[CPI]])*(1+CN88)-1</f>
        <v>3.0616311544261112</v>
      </c>
      <c r="CO89" s="11">
        <f t="shared" si="23"/>
        <v>1.8100000000000002E-2</v>
      </c>
      <c r="CP89" s="11">
        <f>Table2[[#This Row],[CPI]]+2%</f>
        <v>4.7699999999999999E-2</v>
      </c>
      <c r="CQ89" s="26">
        <f>(1+Table2[[#This Row],[Salary growth]])*(1+CQ88)-1</f>
        <v>12.90898052010456</v>
      </c>
      <c r="CR89" s="15">
        <f t="shared" ref="CR89:CR120" si="25">CR88*(1+CM89)</f>
        <v>40.616311544261094</v>
      </c>
      <c r="CS89" s="17">
        <f t="shared" ref="CS89:CS120" si="26">CS88*(1+CM89)</f>
        <v>52.801205007539423</v>
      </c>
      <c r="CT89" s="17">
        <f>CT88*(1+Table2[[#This Row],[Salary growth]])</f>
        <v>139.08980520104564</v>
      </c>
      <c r="CU89" s="19">
        <f t="shared" si="22"/>
        <v>180.81674676135927</v>
      </c>
      <c r="CV89" s="112">
        <f>('Cash flows as at 31032017'!B74)/1000000000</f>
        <v>0.22435253399999999</v>
      </c>
      <c r="CW89" s="113">
        <v>0</v>
      </c>
      <c r="CX89" s="113">
        <f>Table2[[#This Row],[Annual contributions (closed scheme)]]-Table2[[#This Row],[Annual benefit payments (closed scheme)]]</f>
        <v>-0.22435253399999999</v>
      </c>
      <c r="CY89" s="113">
        <v>3.34</v>
      </c>
      <c r="CZ89" s="113">
        <v>0</v>
      </c>
      <c r="DA89" s="113">
        <v>-3.34</v>
      </c>
      <c r="DB89" s="17"/>
      <c r="DC89" s="84"/>
      <c r="DD89" s="84"/>
      <c r="DE89" s="84"/>
      <c r="DF89" s="84"/>
      <c r="DG89" s="84"/>
      <c r="DH89" s="84"/>
      <c r="DI89" s="84"/>
      <c r="DJ89" s="84"/>
      <c r="DK89" s="84"/>
      <c r="DL89" s="84"/>
      <c r="DM89" s="84"/>
      <c r="DN89" s="84"/>
      <c r="DO89" s="84"/>
      <c r="DP89" s="84"/>
      <c r="DQ89" s="84"/>
      <c r="DR89" s="84"/>
      <c r="DS89" s="84"/>
      <c r="DT89" s="84"/>
      <c r="DU89" s="84"/>
      <c r="DV89" s="84"/>
      <c r="DW89" s="84"/>
      <c r="DX89" s="84"/>
      <c r="DY89" s="84"/>
      <c r="DZ89" s="84"/>
      <c r="EA89" s="84"/>
      <c r="EB89" s="84"/>
      <c r="EC89" s="84"/>
      <c r="ED89" s="84"/>
      <c r="EE89" s="84"/>
      <c r="EF89" s="84"/>
      <c r="EG89" s="84"/>
      <c r="EH89" s="84"/>
      <c r="EI89" s="84"/>
      <c r="EJ89" s="84"/>
      <c r="EK89" s="84"/>
      <c r="EL89" s="84"/>
      <c r="EM89" s="84"/>
      <c r="EN89" s="84"/>
      <c r="EO89" s="84"/>
      <c r="EP89" s="84"/>
      <c r="EQ89" s="84"/>
      <c r="ER89" s="84"/>
      <c r="ES89" s="84"/>
      <c r="ET89" s="84"/>
      <c r="EU89" s="84"/>
      <c r="EV89" s="84"/>
      <c r="EW89" s="84"/>
      <c r="EX89" s="84"/>
      <c r="EY89" s="84"/>
      <c r="EZ89" s="84"/>
      <c r="FA89" s="84"/>
      <c r="FB89" s="84"/>
      <c r="FC89" s="84"/>
      <c r="FD89" s="84"/>
      <c r="FE89" s="84"/>
      <c r="FF89" s="84"/>
      <c r="FG89" s="84"/>
      <c r="FH89" s="84"/>
      <c r="FI89" s="84"/>
      <c r="FJ89" s="84"/>
      <c r="FK89" s="84"/>
      <c r="FL89" s="84"/>
      <c r="FM89" s="84"/>
      <c r="FN89" s="84"/>
      <c r="FO89" s="84"/>
      <c r="FP89" s="84"/>
    </row>
    <row r="90" spans="1:179" x14ac:dyDescent="0.2">
      <c r="A90" s="8">
        <v>2083</v>
      </c>
      <c r="B90" s="67"/>
      <c r="C90" s="67"/>
      <c r="D90" s="67"/>
      <c r="E90" s="35">
        <v>6.0999999999999999E-2</v>
      </c>
      <c r="F90" s="16">
        <f>F89*(1+Table2[[#This Row],[2008 discount rate]])</f>
        <v>2859.5349133645177</v>
      </c>
      <c r="G90" s="18">
        <v>6.0999999999999999E-2</v>
      </c>
      <c r="H90" s="16">
        <f>H89*(1+Table2[[#This Row],[2011 discount rate]])</f>
        <v>2349.8550524019315</v>
      </c>
      <c r="I90" s="18">
        <v>5.1999999999999998E-2</v>
      </c>
      <c r="J90" s="16">
        <f>J89*(1+Table2[[#This Row],[2014 discount rate]])</f>
        <v>1377.8479510343773</v>
      </c>
      <c r="K90" s="9">
        <f>Table2[CPI]+1.7%</f>
        <v>4.4700000000000004E-2</v>
      </c>
      <c r="L90" s="66">
        <f t="shared" si="21"/>
        <v>9.568595517661425</v>
      </c>
      <c r="M90" s="17">
        <f>Table2[[#This Row],[Annual benefit payments (closed scheme)]]/((1+L89)*(1+Table2[[#This Row],[Discount rate A1]])^0.5)+M89</f>
        <v>64.863667154214056</v>
      </c>
      <c r="N90" s="17">
        <f>N89*(1+Table2[Discount rate A1])</f>
        <v>686.14036872875272</v>
      </c>
      <c r="O90" s="17">
        <f>Table2[[#This Row],[Asset growth A1, under the assumption of full-funding at Year 0]]/(1+Table2[[#This Row],[Compounded CPI]])</f>
        <v>164.3789240477179</v>
      </c>
      <c r="P90" s="17">
        <f>(P89*((1+Table2[Discount rate A1])^0.5)-Table2[Annual benefit payments (closed scheme)])*(1+Table2[Discount rate A1])^0.5</f>
        <v>0.62250678364260914</v>
      </c>
      <c r="Q90" s="17">
        <f>Table2[[#This Row],[Asset growth A1 with benefit payments deducted]]/(1+Table2[Compounded CPI])</f>
        <v>0.14913420048023709</v>
      </c>
      <c r="R90" s="17">
        <f>Table2[[#This Row],[Asset growth A1 with benefit payments deducted]]/(1+Table2[Compounded discount rate A1])</f>
        <v>5.8901561953272182E-2</v>
      </c>
      <c r="S90" s="9">
        <f>Table2[CPI]+1.7%</f>
        <v>4.4700000000000004E-2</v>
      </c>
      <c r="T90" s="18">
        <f t="shared" si="20"/>
        <v>9.0381195276823121</v>
      </c>
      <c r="U90" s="17">
        <f>Table2[[#This Row],[Annual benefit payments (closed scheme)]]/((1+T89)*(1+Table2[[#This Row],[Discount rate A2]])^0.5)+U89</f>
        <v>67.449291750063608</v>
      </c>
      <c r="V90" s="17">
        <f>V89*(1+Table2[Discount rate A2])</f>
        <v>677.68655942829741</v>
      </c>
      <c r="W90" s="17">
        <f>Table2[[#This Row],[Asset growth A2, under the assumption of full-funding at Year 0]]/(1+Table2[Compounded CPI])</f>
        <v>162.35364155415456</v>
      </c>
      <c r="X90" s="17">
        <f>(X89*((1+Table2[Discount rate A2])^0.5)-Table2[Annual benefit payments (closed scheme)])*(1+Table2[Discount rate A2])^0.5</f>
        <v>0.62250678364280787</v>
      </c>
      <c r="Y90" s="17">
        <f>Table2[[#This Row],[Asset growth A2 with benefit payments deducted]]/(1+Table2[[#This Row],[Compounded CPI]])</f>
        <v>0.1491342004802847</v>
      </c>
      <c r="Z90" s="19">
        <f>Table2[[#This Row],[Asset growth A2 with benefit payments deducted]]/(1+Table2[Compounded discount rate A2])</f>
        <v>6.2014282847111864E-2</v>
      </c>
      <c r="AA90" s="82">
        <f>Table2[CPI]+2.8%</f>
        <v>5.57E-2</v>
      </c>
      <c r="AB90" s="18">
        <f t="shared" si="10"/>
        <v>16.987426552758638</v>
      </c>
      <c r="AC90" s="17">
        <f>Table2[[#This Row],[Annual benefit payments (closed scheme)]]/((1+AB89)*(1+Table2[[#This Row],[Discount rate B]])^0.5)+AC89</f>
        <v>60.393456065883669</v>
      </c>
      <c r="AD90" s="45">
        <f>AD89*(1+Table2[Discount rate B])</f>
        <v>1079.2455931655184</v>
      </c>
      <c r="AE90" s="16">
        <f>Table2[[#This Row],[Asset growth B]]/(1+Table2[Compounded CPI])</f>
        <v>258.55530074185361</v>
      </c>
      <c r="AF90" s="17">
        <f>(AF89*((1+Table2[Discount rate B])^0.5)-Table2[Annual benefit payments (closed scheme)])*(1+Table2[Discount rate B])^0.5</f>
        <v>-7.0772620868196316</v>
      </c>
      <c r="AG90" s="17">
        <f>Table2[[#This Row],[Asset growth B with benefit payments deducted]]/(1+Table2[Compounded CPI])</f>
        <v>-1.6955025240542554</v>
      </c>
      <c r="AH90" s="19">
        <f>Table2[[#This Row],[Asset growth B with benefit payments deducted]]/(1+Table2[Compounded discount rate B])</f>
        <v>-0.39345606588365634</v>
      </c>
      <c r="AI90" s="11">
        <f>Table2[CPI]+2.56%</f>
        <v>5.33E-2</v>
      </c>
      <c r="AJ90" s="18">
        <f t="shared" si="11"/>
        <v>18.678059255922459</v>
      </c>
      <c r="AK90" s="17">
        <f>Table2[[#This Row],[Annual benefit payments (closed scheme)]]/((1+AJ89)*(1+Table2[[#This Row],[Discount rate C]])^0.5)+AK89</f>
        <v>52.32264037470032</v>
      </c>
      <c r="AL90" s="17">
        <f>AL89*(1+Table2[Discount rate C])</f>
        <v>1180.6835553553476</v>
      </c>
      <c r="AM90" s="17">
        <f>Table2[[#This Row],[Asset growth C]]/(1+Table2[Compounded CPI])</f>
        <v>282.85683413399391</v>
      </c>
      <c r="AN90" s="17">
        <f>(AN89*((1+Table2[Discount rate C])^0.5)-Table2[Annual benefit payments (closed scheme)])*(1+Table2[Discount rate C])^0.5</f>
        <v>151.07553763567282</v>
      </c>
      <c r="AO90" s="17">
        <f>Table2[[#This Row],[Asset growth C with benefit payments deducted]]/(1+Table2[Compounded CPI])</f>
        <v>36.193227302006662</v>
      </c>
      <c r="AP90" s="19">
        <f>Table2[[#This Row],[Asset growth C with benefit payments deducted]]/(1+Table2[Compounded discount rate C])</f>
        <v>7.6773596252996326</v>
      </c>
      <c r="AQ90" s="11">
        <f>Table2[CPI]+2.56%</f>
        <v>5.33E-2</v>
      </c>
      <c r="AR90" s="18">
        <f t="shared" si="12"/>
        <v>17.419984337221091</v>
      </c>
      <c r="AS90" s="17">
        <f>Table2[[#This Row],[Annual benefit payments (closed scheme)]]/((1+AR89)*(1+Table2[[#This Row],[Discount rate D]])^0.5)+AS89</f>
        <v>54.820029696638834</v>
      </c>
      <c r="AT90" s="16">
        <f>AT89*(1+Table2[Discount rate D])</f>
        <v>1105.1990602332651</v>
      </c>
      <c r="AU90" s="17">
        <f>Table2[[#This Row],[Asset growth D]]/(1+Table2[Compounded CPI])</f>
        <v>264.77298328370478</v>
      </c>
      <c r="AV90" s="17">
        <f>(AV89*((1+Table2[Discount rate D])^0.5)-Table2[Annual benefit payments (closed scheme)])*(1+Table2[Discount rate D])^0.5</f>
        <v>95.414971855183154</v>
      </c>
      <c r="AW90" s="17">
        <f>Table2[[#This Row],[Asset growth D with benefit payments deducted]]/(1+Table2[Compounded CPI])</f>
        <v>22.858603175698917</v>
      </c>
      <c r="AX90" s="19">
        <f>Table2[[#This Row],[Asset growth D with benefit payments deducted]]/(1+Table2[Compounded discount rate D])</f>
        <v>5.1799703033611708</v>
      </c>
      <c r="AY90" s="11">
        <f>Table2[CPI]+4%</f>
        <v>6.7699999999999996E-2</v>
      </c>
      <c r="AZ90" s="18">
        <f t="shared" si="13"/>
        <v>38.473672295469015</v>
      </c>
      <c r="BA90" s="17">
        <f>Table2[[#This Row],[Annual benefit payments (closed scheme)]]/((1+AZ89)*(1+Table2[[#This Row],[Discount rate E]])^0.5)+BA89</f>
        <v>48.282877900112837</v>
      </c>
      <c r="BB90" s="17">
        <f>BB89*(1+Table2[Discount rate E])</f>
        <v>2368.4203377281433</v>
      </c>
      <c r="BC90" s="16">
        <f>Table2[[#This Row],[Asset growth E]]/(1+Table2[Compounded CPI])</f>
        <v>567.40341270080773</v>
      </c>
      <c r="BD90" s="17">
        <f>(BD89*((1+Table2[Discount rate E])^0.5)-Table2[Annual benefit payments (closed scheme)])*(1+Table2[Discount rate E])^0.5</f>
        <v>462.51783801694341</v>
      </c>
      <c r="BE90" s="17">
        <f>Table2[[#This Row],[Asset growth E with benefit payments deducted]]/(1+Table2[Compounded CPI])</f>
        <v>110.80558444180035</v>
      </c>
      <c r="BF90" s="19">
        <f>Table2[[#This Row],[Asset growth E with benefit payments deducted]]/(1+Table2[Compounded discount rate E])</f>
        <v>11.717122099887158</v>
      </c>
      <c r="BG90" s="11">
        <f>Table2[[#This Row],[Long-dated forward gilt yields]]+0.75%</f>
        <v>2.5600000000000001E-2</v>
      </c>
      <c r="BH90" s="11">
        <f t="shared" si="14"/>
        <v>3.6220210065081622</v>
      </c>
      <c r="BI90" s="17">
        <f>((Table2[[#This Row],[Annual benefit payments (closed scheme)]])*1.005^(Table2[[#This Row],[Year]]-2018))/((1+BH89)*(1+Table2[[#This Row],[Discount rate F]])^0.5)+BI89</f>
        <v>82.141079680429357</v>
      </c>
      <c r="BJ90" s="17">
        <f>BJ89*(1+Table2[Discount rate F])</f>
        <v>380.5933629812568</v>
      </c>
      <c r="BK90" s="17">
        <f>Table2[[#This Row],[Asset growth F, under the assumption of full-funding at Year 0]]/(1+Table2[[#This Row],[Compounded CPI]])</f>
        <v>91.178905013958698</v>
      </c>
      <c r="BL90" s="17">
        <f>(BL89*((1+Table2[Discount rate F])^0.5)-Table2[Annual benefit payments (closed scheme)]*1.005^(Table2[Year]-2018))*(1+Table2[Discount rate F])^0.5</f>
        <v>0.93556720105156033</v>
      </c>
      <c r="BM90" s="17">
        <f>Table2[[#This Row],[Asset growth F with benefit payments deducted]]/(1+Table2[Compounded CPI])</f>
        <v>0.22413421056703087</v>
      </c>
      <c r="BN90" s="19">
        <f>Table2[[#This Row],[Asset growth F with benefit payments deducted]]/(1+Table2[Compounded discount rate F])</f>
        <v>0.20241517719937005</v>
      </c>
      <c r="BO90" s="18">
        <f>(1+BO89)*(1+Table2[Discount rate A2])-1</f>
        <v>4.6454912298115838</v>
      </c>
      <c r="BP90" s="17">
        <f>Table2[[#This Row],[Annual benefit payments (ongoing scheme)]]/((1+BO89)*(1+Table2[[#This Row],[Discount rate A2]])^0.5)+BP89</f>
        <v>108.04334932082351</v>
      </c>
      <c r="BQ90" s="17">
        <f>(BQ89*((1+Table2[Discount rate A2])^0.5)-Table2[Annual benefit payments (ongoing scheme)])*(1+Table2[Discount rate A2])^0.5</f>
        <v>25.211769463209148</v>
      </c>
      <c r="BR90" s="18">
        <f>(1+BR89)*(1+Table2[Discount rate B])-1</f>
        <v>8.1670638106541613</v>
      </c>
      <c r="BS90" s="17">
        <f>Table2[[#This Row],[Annual benefit payments (ongoing scheme)]]/((1+BR89)*(1+Table2[[#This Row],[Discount rate B]])^0.5)+BS89</f>
        <v>90.940876767980114</v>
      </c>
      <c r="BT90" s="18">
        <f>(1+BT89)*(1+Table2[Discount rate E])-1</f>
        <v>14.466614929310529</v>
      </c>
      <c r="BU90" s="17">
        <f>Table2[[#This Row],[Annual benefit payments (ongoing scheme)]]/((1+BT89)*(1+Table2[[#This Row],[Discount rate E]])^0.5)+BU89</f>
        <v>76.716826048887384</v>
      </c>
      <c r="BV90" s="18">
        <f>Table2[CPI]+0.75%+0.75%</f>
        <v>4.2699999999999995E-2</v>
      </c>
      <c r="BW90" s="18">
        <f>(1+BW89)*(1+Table2[Self-sufficiency discount rate, from 2037])-1</f>
        <v>4.1663557374008162</v>
      </c>
      <c r="BX90" s="17">
        <f>(Table2[[#This Row],[Annual benefit payments (ongoing scheme)]]*1.005^(Table2[[#This Row],[Year]]-2038))/((1+BW89)*(1+Table2[[#This Row],[Self-sufficiency discount rate, from 2037]])^0.5)+BX89</f>
        <v>121.63967042858887</v>
      </c>
      <c r="BY90" s="17">
        <f>(BY89*((1+Table2[Self-sufficiency discount rate, from 2037])^0.5)-Table2[Annual benefit payments (ongoing scheme)]*1.005^(Table2[Year]-2038))*(1+Table2[Self-sufficiency discount rate, from 2037])^0.5</f>
        <v>33.120736973203449</v>
      </c>
      <c r="BZ90" s="17">
        <f>(BZ89*((1+Table2[Discount rate B])^0.5)-Table2[Annual benefit payments (ongoing scheme)])*(1+Table2[Discount rate B])^0.5</f>
        <v>23.578288821030469</v>
      </c>
      <c r="CA90" s="17">
        <f>(CA89*((1+Table2[Discount rate A2])^0.5)+Table2[Net cashflow (ongoing scheme)])*(1+Table2[Discount rate A2])^0.5</f>
        <v>23.343307993295447</v>
      </c>
      <c r="CB90" s="17">
        <f>Table2[[#This Row],[Asset growth, ongoing scheme, with November de-risking, net of contributions and payments]]/(1+Table2[Compounded discount rate A2])</f>
        <v>2.3254662318894654</v>
      </c>
      <c r="CC90" s="17">
        <f>Table2[[#This Row],[Asset growth, ongoing scheme, with November de-risking, net of contributions and payments]]/(1+Table2[Compounded CPI])</f>
        <v>5.5923656827854016</v>
      </c>
      <c r="CD90" s="17">
        <f>(CD89*((1+Table2[Discount rate A1])^0.5)+Table2[Net cashflow (ongoing scheme)])*(1+Table2[Discount rate A1])^0.5</f>
        <v>55.76323599553556</v>
      </c>
      <c r="CE90" s="17">
        <f>Table2[[#This Row],[Asset growth, ongoing scheme, with September de-risking, net of contributions and payments]]/(1+Table2[Compounded discount rate A1])</f>
        <v>5.276314710156929</v>
      </c>
      <c r="CF90" s="17">
        <f>Table2[[#This Row],[Asset growth, ongoing scheme, with September de-risking, net of contributions and payments]]/(1+Table2[Compounded CPI])</f>
        <v>13.359220871012125</v>
      </c>
      <c r="CG90" s="17">
        <f>(CG89*((1+Table2[Discount rate B])^0.5)+Table2[Net cashflow (ongoing scheme)])*(1+Table2[Discount rate B])^0.5</f>
        <v>298.89035159729843</v>
      </c>
      <c r="CH90" s="17">
        <f>Table2[[#This Row],[Asset growth, ongoing scheme, no de-risking, net of contributions and payments]]/(1+Table2[Compounded discount rate B])</f>
        <v>16.616626659774141</v>
      </c>
      <c r="CI90" s="17">
        <f>Table2[[#This Row],[Asset growth, ongoing scheme, no de-risking, net of contributions and payments]]/(1+Table2[Compounded CPI])</f>
        <v>71.605281722216745</v>
      </c>
      <c r="CJ90" s="17">
        <f>(CJ89*((1+Table2[Discount rate E])^0.5)+Table2[Net cashflow (ongoing scheme)])*(1+Table2[Discount rate E])^0.5</f>
        <v>1282.6138203421115</v>
      </c>
      <c r="CK90" s="17">
        <f>Table2[[#This Row],[Asset growth, ongoing scheme, best-estimates, no de-risking, net of contributions and payments ]]/(1+Table2[Compounded discount rate E])</f>
        <v>32.492893256585511</v>
      </c>
      <c r="CL90" s="17">
        <f>Table2[[#This Row],[Asset growth, ongoing scheme, best-estimates, no de-risking, net of contributions and payments ]]/(1+Table2[Compounded CPI])</f>
        <v>307.276308705161</v>
      </c>
      <c r="CM90" s="9">
        <f t="shared" si="24"/>
        <v>2.7699999999999999E-2</v>
      </c>
      <c r="CN90" s="11">
        <f>(1+Table2[[#This Row],[CPI]])*(1+CN89)-1</f>
        <v>3.1741383374037149</v>
      </c>
      <c r="CO90" s="11">
        <f t="shared" si="23"/>
        <v>1.8100000000000002E-2</v>
      </c>
      <c r="CP90" s="11">
        <f>Table2[[#This Row],[CPI]]+2%</f>
        <v>4.7699999999999999E-2</v>
      </c>
      <c r="CQ90" s="26">
        <f>(1+Table2[[#This Row],[Salary growth]])*(1+CQ89)-1</f>
        <v>13.572438890913549</v>
      </c>
      <c r="CR90" s="15">
        <f t="shared" si="25"/>
        <v>41.741383374037127</v>
      </c>
      <c r="CS90" s="17">
        <f t="shared" si="26"/>
        <v>54.263798386248268</v>
      </c>
      <c r="CT90" s="17">
        <f>CT89*(1+Table2[[#This Row],[Salary growth]])</f>
        <v>145.72438890913551</v>
      </c>
      <c r="CU90" s="19">
        <f t="shared" si="22"/>
        <v>189.44170558187611</v>
      </c>
      <c r="CV90" s="112">
        <f>('Cash flows as at 31032017'!B75)/1000000000</f>
        <v>0.18780302500000001</v>
      </c>
      <c r="CW90" s="113">
        <v>0</v>
      </c>
      <c r="CX90" s="113">
        <f>Table2[[#This Row],[Annual contributions (closed scheme)]]-Table2[[#This Row],[Annual benefit payments (closed scheme)]]</f>
        <v>-0.18780302500000001</v>
      </c>
      <c r="CY90" s="113">
        <v>3.15</v>
      </c>
      <c r="CZ90" s="113">
        <v>0</v>
      </c>
      <c r="DA90" s="113">
        <v>-3.15</v>
      </c>
      <c r="DB90" s="17"/>
      <c r="DC90" s="84"/>
      <c r="DD90" s="84"/>
      <c r="DE90" s="84"/>
      <c r="DF90" s="84"/>
      <c r="DG90" s="84"/>
      <c r="DH90" s="84"/>
      <c r="DI90" s="84"/>
      <c r="DJ90" s="84"/>
      <c r="DK90" s="84"/>
      <c r="DL90" s="84"/>
      <c r="DM90" s="84"/>
      <c r="DN90" s="84"/>
      <c r="DO90" s="84"/>
      <c r="DP90" s="84"/>
      <c r="DQ90" s="84"/>
      <c r="DR90" s="84"/>
      <c r="DS90" s="84"/>
      <c r="DT90" s="84"/>
      <c r="DU90" s="84"/>
      <c r="DV90" s="84"/>
      <c r="DW90" s="84"/>
      <c r="DX90" s="84"/>
      <c r="DY90" s="84"/>
      <c r="DZ90" s="84"/>
      <c r="EA90" s="84"/>
      <c r="EB90" s="84"/>
      <c r="EC90" s="84"/>
      <c r="ED90" s="84"/>
      <c r="EE90" s="84"/>
      <c r="EF90" s="84"/>
      <c r="EG90" s="84"/>
      <c r="EH90" s="84"/>
      <c r="EI90" s="84"/>
      <c r="EJ90" s="84"/>
      <c r="EK90" s="84"/>
      <c r="EL90" s="84"/>
      <c r="EM90" s="84"/>
      <c r="EN90" s="84"/>
      <c r="EO90" s="84"/>
      <c r="EP90" s="84"/>
      <c r="EQ90" s="84"/>
      <c r="ER90" s="84"/>
      <c r="ES90" s="84"/>
      <c r="ET90" s="84"/>
      <c r="EU90" s="84"/>
      <c r="EV90" s="84"/>
      <c r="EW90" s="84"/>
      <c r="EX90" s="84"/>
      <c r="EY90" s="84"/>
      <c r="EZ90" s="84"/>
      <c r="FA90" s="84"/>
      <c r="FB90" s="84"/>
      <c r="FC90" s="84"/>
      <c r="FD90" s="84"/>
      <c r="FE90" s="84"/>
      <c r="FF90" s="84"/>
      <c r="FG90" s="84"/>
      <c r="FH90" s="84"/>
      <c r="FI90" s="84"/>
      <c r="FJ90" s="84"/>
      <c r="FK90" s="84"/>
      <c r="FL90" s="84"/>
      <c r="FM90" s="84"/>
      <c r="FN90" s="84"/>
      <c r="FO90" s="84"/>
      <c r="FP90" s="84"/>
      <c r="FQ90" s="84"/>
    </row>
    <row r="91" spans="1:179" x14ac:dyDescent="0.2">
      <c r="A91" s="8">
        <v>2084</v>
      </c>
      <c r="B91" s="67"/>
      <c r="C91" s="67"/>
      <c r="D91" s="67"/>
      <c r="E91" s="35">
        <v>6.0999999999999999E-2</v>
      </c>
      <c r="F91" s="16">
        <f>F90*(1+Table2[[#This Row],[2008 discount rate]])</f>
        <v>3033.9665430797531</v>
      </c>
      <c r="G91" s="18">
        <v>6.0999999999999999E-2</v>
      </c>
      <c r="H91" s="16">
        <f>H90*(1+Table2[[#This Row],[2011 discount rate]])</f>
        <v>2493.1962105984494</v>
      </c>
      <c r="I91" s="18">
        <v>5.1999999999999998E-2</v>
      </c>
      <c r="J91" s="16">
        <f>J90*(1+Table2[[#This Row],[2014 discount rate]])</f>
        <v>1449.4960444881649</v>
      </c>
      <c r="K91" s="9">
        <f>Table2[CPI]+1.7%</f>
        <v>4.4700000000000004E-2</v>
      </c>
      <c r="L91" s="66">
        <f t="shared" si="21"/>
        <v>10.04101173730089</v>
      </c>
      <c r="M91" s="17">
        <f>Table2[[#This Row],[Annual benefit payments (closed scheme)]]/((1+L90)*(1+Table2[[#This Row],[Discount rate A1]])^0.5)+M90</f>
        <v>64.878050859403757</v>
      </c>
      <c r="N91" s="17">
        <f>N90*(1+Table2[Discount rate A1])</f>
        <v>716.81084321092794</v>
      </c>
      <c r="O91" s="17">
        <f>Table2[[#This Row],[Asset growth A1, under the assumption of full-funding at Year 0]]/(1+Table2[[#This Row],[Compounded CPI]])</f>
        <v>167.09804607633635</v>
      </c>
      <c r="P91" s="17">
        <f>(P90*((1+Table2[Discount rate A1])^0.5)-Table2[Annual benefit payments (closed scheme)])*(1+Table2[Discount rate A1])^0.5</f>
        <v>0.49152217904600748</v>
      </c>
      <c r="Q91" s="17">
        <f>Table2[[#This Row],[Asset growth A1 with benefit payments deducted]]/(1+Table2[Compounded CPI])</f>
        <v>0.11458029199706569</v>
      </c>
      <c r="R91" s="17">
        <f>Table2[[#This Row],[Asset growth A1 with benefit payments deducted]]/(1+Table2[Compounded discount rate A1])</f>
        <v>4.4517856763565587E-2</v>
      </c>
      <c r="S91" s="9">
        <f>Table2[CPI]+1.7%</f>
        <v>4.4700000000000004E-2</v>
      </c>
      <c r="T91" s="18">
        <f t="shared" si="20"/>
        <v>9.4868234705697105</v>
      </c>
      <c r="U91" s="17">
        <f>Table2[[#This Row],[Annual benefit payments (closed scheme)]]/((1+T90)*(1+Table2[[#This Row],[Discount rate A2]])^0.5)+U90</f>
        <v>67.464435578723553</v>
      </c>
      <c r="V91" s="17">
        <f>V90*(1+Table2[Discount rate A2])</f>
        <v>707.97914863474227</v>
      </c>
      <c r="W91" s="17">
        <f>Table2[[#This Row],[Asset growth A2, under the assumption of full-funding at Year 0]]/(1+Table2[Compounded CPI])</f>
        <v>165.03926178031065</v>
      </c>
      <c r="X91" s="17">
        <f>(X90*((1+Table2[Discount rate A2])^0.5)-Table2[Annual benefit payments (closed scheme)])*(1+Table2[Discount rate A2])^0.5</f>
        <v>0.49152217904621515</v>
      </c>
      <c r="Y91" s="17">
        <f>Table2[[#This Row],[Asset growth A2 with benefit payments deducted]]/(1+Table2[[#This Row],[Compounded CPI]])</f>
        <v>0.11458029199711411</v>
      </c>
      <c r="Z91" s="19">
        <f>Table2[[#This Row],[Asset growth A2 with benefit payments deducted]]/(1+Table2[Compounded discount rate A2])</f>
        <v>4.687045418716413E-2</v>
      </c>
      <c r="AA91" s="82">
        <f>Table2[CPI]+2.8%</f>
        <v>5.57E-2</v>
      </c>
      <c r="AB91" s="18">
        <f t="shared" ref="AB91:AB98" si="27">(1+AB90)*(1+AA91)-1</f>
        <v>17.989326211747297</v>
      </c>
      <c r="AC91" s="17">
        <f>Table2[[#This Row],[Annual benefit payments (closed scheme)]]/((1+AB90)*(1+Table2[[#This Row],[Discount rate B]])^0.5)+AC90</f>
        <v>60.401863133743333</v>
      </c>
      <c r="AD91" s="45">
        <f>AD90*(1+Table2[Discount rate B])</f>
        <v>1139.3595727048378</v>
      </c>
      <c r="AE91" s="16">
        <f>Table2[[#This Row],[Asset growth B]]/(1+Table2[Compounded CPI])</f>
        <v>265.59971878288883</v>
      </c>
      <c r="AF91" s="17">
        <f>(AF90*((1+Table2[Discount rate B])^0.5)-Table2[Annual benefit payments (closed scheme)])*(1+Table2[Discount rate B])^0.5</f>
        <v>-7.63111013912701</v>
      </c>
      <c r="AG91" s="17">
        <f>Table2[[#This Row],[Asset growth B with benefit payments deducted]]/(1+Table2[Compounded CPI])</f>
        <v>-1.7789122551906211</v>
      </c>
      <c r="AH91" s="19">
        <f>Table2[[#This Row],[Asset growth B with benefit payments deducted]]/(1+Table2[Compounded discount rate B])</f>
        <v>-0.40186313374332389</v>
      </c>
      <c r="AI91" s="11">
        <f>Table2[CPI]+2.56%</f>
        <v>5.33E-2</v>
      </c>
      <c r="AJ91" s="18">
        <f t="shared" ref="AJ91:AJ98" si="28">(1+AJ90)*(1+AI91)-1</f>
        <v>19.726899814263124</v>
      </c>
      <c r="AK91" s="17">
        <f>Table2[[#This Row],[Annual benefit payments (closed scheme)]]/((1+AJ90)*(1+Table2[[#This Row],[Discount rate C]])^0.5)+AK90</f>
        <v>52.330333902745011</v>
      </c>
      <c r="AL91" s="17">
        <f>AL90*(1+Table2[Discount rate C])</f>
        <v>1243.6139888557875</v>
      </c>
      <c r="AM91" s="17">
        <f>Table2[[#This Row],[Asset growth C]]/(1+Table2[Compounded CPI])</f>
        <v>289.90279594564146</v>
      </c>
      <c r="AN91" s="17">
        <f>(AN90*((1+Table2[Discount rate C])^0.5)-Table2[Annual benefit payments (closed scheme)])*(1+Table2[Discount rate C])^0.5</f>
        <v>158.96840080665368</v>
      </c>
      <c r="AO91" s="17">
        <f>Table2[[#This Row],[Asset growth C with benefit payments deducted]]/(1+Table2[Compounded CPI])</f>
        <v>37.057627426061735</v>
      </c>
      <c r="AP91" s="19">
        <f>Table2[[#This Row],[Asset growth C with benefit payments deducted]]/(1+Table2[Compounded discount rate C])</f>
        <v>7.669666097254944</v>
      </c>
      <c r="AQ91" s="11">
        <f>Table2[CPI]+2.56%</f>
        <v>5.33E-2</v>
      </c>
      <c r="AR91" s="18">
        <f t="shared" ref="AR91:AR98" si="29">(1+AR90)*(1+AQ91)-1</f>
        <v>18.401769502394973</v>
      </c>
      <c r="AS91" s="17">
        <f>Table2[[#This Row],[Annual benefit payments (closed scheme)]]/((1+AR90)*(1+Table2[[#This Row],[Discount rate D]])^0.5)+AS90</f>
        <v>54.828248688467426</v>
      </c>
      <c r="AT91" s="16">
        <f>AT90*(1+Table2[Discount rate D])</f>
        <v>1164.1061701436979</v>
      </c>
      <c r="AU91" s="17">
        <f>Table2[[#This Row],[Asset growth D]]/(1+Table2[Compounded CPI])</f>
        <v>271.36847649384663</v>
      </c>
      <c r="AV91" s="17">
        <f>(AV90*((1+Table2[Discount rate D])^0.5)-Table2[Annual benefit payments (closed scheme)])*(1+Table2[Discount rate D])^0.5</f>
        <v>100.34112687006392</v>
      </c>
      <c r="AW91" s="17">
        <f>Table2[[#This Row],[Asset growth D with benefit payments deducted]]/(1+Table2[Compounded CPI])</f>
        <v>23.390837903594143</v>
      </c>
      <c r="AX91" s="19">
        <f>Table2[[#This Row],[Asset growth D with benefit payments deducted]]/(1+Table2[Compounded discount rate D])</f>
        <v>5.1717513115325753</v>
      </c>
      <c r="AY91" s="11">
        <f>Table2[CPI]+4%</f>
        <v>6.7699999999999996E-2</v>
      </c>
      <c r="AZ91" s="18">
        <f t="shared" ref="AZ91:AZ98" si="30">(1+AZ90)*(1+AY91)-1</f>
        <v>41.146039909872272</v>
      </c>
      <c r="BA91" s="17">
        <f>Table2[[#This Row],[Annual benefit payments (closed scheme)]]/((1+AZ90)*(1+Table2[[#This Row],[Discount rate E]])^0.5)+BA90</f>
        <v>48.286687257283461</v>
      </c>
      <c r="BB91" s="17">
        <f>BB90*(1+Table2[Discount rate E])</f>
        <v>2528.7623945923388</v>
      </c>
      <c r="BC91" s="16">
        <f>Table2[[#This Row],[Asset growth E]]/(1+Table2[Compounded CPI])</f>
        <v>589.4878113658192</v>
      </c>
      <c r="BD91" s="17">
        <f>(BD90*((1+Table2[Discount rate E])^0.5)-Table2[Annual benefit payments (closed scheme)])*(1+Table2[Discount rate E])^0.5</f>
        <v>493.66974633134629</v>
      </c>
      <c r="BE91" s="17">
        <f>Table2[[#This Row],[Asset growth E with benefit payments deducted]]/(1+Table2[Compounded CPI])</f>
        <v>115.08091820912202</v>
      </c>
      <c r="BF91" s="19">
        <f>Table2[[#This Row],[Asset growth E with benefit payments deducted]]/(1+Table2[Compounded discount rate E])</f>
        <v>11.71331274271653</v>
      </c>
      <c r="BG91" s="11">
        <f>Table2[[#This Row],[Long-dated forward gilt yields]]+0.75%</f>
        <v>2.5600000000000001E-2</v>
      </c>
      <c r="BH91" s="11">
        <f t="shared" ref="BH91:BH98" si="31">(1+BH90)*(1+BG91)-1</f>
        <v>3.740344744274771</v>
      </c>
      <c r="BI91" s="17">
        <f>((Table2[[#This Row],[Annual benefit payments (closed scheme)]])*1.005^(Table2[[#This Row],[Year]]-2018))/((1+BH90)*(1+Table2[[#This Row],[Discount rate F]])^0.5)+BI90</f>
        <v>82.187213881298192</v>
      </c>
      <c r="BJ91" s="17">
        <f>BJ90*(1+Table2[Discount rate F])</f>
        <v>390.33655307357702</v>
      </c>
      <c r="BK91" s="17">
        <f>Table2[[#This Row],[Asset growth F, under the assumption of full-funding at Year 0]]/(1+Table2[[#This Row],[Compounded CPI]])</f>
        <v>90.992590232865666</v>
      </c>
      <c r="BL91" s="17">
        <f>(BL90*((1+Table2[Discount rate F])^0.5)-Table2[Annual benefit payments (closed scheme)]*1.005^(Table2[Year]-2018))*(1+Table2[Discount rate F])^0.5</f>
        <v>0.74082570477861642</v>
      </c>
      <c r="BM91" s="17">
        <f>Table2[[#This Row],[Asset growth F with benefit payments deducted]]/(1+Table2[Compounded CPI])</f>
        <v>0.17269622652067659</v>
      </c>
      <c r="BN91" s="19">
        <f>Table2[[#This Row],[Asset growth F with benefit payments deducted]]/(1+Table2[Compounded discount rate F])</f>
        <v>0.15628097633054236</v>
      </c>
      <c r="BO91" s="18">
        <f>(1+BO90)*(1+Table2[Discount rate A2])-1</f>
        <v>4.8978446877841613</v>
      </c>
      <c r="BP91" s="17">
        <f>Table2[[#This Row],[Annual benefit payments (ongoing scheme)]]/((1+BO90)*(1+Table2[[#This Row],[Discount rate A2]])^0.5)+BP90</f>
        <v>108.57365208646108</v>
      </c>
      <c r="BQ91" s="17">
        <f>(BQ90*((1+Table2[Discount rate A2])^0.5)-Table2[Annual benefit payments (ongoing scheme)])*(1+Table2[Discount rate A2])^0.5</f>
        <v>23.211092208981821</v>
      </c>
      <c r="BR91" s="18">
        <f>(1+BR90)*(1+Table2[Discount rate B])-1</f>
        <v>8.6776692649075997</v>
      </c>
      <c r="BS91" s="17">
        <f>Table2[[#This Row],[Annual benefit payments (ongoing scheme)]]/((1+BR90)*(1+Table2[[#This Row],[Discount rate B]])^0.5)+BS90</f>
        <v>91.265755223080973</v>
      </c>
      <c r="BT91" s="18">
        <f>(1+BT90)*(1+Table2[Discount rate E])-1</f>
        <v>15.513704760024854</v>
      </c>
      <c r="BU91" s="17">
        <f>Table2[[#This Row],[Annual benefit payments (ongoing scheme)]]/((1+BT90)*(1+Table2[[#This Row],[Discount rate E]])^0.5)+BU90</f>
        <v>76.908296399275784</v>
      </c>
      <c r="BV91" s="18">
        <f>Table2[CPI]+0.75%+0.75%</f>
        <v>4.2699999999999995E-2</v>
      </c>
      <c r="BW91" s="18">
        <f>(1+BW90)*(1+Table2[Self-sufficiency discount rate, from 2037])-1</f>
        <v>4.386959127387831</v>
      </c>
      <c r="BX91" s="17">
        <f>(Table2[[#This Row],[Annual benefit payments (ongoing scheme)]]*1.005^(Table2[[#This Row],[Year]]-2038))/((1+BW90)*(1+Table2[[#This Row],[Self-sufficiency discount rate, from 2037]])^0.5)+BX90</f>
        <v>122.36928966160842</v>
      </c>
      <c r="BY91" s="17">
        <f>(BY90*((1+Table2[Self-sufficiency discount rate, from 2037])^0.5)-Table2[Annual benefit payments (ongoing scheme)]*1.005^(Table2[Year]-2038))*(1+Table2[Self-sufficiency discount rate, from 2037])^0.5</f>
        <v>30.604563455126858</v>
      </c>
      <c r="BZ91" s="17">
        <f>(BZ90*((1+Table2[Discount rate B])^0.5)-Table2[Annual benefit payments (ongoing scheme)])*(1+Table2[Discount rate B])^0.5</f>
        <v>21.747533268601643</v>
      </c>
      <c r="CA91" s="17">
        <f>(CA90*((1+Table2[Discount rate A2])^0.5)+Table2[Net cashflow (ongoing scheme)])*(1+Table2[Discount rate A2])^0.5</f>
        <v>21.25911051136298</v>
      </c>
      <c r="CB91" s="17">
        <f>Table2[[#This Row],[Asset growth, ongoing scheme, with November de-risking, net of contributions and payments]]/(1+Table2[Compounded discount rate A2])</f>
        <v>2.0272211667360174</v>
      </c>
      <c r="CC91" s="17">
        <f>Table2[[#This Row],[Asset growth, ongoing scheme, with November de-risking, net of contributions and payments]]/(1+Table2[Compounded CPI])</f>
        <v>4.9557785870774635</v>
      </c>
      <c r="CD91" s="17">
        <f>(CD90*((1+Table2[Discount rate A1])^0.5)+Table2[Net cashflow (ongoing scheme)])*(1+Table2[Discount rate A1])^0.5</f>
        <v>55.128209295303222</v>
      </c>
      <c r="CE91" s="17">
        <f>Table2[[#This Row],[Asset growth, ongoing scheme, with September de-risking, net of contributions and payments]]/(1+Table2[Compounded discount rate A1])</f>
        <v>4.9930396422873455</v>
      </c>
      <c r="CF91" s="17">
        <f>Table2[[#This Row],[Asset growth, ongoing scheme, with September de-risking, net of contributions and payments]]/(1+Table2[Compounded CPI])</f>
        <v>12.851111481054749</v>
      </c>
      <c r="CG91" s="17">
        <f>(CG90*((1+Table2[Discount rate B])^0.5)+Table2[Net cashflow (ongoing scheme)])*(1+Table2[Discount rate B])^0.5</f>
        <v>312.39447794150772</v>
      </c>
      <c r="CH91" s="17">
        <f>Table2[[#This Row],[Asset growth, ongoing scheme, no de-risking, net of contributions and payments]]/(1+Table2[Compounded discount rate B])</f>
        <v>16.451056475518982</v>
      </c>
      <c r="CI91" s="17">
        <f>Table2[[#This Row],[Asset growth, ongoing scheme, no de-risking, net of contributions and payments]]/(1+Table2[Compounded CPI])</f>
        <v>72.823266226321067</v>
      </c>
      <c r="CJ91" s="17">
        <f>(CJ90*((1+Table2[Discount rate E])^0.5)+Table2[Net cashflow (ongoing scheme)])*(1+Table2[Discount rate E])^0.5</f>
        <v>1366.2848911426597</v>
      </c>
      <c r="CK91" s="17">
        <f>Table2[[#This Row],[Asset growth, ongoing scheme, best-estimates, no de-risking, net of contributions and payments ]]/(1+Table2[Compounded discount rate E])</f>
        <v>32.417871146717673</v>
      </c>
      <c r="CL91" s="17">
        <f>Table2[[#This Row],[Asset growth, ongoing scheme, best-estimates, no de-risking, net of contributions and payments ]]/(1+Table2[Compounded CPI])</f>
        <v>318.49899852362864</v>
      </c>
      <c r="CM91" s="9">
        <f t="shared" si="24"/>
        <v>2.7699999999999999E-2</v>
      </c>
      <c r="CN91" s="11">
        <f>(1+Table2[[#This Row],[CPI]])*(1+CN90)-1</f>
        <v>3.2897619693497981</v>
      </c>
      <c r="CO91" s="11">
        <f t="shared" si="23"/>
        <v>1.8100000000000002E-2</v>
      </c>
      <c r="CP91" s="11">
        <f>Table2[[#This Row],[CPI]]+2%</f>
        <v>4.7699999999999999E-2</v>
      </c>
      <c r="CQ91" s="26">
        <f>(1+Table2[[#This Row],[Salary growth]])*(1+CQ90)-1</f>
        <v>14.267544226010127</v>
      </c>
      <c r="CR91" s="15">
        <f t="shared" si="25"/>
        <v>42.897619693497958</v>
      </c>
      <c r="CS91" s="17">
        <f t="shared" si="26"/>
        <v>55.76690560154735</v>
      </c>
      <c r="CT91" s="17">
        <f>CT90*(1+Table2[[#This Row],[Salary growth]])</f>
        <v>152.67544226010128</v>
      </c>
      <c r="CU91" s="19">
        <f t="shared" si="22"/>
        <v>198.47807493813161</v>
      </c>
      <c r="CV91" s="112">
        <f>('Cash flows as at 31032017'!B76)/1000000000</f>
        <v>0.155375968</v>
      </c>
      <c r="CW91" s="113">
        <v>0</v>
      </c>
      <c r="CX91" s="113">
        <f>Table2[[#This Row],[Annual contributions (closed scheme)]]-Table2[[#This Row],[Annual benefit payments (closed scheme)]]</f>
        <v>-0.155375968</v>
      </c>
      <c r="CY91" s="113">
        <v>3.06</v>
      </c>
      <c r="CZ91" s="113">
        <v>0</v>
      </c>
      <c r="DA91" s="113">
        <v>-3.06</v>
      </c>
      <c r="DB91" s="17"/>
      <c r="DC91" s="84"/>
      <c r="DD91" s="84"/>
      <c r="DE91" s="84"/>
      <c r="DF91" s="84"/>
      <c r="DG91" s="84"/>
      <c r="DH91" s="84"/>
      <c r="DI91" s="84"/>
      <c r="DJ91" s="84"/>
      <c r="DK91" s="84"/>
      <c r="DL91" s="84"/>
      <c r="DM91" s="84"/>
      <c r="DN91" s="84"/>
      <c r="DO91" s="84"/>
      <c r="DP91" s="84"/>
      <c r="DQ91" s="84"/>
      <c r="DR91" s="84"/>
      <c r="DS91" s="84"/>
      <c r="DT91" s="84"/>
      <c r="DU91" s="84"/>
      <c r="DV91" s="84"/>
      <c r="DW91" s="84"/>
      <c r="DX91" s="84"/>
      <c r="DY91" s="84"/>
      <c r="DZ91" s="84"/>
      <c r="EA91" s="84"/>
      <c r="EB91" s="84"/>
      <c r="EC91" s="84"/>
      <c r="ED91" s="84"/>
      <c r="EE91" s="84"/>
      <c r="EF91" s="84"/>
      <c r="EG91" s="84"/>
      <c r="EH91" s="84"/>
      <c r="EI91" s="84"/>
      <c r="EJ91" s="84"/>
      <c r="EK91" s="84"/>
      <c r="EL91" s="84"/>
      <c r="EM91" s="84"/>
      <c r="EN91" s="84"/>
      <c r="EO91" s="84"/>
      <c r="EP91" s="84"/>
      <c r="EQ91" s="84"/>
      <c r="ER91" s="84"/>
      <c r="ES91" s="84"/>
      <c r="ET91" s="84"/>
      <c r="EU91" s="84"/>
      <c r="EV91" s="84"/>
      <c r="EW91" s="84"/>
      <c r="EX91" s="84"/>
      <c r="EY91" s="84"/>
      <c r="EZ91" s="84"/>
      <c r="FA91" s="84"/>
      <c r="FB91" s="84"/>
      <c r="FC91" s="84"/>
      <c r="FD91" s="84"/>
      <c r="FE91" s="84"/>
      <c r="FF91" s="84"/>
      <c r="FG91" s="84"/>
      <c r="FH91" s="84"/>
      <c r="FI91" s="84"/>
      <c r="FJ91" s="84"/>
      <c r="FK91" s="84"/>
      <c r="FL91" s="84"/>
      <c r="FM91" s="84"/>
      <c r="FN91" s="84"/>
      <c r="FO91" s="84"/>
      <c r="FP91" s="84"/>
      <c r="FQ91" s="84"/>
      <c r="FR91" s="84"/>
    </row>
    <row r="92" spans="1:179" x14ac:dyDescent="0.2">
      <c r="A92" s="8">
        <v>2085</v>
      </c>
      <c r="B92" s="67"/>
      <c r="C92" s="67"/>
      <c r="D92" s="67"/>
      <c r="E92" s="35">
        <v>6.0999999999999999E-2</v>
      </c>
      <c r="F92" s="16">
        <f>F91*(1+Table2[[#This Row],[2008 discount rate]])</f>
        <v>3219.038502207618</v>
      </c>
      <c r="G92" s="18">
        <v>6.0999999999999999E-2</v>
      </c>
      <c r="H92" s="16">
        <f>H91*(1+Table2[[#This Row],[2011 discount rate]])</f>
        <v>2645.2811794449549</v>
      </c>
      <c r="I92" s="18">
        <v>5.1999999999999998E-2</v>
      </c>
      <c r="J92" s="16">
        <f>J91*(1+Table2[[#This Row],[2014 discount rate]])</f>
        <v>1524.8698388015496</v>
      </c>
      <c r="K92" s="9">
        <f>Table2[CPI]+1.7%</f>
        <v>4.4700000000000004E-2</v>
      </c>
      <c r="L92" s="66">
        <f t="shared" si="21"/>
        <v>10.53454496195824</v>
      </c>
      <c r="M92" s="17">
        <f>Table2[[#This Row],[Annual benefit payments (closed scheme)]]/((1+L91)*(1+Table2[[#This Row],[Discount rate A1]])^0.5)+M91</f>
        <v>64.88929882407696</v>
      </c>
      <c r="N92" s="17">
        <f>N91*(1+Table2[Discount rate A1])</f>
        <v>748.8522879024564</v>
      </c>
      <c r="O92" s="17">
        <f>Table2[[#This Row],[Asset growth A1, under the assumption of full-funding at Year 0]]/(1+Table2[[#This Row],[Compounded CPI]])</f>
        <v>169.86214725693156</v>
      </c>
      <c r="P92" s="17">
        <f>(P91*((1+Table2[Discount rate A1])^0.5)-Table2[Annual benefit payments (closed scheme)])*(1+Table2[Discount rate A1])^0.5</f>
        <v>0.38375306619573463</v>
      </c>
      <c r="Q92" s="17">
        <f>Table2[[#This Row],[Asset growth A1 with benefit payments deducted]]/(1+Table2[Compounded CPI])</f>
        <v>8.7046699186862517E-2</v>
      </c>
      <c r="R92" s="17">
        <f>Table2[[#This Row],[Asset growth A1 with benefit payments deducted]]/(1+Table2[Compounded discount rate A1])</f>
        <v>3.3269892090358126E-2</v>
      </c>
      <c r="S92" s="9">
        <f>Table2[CPI]+1.7%</f>
        <v>4.4700000000000004E-2</v>
      </c>
      <c r="T92" s="18">
        <f t="shared" si="20"/>
        <v>9.9555844797041768</v>
      </c>
      <c r="U92" s="17">
        <f>Table2[[#This Row],[Annual benefit payments (closed scheme)]]/((1+T91)*(1+Table2[[#This Row],[Discount rate A2]])^0.5)+U91</f>
        <v>67.476277955047152</v>
      </c>
      <c r="V92" s="17">
        <f>V91*(1+Table2[Discount rate A2])</f>
        <v>739.62581657871522</v>
      </c>
      <c r="W92" s="17">
        <f>Table2[[#This Row],[Asset growth A2, under the assumption of full-funding at Year 0]]/(1+Table2[Compounded CPI])</f>
        <v>167.76930697858376</v>
      </c>
      <c r="X92" s="17">
        <f>(X91*((1+Table2[Discount rate A2])^0.5)-Table2[Annual benefit payments (closed scheme)])*(1+Table2[Discount rate A2])^0.5</f>
        <v>0.38375306619595156</v>
      </c>
      <c r="Y92" s="17">
        <f>Table2[[#This Row],[Asset growth A2 with benefit payments deducted]]/(1+Table2[[#This Row],[Compounded CPI]])</f>
        <v>8.7046699186911713E-2</v>
      </c>
      <c r="Z92" s="19">
        <f>Table2[[#This Row],[Asset growth A2 with benefit payments deducted]]/(1+Table2[Compounded discount rate A2])</f>
        <v>3.5028077863565862E-2</v>
      </c>
      <c r="AA92" s="82">
        <f>Table2[CPI]+2.8%</f>
        <v>5.57E-2</v>
      </c>
      <c r="AB92" s="18">
        <f t="shared" si="27"/>
        <v>19.047031681741622</v>
      </c>
      <c r="AC92" s="17">
        <f>Table2[[#This Row],[Annual benefit payments (closed scheme)]]/((1+AB91)*(1+Table2[[#This Row],[Discount rate B]])^0.5)+AC91</f>
        <v>60.408368905108681</v>
      </c>
      <c r="AD92" s="45">
        <f>AD91*(1+Table2[Discount rate B])</f>
        <v>1202.8219009044974</v>
      </c>
      <c r="AE92" s="16">
        <f>Table2[[#This Row],[Asset growth B]]/(1+Table2[Compounded CPI])</f>
        <v>272.8360641423526</v>
      </c>
      <c r="AF92" s="17">
        <f>(AF91*((1+Table2[Discount rate B])^0.5)-Table2[Annual benefit payments (closed scheme)])*(1+Table2[Discount rate B])^0.5</f>
        <v>-8.1865843785516255</v>
      </c>
      <c r="AG92" s="17">
        <f>Table2[[#This Row],[Asset growth B with benefit payments deducted]]/(1+Table2[Compounded CPI])</f>
        <v>-1.8569627464661851</v>
      </c>
      <c r="AH92" s="19">
        <f>Table2[[#This Row],[Asset growth B with benefit payments deducted]]/(1+Table2[Compounded discount rate B])</f>
        <v>-0.40836890510866902</v>
      </c>
      <c r="AI92" s="11">
        <f>Table2[CPI]+2.56%</f>
        <v>5.33E-2</v>
      </c>
      <c r="AJ92" s="18">
        <f t="shared" si="28"/>
        <v>20.831643574363348</v>
      </c>
      <c r="AK92" s="17">
        <f>Table2[[#This Row],[Annual benefit payments (closed scheme)]]/((1+AJ91)*(1+Table2[[#This Row],[Discount rate C]])^0.5)+AK91</f>
        <v>52.336301070156026</v>
      </c>
      <c r="AL92" s="17">
        <f>AL91*(1+Table2[Discount rate C])</f>
        <v>1309.8986144618009</v>
      </c>
      <c r="AM92" s="17">
        <f>Table2[[#This Row],[Asset growth C]]/(1+Table2[Compounded CPI])</f>
        <v>297.1242726180248</v>
      </c>
      <c r="AN92" s="17">
        <f>(AN91*((1+Table2[Discount rate C])^0.5)-Table2[Annual benefit payments (closed scheme)])*(1+Table2[Discount rate C])^0.5</f>
        <v>167.31114349758252</v>
      </c>
      <c r="AO92" s="17">
        <f>Table2[[#This Row],[Asset growth C with benefit payments deducted]]/(1+Table2[Compounded CPI])</f>
        <v>37.951182834890218</v>
      </c>
      <c r="AP92" s="19">
        <f>Table2[[#This Row],[Asset growth C with benefit payments deducted]]/(1+Table2[Compounded discount rate C])</f>
        <v>7.6636989298439309</v>
      </c>
      <c r="AQ92" s="11">
        <f>Table2[CPI]+2.56%</f>
        <v>5.33E-2</v>
      </c>
      <c r="AR92" s="18">
        <f t="shared" si="29"/>
        <v>19.435883816872625</v>
      </c>
      <c r="AS92" s="17">
        <f>Table2[[#This Row],[Annual benefit payments (closed scheme)]]/((1+AR91)*(1+Table2[[#This Row],[Discount rate D]])^0.5)+AS91</f>
        <v>54.834623410169364</v>
      </c>
      <c r="AT92" s="16">
        <f>AT91*(1+Table2[Discount rate D])</f>
        <v>1226.1530290123569</v>
      </c>
      <c r="AU92" s="17">
        <f>Table2[[#This Row],[Asset growth D]]/(1+Table2[Compounded CPI])</f>
        <v>278.12826339492909</v>
      </c>
      <c r="AV92" s="17">
        <f>(AV91*((1+Table2[Discount rate D])^0.5)-Table2[Annual benefit payments (closed scheme)])*(1+Table2[Discount rate D])^0.5</f>
        <v>105.55903586017253</v>
      </c>
      <c r="AW92" s="17">
        <f>Table2[[#This Row],[Asset growth D with benefit payments deducted]]/(1+Table2[Compounded CPI])</f>
        <v>23.943953678506922</v>
      </c>
      <c r="AX92" s="19">
        <f>Table2[[#This Row],[Asset growth D with benefit payments deducted]]/(1+Table2[Compounded discount rate D])</f>
        <v>5.1653765898306325</v>
      </c>
      <c r="AY92" s="11">
        <f>Table2[CPI]+4%</f>
        <v>6.7699999999999996E-2</v>
      </c>
      <c r="AZ92" s="18">
        <f t="shared" si="30"/>
        <v>43.999326811770629</v>
      </c>
      <c r="BA92" s="17">
        <f>Table2[[#This Row],[Annual benefit payments (closed scheme)]]/((1+AZ91)*(1+Table2[[#This Row],[Discount rate E]])^0.5)+BA91</f>
        <v>48.289601979808133</v>
      </c>
      <c r="BB92" s="17">
        <f>BB91*(1+Table2[Discount rate E])</f>
        <v>2699.9596087062405</v>
      </c>
      <c r="BC92" s="16">
        <f>Table2[[#This Row],[Asset growth E]]/(1+Table2[Compounded CPI])</f>
        <v>612.43177600008289</v>
      </c>
      <c r="BD92" s="17">
        <f>(BD91*((1+Table2[Discount rate E])^0.5)-Table2[Annual benefit payments (closed scheme)])*(1+Table2[Discount rate E])^0.5</f>
        <v>526.96002760652516</v>
      </c>
      <c r="BE92" s="17">
        <f>Table2[[#This Row],[Asset growth E with benefit payments deducted]]/(1+Table2[Compounded CPI])</f>
        <v>119.53033095289911</v>
      </c>
      <c r="BF92" s="19">
        <f>Table2[[#This Row],[Asset growth E with benefit payments deducted]]/(1+Table2[Compounded discount rate E])</f>
        <v>11.710398020191858</v>
      </c>
      <c r="BG92" s="11">
        <f>Table2[[#This Row],[Long-dated forward gilt yields]]+0.75%</f>
        <v>2.5600000000000001E-2</v>
      </c>
      <c r="BH92" s="11">
        <f t="shared" si="31"/>
        <v>3.8616975697282054</v>
      </c>
      <c r="BI92" s="17">
        <f>((Table2[[#This Row],[Annual benefit payments (closed scheme)]])*1.005^(Table2[[#This Row],[Year]]-2018))/((1+BH91)*(1+Table2[[#This Row],[Discount rate F]])^0.5)+BI91</f>
        <v>82.224146135580057</v>
      </c>
      <c r="BJ92" s="17">
        <f>BJ91*(1+Table2[Discount rate F])</f>
        <v>400.32916883226062</v>
      </c>
      <c r="BK92" s="17">
        <f>Table2[[#This Row],[Asset growth F, under the assumption of full-funding at Year 0]]/(1+Table2[[#This Row],[Compounded CPI]])</f>
        <v>90.806656167001094</v>
      </c>
      <c r="BL92" s="17">
        <f>(BL91*((1+Table2[Discount rate F])^0.5)-Table2[Annual benefit payments (closed scheme)]*1.005^(Table2[Year]-2018))*(1+Table2[Discount rate F])^0.5</f>
        <v>0.58023739193420032</v>
      </c>
      <c r="BM92" s="17">
        <f>Table2[[#This Row],[Asset growth F with benefit payments deducted]]/(1+Table2[Compounded CPI])</f>
        <v>0.13161523427907759</v>
      </c>
      <c r="BN92" s="19">
        <f>Table2[[#This Row],[Asset growth F with benefit payments deducted]]/(1+Table2[Compounded discount rate F])</f>
        <v>0.11934872204867294</v>
      </c>
      <c r="BO92" s="18">
        <f>(1+BO91)*(1+Table2[Discount rate A2])-1</f>
        <v>5.1614783453281134</v>
      </c>
      <c r="BP92" s="17">
        <f>Table2[[#This Row],[Annual benefit payments (ongoing scheme)]]/((1+BO91)*(1+Table2[[#This Row],[Discount rate A2]])^0.5)+BP91</f>
        <v>109.04974615148642</v>
      </c>
      <c r="BQ92" s="17">
        <f>(BQ91*((1+Table2[Discount rate A2])^0.5)-Table2[Annual benefit payments (ongoing scheme)])*(1+Table2[Discount rate A2])^0.5</f>
        <v>21.315184758730474</v>
      </c>
      <c r="BR92" s="18">
        <f>(1+BR91)*(1+Table2[Discount rate B])-1</f>
        <v>9.2167154429629541</v>
      </c>
      <c r="BS92" s="17">
        <f>Table2[[#This Row],[Annual benefit payments (ongoing scheme)]]/((1+BR91)*(1+Table2[[#This Row],[Discount rate B]])^0.5)+BS91</f>
        <v>91.554384818083591</v>
      </c>
      <c r="BT92" s="18">
        <f>(1+BT91)*(1+Table2[Discount rate E])-1</f>
        <v>16.631682572278539</v>
      </c>
      <c r="BU92" s="17">
        <f>Table2[[#This Row],[Annual benefit payments (ongoing scheme)]]/((1+BT91)*(1+Table2[[#This Row],[Discount rate E]])^0.5)+BU91</f>
        <v>77.076491274710392</v>
      </c>
      <c r="BV92" s="18">
        <f>Table2[CPI]+0.75%+0.75%</f>
        <v>4.2699999999999995E-2</v>
      </c>
      <c r="BW92" s="18">
        <f>(1+BW91)*(1+Table2[Self-sufficiency discount rate, from 2037])-1</f>
        <v>4.6169822821272914</v>
      </c>
      <c r="BX92" s="17">
        <f>(Table2[[#This Row],[Annual benefit payments (ongoing scheme)]]*1.005^(Table2[[#This Row],[Year]]-2038))/((1+BW91)*(1+Table2[[#This Row],[Self-sufficiency discount rate, from 2037]])^0.5)+BX91</f>
        <v>123.02886351642599</v>
      </c>
      <c r="BY92" s="17">
        <f>(BY91*((1+Table2[Self-sufficiency discount rate, from 2037])^0.5)-Table2[Annual benefit payments (ongoing scheme)]*1.005^(Table2[Year]-2038))*(1+Table2[Self-sufficiency discount rate, from 2037])^0.5</f>
        <v>28.206563658396082</v>
      </c>
      <c r="BZ92" s="17">
        <f>(BZ91*((1+Table2[Discount rate B])^0.5)-Table2[Annual benefit payments (ongoing scheme)])*(1+Table2[Discount rate B])^0.5</f>
        <v>20.010024431103325</v>
      </c>
      <c r="CA92" s="17">
        <f>(CA91*((1+Table2[Discount rate A2])^0.5)+Table2[Net cashflow (ongoing scheme)])*(1+Table2[Discount rate A2])^0.5</f>
        <v>19.275949479228071</v>
      </c>
      <c r="CB92" s="17">
        <f>Table2[[#This Row],[Asset growth, ongoing scheme, with November de-risking, net of contributions and payments]]/(1+Table2[Compounded discount rate A2])</f>
        <v>1.7594633599821012</v>
      </c>
      <c r="CC92" s="17">
        <f>Table2[[#This Row],[Asset growth, ongoing scheme, with November de-risking, net of contributions and payments]]/(1+Table2[Compounded CPI])</f>
        <v>4.372363177428535</v>
      </c>
      <c r="CD92" s="17">
        <f>(CD91*((1+Table2[Discount rate A1])^0.5)+Table2[Net cashflow (ongoing scheme)])*(1+Table2[Discount rate A1])^0.5</f>
        <v>54.658996978810443</v>
      </c>
      <c r="CE92" s="17">
        <f>Table2[[#This Row],[Asset growth, ongoing scheme, with September de-risking, net of contributions and payments]]/(1+Table2[Compounded discount rate A1])</f>
        <v>4.7387215671775307</v>
      </c>
      <c r="CF92" s="17">
        <f>Table2[[#This Row],[Asset growth, ongoing scheme, with September de-risking, net of contributions and payments]]/(1+Table2[Compounded CPI])</f>
        <v>12.398299028686752</v>
      </c>
      <c r="CG92" s="17">
        <f>(CG91*((1+Table2[Discount rate B])^0.5)+Table2[Net cashflow (ongoing scheme)])*(1+Table2[Discount rate B])^0.5</f>
        <v>326.84600392229021</v>
      </c>
      <c r="CH92" s="17">
        <f>Table2[[#This Row],[Asset growth, ongoing scheme, no de-risking, net of contributions and payments]]/(1+Table2[Compounded discount rate B])</f>
        <v>16.303960063073781</v>
      </c>
      <c r="CI92" s="17">
        <f>Table2[[#This Row],[Asset growth, ongoing scheme, no de-risking, net of contributions and payments]]/(1+Table2[Compounded CPI])</f>
        <v>74.138471559052547</v>
      </c>
      <c r="CJ92" s="17">
        <f>(CJ91*((1+Table2[Discount rate E])^0.5)+Table2[Net cashflow (ongoing scheme)])*(1+Table2[Discount rate E])^0.5</f>
        <v>1455.8168196190707</v>
      </c>
      <c r="CK92" s="17">
        <f>Table2[[#This Row],[Asset growth, ongoing scheme, best-estimates, no de-risking, net of contributions and payments ]]/(1+Table2[Compounded discount rate E])</f>
        <v>32.351968857415606</v>
      </c>
      <c r="CL92" s="17">
        <f>Table2[[#This Row],[Asset growth, ongoing scheme, best-estimates, no de-risking, net of contributions and payments ]]/(1+Table2[Compounded CPI])</f>
        <v>330.22289574077325</v>
      </c>
      <c r="CM92" s="9">
        <f t="shared" si="24"/>
        <v>2.7699999999999999E-2</v>
      </c>
      <c r="CN92" s="11">
        <f>(1+Table2[[#This Row],[CPI]])*(1+CN91)-1</f>
        <v>3.4085883759007878</v>
      </c>
      <c r="CO92" s="11">
        <f t="shared" si="23"/>
        <v>1.8100000000000002E-2</v>
      </c>
      <c r="CP92" s="11">
        <f>Table2[[#This Row],[CPI]]+2%</f>
        <v>4.7699999999999999E-2</v>
      </c>
      <c r="CQ92" s="26">
        <f>(1+Table2[[#This Row],[Salary growth]])*(1+CQ91)-1</f>
        <v>14.995806085590811</v>
      </c>
      <c r="CR92" s="15">
        <f t="shared" si="25"/>
        <v>44.085883759007856</v>
      </c>
      <c r="CS92" s="17">
        <f t="shared" si="26"/>
        <v>57.311648886710216</v>
      </c>
      <c r="CT92" s="17">
        <f>CT91*(1+Table2[[#This Row],[Salary growth]])</f>
        <v>159.95806085590812</v>
      </c>
      <c r="CU92" s="19">
        <f t="shared" si="22"/>
        <v>207.94547911268052</v>
      </c>
      <c r="CV92" s="112">
        <f>('Cash flows as at 31032017'!B77)/1000000000</f>
        <v>0.126934189</v>
      </c>
      <c r="CW92" s="113">
        <v>0</v>
      </c>
      <c r="CX92" s="113">
        <f>Table2[[#This Row],[Annual contributions (closed scheme)]]-Table2[[#This Row],[Annual benefit payments (closed scheme)]]</f>
        <v>-0.126934189</v>
      </c>
      <c r="CY92" s="113">
        <v>2.87</v>
      </c>
      <c r="CZ92" s="113">
        <v>0</v>
      </c>
      <c r="DA92" s="113">
        <v>-2.87</v>
      </c>
      <c r="DB92" s="17"/>
      <c r="DC92" s="84"/>
      <c r="DD92" s="84"/>
      <c r="DE92" s="84"/>
      <c r="DF92" s="84"/>
      <c r="DG92" s="84"/>
      <c r="DH92" s="84"/>
      <c r="DI92" s="84"/>
      <c r="DJ92" s="84"/>
      <c r="DK92" s="84"/>
      <c r="DL92" s="84"/>
      <c r="DM92" s="84"/>
      <c r="DN92" s="84"/>
      <c r="DO92" s="84"/>
      <c r="DP92" s="84"/>
      <c r="DQ92" s="84"/>
      <c r="DR92" s="84"/>
      <c r="DS92" s="84"/>
      <c r="DT92" s="84"/>
      <c r="DU92" s="84"/>
      <c r="DV92" s="84"/>
      <c r="DW92" s="84"/>
      <c r="DX92" s="84"/>
      <c r="DY92" s="84"/>
      <c r="DZ92" s="84"/>
      <c r="EA92" s="84"/>
      <c r="EB92" s="84"/>
      <c r="EC92" s="84"/>
      <c r="ED92" s="84"/>
      <c r="EE92" s="84"/>
      <c r="EF92" s="84"/>
      <c r="EG92" s="84"/>
      <c r="EH92" s="84"/>
      <c r="EI92" s="84"/>
      <c r="EJ92" s="84"/>
      <c r="EK92" s="84"/>
      <c r="EL92" s="84"/>
      <c r="EM92" s="84"/>
      <c r="EN92" s="84"/>
      <c r="EO92" s="84"/>
      <c r="EP92" s="84"/>
      <c r="EQ92" s="84"/>
      <c r="ER92" s="84"/>
      <c r="ES92" s="84"/>
      <c r="ET92" s="84"/>
      <c r="EU92" s="84"/>
      <c r="EV92" s="84"/>
      <c r="EW92" s="84"/>
      <c r="EX92" s="84"/>
      <c r="EY92" s="84"/>
      <c r="EZ92" s="84"/>
      <c r="FA92" s="84"/>
      <c r="FB92" s="84"/>
      <c r="FC92" s="84"/>
      <c r="FD92" s="84"/>
      <c r="FE92" s="84"/>
      <c r="FF92" s="84"/>
      <c r="FG92" s="84"/>
      <c r="FH92" s="84"/>
      <c r="FI92" s="84"/>
      <c r="FJ92" s="84"/>
      <c r="FK92" s="84"/>
      <c r="FL92" s="84"/>
      <c r="FM92" s="84"/>
      <c r="FN92" s="84"/>
      <c r="FO92" s="84"/>
      <c r="FP92" s="84"/>
      <c r="FQ92" s="84"/>
      <c r="FR92" s="84"/>
      <c r="FS92" s="84"/>
    </row>
    <row r="93" spans="1:179" x14ac:dyDescent="0.2">
      <c r="A93" s="8">
        <v>2086</v>
      </c>
      <c r="B93" s="67"/>
      <c r="C93" s="67"/>
      <c r="D93" s="67"/>
      <c r="E93" s="35">
        <v>6.0999999999999999E-2</v>
      </c>
      <c r="F93" s="16">
        <f>F92*(1+Table2[[#This Row],[2008 discount rate]])</f>
        <v>3415.3998508422824</v>
      </c>
      <c r="G93" s="18">
        <v>6.0999999999999999E-2</v>
      </c>
      <c r="H93" s="16">
        <f>H92*(1+Table2[[#This Row],[2011 discount rate]])</f>
        <v>2806.643331391097</v>
      </c>
      <c r="I93" s="18">
        <v>5.1999999999999998E-2</v>
      </c>
      <c r="J93" s="16">
        <f>J92*(1+Table2[[#This Row],[2014 discount rate]])</f>
        <v>1604.1630704192303</v>
      </c>
      <c r="K93" s="9">
        <f>Table2[CPI]+1.7%</f>
        <v>4.4700000000000004E-2</v>
      </c>
      <c r="L93" s="66">
        <f t="shared" si="21"/>
        <v>11.050139121757773</v>
      </c>
      <c r="M93" s="17">
        <f>Table2[[#This Row],[Annual benefit payments (closed scheme)]]/((1+L92)*(1+Table2[[#This Row],[Discount rate A1]])^0.5)+M92</f>
        <v>64.897984048494195</v>
      </c>
      <c r="N93" s="17">
        <f>N92*(1+Table2[Discount rate A1])</f>
        <v>782.32598517169617</v>
      </c>
      <c r="O93" s="17">
        <f>Table2[[#This Row],[Asset growth A1, under the assumption of full-funding at Year 0]]/(1+Table2[[#This Row],[Compounded CPI]])</f>
        <v>172.6719716252957</v>
      </c>
      <c r="P93" s="17">
        <f>(P92*((1+Table2[Discount rate A1])^0.5)-Table2[Annual benefit payments (closed scheme)])*(1+Table2[Discount rate A1])^0.5</f>
        <v>0.29624866572332731</v>
      </c>
      <c r="Q93" s="17">
        <f>Table2[[#This Row],[Asset growth A1 with benefit payments deducted]]/(1+Table2[Compounded CPI])</f>
        <v>6.538686196213131E-2</v>
      </c>
      <c r="R93" s="17">
        <f>Table2[[#This Row],[Asset growth A1 with benefit payments deducted]]/(1+Table2[Compounded discount rate A1])</f>
        <v>2.4584667673124179E-2</v>
      </c>
      <c r="S93" s="9">
        <f>Table2[CPI]+1.7%</f>
        <v>4.4700000000000004E-2</v>
      </c>
      <c r="T93" s="18">
        <f t="shared" si="20"/>
        <v>10.445299105946953</v>
      </c>
      <c r="U93" s="17">
        <f>Table2[[#This Row],[Annual benefit payments (closed scheme)]]/((1+T92)*(1+Table2[[#This Row],[Discount rate A2]])^0.5)+U92</f>
        <v>67.485422160153774</v>
      </c>
      <c r="V93" s="17">
        <f>V92*(1+Table2[Discount rate A2])</f>
        <v>772.68709057978378</v>
      </c>
      <c r="W93" s="17">
        <f>Table2[[#This Row],[Asset growth A2, under the assumption of full-funding at Year 0]]/(1+Table2[Compounded CPI])</f>
        <v>170.54451201763786</v>
      </c>
      <c r="X93" s="17">
        <f>(X92*((1+Table2[Discount rate A2])^0.5)-Table2[Annual benefit payments (closed scheme)])*(1+Table2[Discount rate A2])^0.5</f>
        <v>0.29624866572355407</v>
      </c>
      <c r="Y93" s="17">
        <f>Table2[[#This Row],[Asset growth A2 with benefit payments deducted]]/(1+Table2[[#This Row],[Compounded CPI]])</f>
        <v>6.5386861962181353E-2</v>
      </c>
      <c r="Z93" s="19">
        <f>Table2[[#This Row],[Asset growth A2 with benefit payments deducted]]/(1+Table2[Compounded discount rate A2])</f>
        <v>2.5883872756949085E-2</v>
      </c>
      <c r="AA93" s="82">
        <f>Table2[CPI]+2.8%</f>
        <v>5.57E-2</v>
      </c>
      <c r="AB93" s="18">
        <f t="shared" si="27"/>
        <v>20.163651346414632</v>
      </c>
      <c r="AC93" s="17">
        <f>Table2[[#This Row],[Annual benefit payments (closed scheme)]]/((1+AB92)*(1+Table2[[#This Row],[Discount rate B]])^0.5)+AC92</f>
        <v>60.41334005628751</v>
      </c>
      <c r="AD93" s="45">
        <f>AD92*(1+Table2[Discount rate B])</f>
        <v>1269.819080784878</v>
      </c>
      <c r="AE93" s="16">
        <f>Table2[[#This Row],[Asset growth B]]/(1+Table2[Compounded CPI])</f>
        <v>280.2695659385829</v>
      </c>
      <c r="AF93" s="17">
        <f>(AF92*((1+Table2[Discount rate B])^0.5)-Table2[Annual benefit payments (closed scheme)])*(1+Table2[Discount rate B])^0.5</f>
        <v>-8.7477848387760755</v>
      </c>
      <c r="AG93" s="17">
        <f>Table2[[#This Row],[Asset growth B with benefit payments deducted]]/(1+Table2[Compounded CPI])</f>
        <v>-1.9307773026787898</v>
      </c>
      <c r="AH93" s="19">
        <f>Table2[[#This Row],[Asset growth B with benefit payments deducted]]/(1+Table2[Compounded discount rate B])</f>
        <v>-0.41334005628750126</v>
      </c>
      <c r="AI93" s="11">
        <f>Table2[CPI]+2.56%</f>
        <v>5.33E-2</v>
      </c>
      <c r="AJ93" s="18">
        <f t="shared" si="28"/>
        <v>21.995270176876911</v>
      </c>
      <c r="AK93" s="17">
        <f>Table2[[#This Row],[Annual benefit payments (closed scheme)]]/((1+AJ92)*(1+Table2[[#This Row],[Discount rate C]])^0.5)+AK92</f>
        <v>52.340871055778983</v>
      </c>
      <c r="AL93" s="17">
        <f>AL92*(1+Table2[Discount rate C])</f>
        <v>1379.7162106126148</v>
      </c>
      <c r="AM93" s="17">
        <f>Table2[[#This Row],[Asset growth C]]/(1+Table2[Compounded CPI])</f>
        <v>304.5256362251294</v>
      </c>
      <c r="AN93" s="17">
        <f>(AN92*((1+Table2[Discount rate C])^0.5)-Table2[Annual benefit payments (closed scheme)])*(1+Table2[Discount rate C])^0.5</f>
        <v>176.12373939189925</v>
      </c>
      <c r="AO93" s="17">
        <f>Table2[[#This Row],[Asset growth C with benefit payments deducted]]/(1+Table2[Compounded CPI])</f>
        <v>38.873351911153243</v>
      </c>
      <c r="AP93" s="19">
        <f>Table2[[#This Row],[Asset growth C with benefit payments deducted]]/(1+Table2[Compounded discount rate C])</f>
        <v>7.6591289442209716</v>
      </c>
      <c r="AQ93" s="11">
        <f>Table2[CPI]+2.56%</f>
        <v>5.33E-2</v>
      </c>
      <c r="AR93" s="18">
        <f t="shared" si="29"/>
        <v>20.525116424311936</v>
      </c>
      <c r="AS93" s="17">
        <f>Table2[[#This Row],[Annual benefit payments (closed scheme)]]/((1+AR92)*(1+Table2[[#This Row],[Discount rate D]])^0.5)+AS92</f>
        <v>54.839505523326515</v>
      </c>
      <c r="AT93" s="16">
        <f>AT92*(1+Table2[Discount rate D])</f>
        <v>1291.5069854587155</v>
      </c>
      <c r="AU93" s="17">
        <f>Table2[[#This Row],[Asset growth D]]/(1+Table2[Compounded CPI])</f>
        <v>285.05643654167437</v>
      </c>
      <c r="AV93" s="17">
        <f>(AV92*((1+Table2[Discount rate D])^0.5)-Table2[Annual benefit payments (closed scheme)])*(1+Table2[Discount rate D])^0.5</f>
        <v>111.0802444174153</v>
      </c>
      <c r="AW93" s="17">
        <f>Table2[[#This Row],[Asset growth D with benefit payments deducted]]/(1+Table2[Compounded CPI])</f>
        <v>24.517202771892251</v>
      </c>
      <c r="AX93" s="19">
        <f>Table2[[#This Row],[Asset growth D with benefit payments deducted]]/(1+Table2[Compounded discount rate D])</f>
        <v>5.1604944766734775</v>
      </c>
      <c r="AY93" s="11">
        <f>Table2[CPI]+4%</f>
        <v>6.7699999999999996E-2</v>
      </c>
      <c r="AZ93" s="18">
        <f t="shared" si="30"/>
        <v>47.045781236927503</v>
      </c>
      <c r="BA93" s="17">
        <f>Table2[[#This Row],[Annual benefit payments (closed scheme)]]/((1+AZ92)*(1+Table2[[#This Row],[Discount rate E]])^0.5)+BA92</f>
        <v>48.291804128654022</v>
      </c>
      <c r="BB93" s="17">
        <f>BB92*(1+Table2[Discount rate E])</f>
        <v>2882.7468742156534</v>
      </c>
      <c r="BC93" s="16">
        <f>Table2[[#This Row],[Asset growth E]]/(1+Table2[Compounded CPI])</f>
        <v>636.26876251366014</v>
      </c>
      <c r="BD93" s="17">
        <f>(BD92*((1+Table2[Discount rate E])^0.5)-Table2[Annual benefit payments (closed scheme)])*(1+Table2[Discount rate E])^0.5</f>
        <v>562.52941751378626</v>
      </c>
      <c r="BE93" s="17">
        <f>Table2[[#This Row],[Asset growth E with benefit payments deducted]]/(1+Table2[Compounded CPI])</f>
        <v>124.15932163881395</v>
      </c>
      <c r="BF93" s="19">
        <f>Table2[[#This Row],[Asset growth E with benefit payments deducted]]/(1+Table2[Compounded discount rate E])</f>
        <v>11.70819587134597</v>
      </c>
      <c r="BG93" s="11">
        <f>Table2[[#This Row],[Long-dated forward gilt yields]]+0.75%</f>
        <v>2.5600000000000001E-2</v>
      </c>
      <c r="BH93" s="11">
        <f t="shared" si="31"/>
        <v>3.9861570275132481</v>
      </c>
      <c r="BI93" s="17">
        <f>((Table2[[#This Row],[Annual benefit payments (closed scheme)]])*1.005^(Table2[[#This Row],[Year]]-2018))/((1+BH92)*(1+Table2[[#This Row],[Discount rate F]])^0.5)+BI92</f>
        <v>82.253340065577376</v>
      </c>
      <c r="BJ93" s="17">
        <f>BJ92*(1+Table2[Discount rate F])</f>
        <v>410.5775955543665</v>
      </c>
      <c r="BK93" s="17">
        <f>Table2[[#This Row],[Asset growth F, under the assumption of full-funding at Year 0]]/(1+Table2[[#This Row],[Compounded CPI]])</f>
        <v>90.621102038412303</v>
      </c>
      <c r="BL93" s="17">
        <f>(BL92*((1+Table2[Discount rate F])^0.5)-Table2[Annual benefit payments (closed scheme)]*1.005^(Table2[Year]-2018))*(1+Table2[Discount rate F])^0.5</f>
        <v>0.44952594995088613</v>
      </c>
      <c r="BM93" s="17">
        <f>Table2[[#This Row],[Asset growth F with benefit payments deducted]]/(1+Table2[Compounded CPI])</f>
        <v>9.9217632477998557E-2</v>
      </c>
      <c r="BN93" s="19">
        <f>Table2[[#This Row],[Asset growth F with benefit payments deducted]]/(1+Table2[Compounded discount rate F])</f>
        <v>9.0154792051360386E-2</v>
      </c>
      <c r="BO93" s="18">
        <f>(1+BO92)*(1+Table2[Discount rate A2])-1</f>
        <v>5.4368964273642799</v>
      </c>
      <c r="BP93" s="17">
        <f>Table2[[#This Row],[Annual benefit payments (ongoing scheme)]]/((1+BO92)*(1+Table2[[#This Row],[Discount rate A2]])^0.5)+BP92</f>
        <v>109.49276630111865</v>
      </c>
      <c r="BQ93" s="17">
        <f>(BQ92*((1+Table2[Discount rate A2])^0.5)-Table2[Annual benefit payments (ongoing scheme)])*(1+Table2[Discount rate A2])^0.5</f>
        <v>19.416298699027607</v>
      </c>
      <c r="BR93" s="18">
        <f>(1+BR92)*(1+Table2[Discount rate B])-1</f>
        <v>9.7857864931359924</v>
      </c>
      <c r="BS93" s="17">
        <f>Table2[[#This Row],[Annual benefit payments (ongoing scheme)]]/((1+BR92)*(1+Table2[[#This Row],[Discount rate B]])^0.5)+BS92</f>
        <v>91.820165030977094</v>
      </c>
      <c r="BT93" s="18">
        <f>(1+BT92)*(1+Table2[Discount rate E])-1</f>
        <v>17.825347482421797</v>
      </c>
      <c r="BU93" s="17">
        <f>Table2[[#This Row],[Annual benefit payments (ongoing scheme)]]/((1+BT92)*(1+Table2[[#This Row],[Discount rate E]])^0.5)+BU92</f>
        <v>77.229630280552371</v>
      </c>
      <c r="BV93" s="18">
        <f>Table2[CPI]+0.75%+0.75%</f>
        <v>4.2699999999999995E-2</v>
      </c>
      <c r="BW93" s="18">
        <f>(1+BW92)*(1+Table2[Self-sufficiency discount rate, from 2037])-1</f>
        <v>4.8568274255741262</v>
      </c>
      <c r="BX93" s="17">
        <f>(Table2[[#This Row],[Annual benefit payments (ongoing scheme)]]*1.005^(Table2[[#This Row],[Year]]-2038))/((1+BW92)*(1+Table2[[#This Row],[Self-sufficiency discount rate, from 2037]])^0.5)+BX92</f>
        <v>123.64686913979781</v>
      </c>
      <c r="BY93" s="17">
        <f>(BY92*((1+Table2[Self-sufficiency discount rate, from 2037])^0.5)-Table2[Annual benefit payments (ongoing scheme)]*1.005^(Table2[Year]-2038))*(1+Table2[Self-sufficiency discount rate, from 2037])^0.5</f>
        <v>25.791431642486465</v>
      </c>
      <c r="BZ93" s="17">
        <f>(BZ92*((1+Table2[Discount rate B])^0.5)-Table2[Annual benefit payments (ongoing scheme)])*(1+Table2[Discount rate B])^0.5</f>
        <v>18.257934161546164</v>
      </c>
      <c r="CA93" s="17">
        <f>(CA92*((1+Table2[Discount rate A2])^0.5)+Table2[Net cashflow (ongoing scheme)])*(1+Table2[Discount rate A2])^0.5</f>
        <v>17.285909602531447</v>
      </c>
      <c r="CB93" s="17">
        <f>Table2[[#This Row],[Asset growth, ongoing scheme, with November de-risking, net of contributions and payments]]/(1+Table2[Compounded discount rate A2])</f>
        <v>1.5103064972369071</v>
      </c>
      <c r="CC93" s="17">
        <f>Table2[[#This Row],[Asset growth, ongoing scheme, with November de-risking, net of contributions and payments]]/(1+Table2[Compounded CPI])</f>
        <v>3.8152792428985567</v>
      </c>
      <c r="CD93" s="17">
        <f>(CD92*((1+Table2[Discount rate A1])^0.5)+Table2[Net cashflow (ongoing scheme)])*(1+Table2[Discount rate A1])^0.5</f>
        <v>54.25057932534515</v>
      </c>
      <c r="CE93" s="17">
        <f>Table2[[#This Row],[Asset growth, ongoing scheme, with September de-risking, net of contributions and payments]]/(1+Table2[Compounded discount rate A1])</f>
        <v>4.5020707874973915</v>
      </c>
      <c r="CF93" s="17">
        <f>Table2[[#This Row],[Asset growth, ongoing scheme, with September de-risking, net of contributions and payments]]/(1+Table2[Compounded CPI])</f>
        <v>11.973978458437584</v>
      </c>
      <c r="CG93" s="17">
        <f>(CG92*((1+Table2[Discount rate B])^0.5)+Table2[Net cashflow (ongoing scheme)])*(1+Table2[Discount rate B])^0.5</f>
        <v>342.18467771039212</v>
      </c>
      <c r="CH93" s="17">
        <f>Table2[[#This Row],[Asset growth, ongoing scheme, no de-risking, net of contributions and payments]]/(1+Table2[Compounded discount rate B])</f>
        <v>16.168508548425041</v>
      </c>
      <c r="CI93" s="17">
        <f>Table2[[#This Row],[Asset growth, ongoing scheme, no de-risking, net of contributions and payments]]/(1+Table2[Compounded CPI])</f>
        <v>75.525681212355877</v>
      </c>
      <c r="CJ93" s="17">
        <f>(CJ92*((1+Table2[Discount rate E])^0.5)+Table2[Net cashflow (ongoing scheme)])*(1+Table2[Discount rate E])^0.5</f>
        <v>1551.4927233091937</v>
      </c>
      <c r="CK93" s="17">
        <f>Table2[[#This Row],[Asset growth, ongoing scheme, best-estimates, no de-risking, net of contributions and payments ]]/(1+Table2[Compounded discount rate E])</f>
        <v>32.291965774442069</v>
      </c>
      <c r="CL93" s="17">
        <f>Table2[[#This Row],[Asset growth, ongoing scheme, best-estimates, no de-risking, net of contributions and payments ]]/(1+Table2[Compounded CPI])</f>
        <v>342.43948504062831</v>
      </c>
      <c r="CM93" s="9">
        <f t="shared" si="24"/>
        <v>2.7699999999999999E-2</v>
      </c>
      <c r="CN93" s="11">
        <f>(1+Table2[[#This Row],[CPI]])*(1+CN92)-1</f>
        <v>3.53070627391324</v>
      </c>
      <c r="CO93" s="11">
        <f t="shared" si="23"/>
        <v>1.8100000000000002E-2</v>
      </c>
      <c r="CP93" s="11">
        <f>Table2[[#This Row],[CPI]]+2%</f>
        <v>4.7699999999999999E-2</v>
      </c>
      <c r="CQ93" s="26">
        <f>(1+Table2[[#This Row],[Salary growth]])*(1+CQ92)-1</f>
        <v>15.758806035873494</v>
      </c>
      <c r="CR93" s="15">
        <f t="shared" si="25"/>
        <v>45.307062739132377</v>
      </c>
      <c r="CS93" s="17">
        <f t="shared" si="26"/>
        <v>58.899181560872094</v>
      </c>
      <c r="CT93" s="17">
        <f>CT92*(1+Table2[[#This Row],[Salary growth]])</f>
        <v>167.58806035873494</v>
      </c>
      <c r="CU93" s="19">
        <f t="shared" si="22"/>
        <v>217.86447846635539</v>
      </c>
      <c r="CV93" s="112">
        <f>('Cash flows as at 31032017'!B78)/1000000000</f>
        <v>0.10239466</v>
      </c>
      <c r="CW93" s="113">
        <v>0</v>
      </c>
      <c r="CX93" s="113">
        <f>Table2[[#This Row],[Annual contributions (closed scheme)]]-Table2[[#This Row],[Annual benefit payments (closed scheme)]]</f>
        <v>-0.10239466</v>
      </c>
      <c r="CY93" s="113">
        <v>2.79</v>
      </c>
      <c r="CZ93" s="113">
        <v>0</v>
      </c>
      <c r="DA93" s="113">
        <v>-2.79</v>
      </c>
      <c r="DB93" s="17"/>
      <c r="DC93" s="84"/>
      <c r="DD93" s="84"/>
      <c r="DE93" s="84"/>
      <c r="DF93" s="84"/>
      <c r="DG93" s="84"/>
      <c r="DH93" s="84"/>
      <c r="DI93" s="84"/>
      <c r="DJ93" s="84"/>
      <c r="DK93" s="84"/>
      <c r="DL93" s="84"/>
      <c r="DM93" s="84"/>
      <c r="DN93" s="84"/>
      <c r="DO93" s="84"/>
      <c r="DP93" s="84"/>
      <c r="DQ93" s="84"/>
      <c r="DR93" s="84"/>
      <c r="DS93" s="84"/>
      <c r="DT93" s="84"/>
      <c r="DU93" s="84"/>
      <c r="DV93" s="84"/>
      <c r="DW93" s="84"/>
      <c r="DX93" s="84"/>
      <c r="DY93" s="84"/>
      <c r="DZ93" s="84"/>
      <c r="EA93" s="84"/>
      <c r="EB93" s="84"/>
      <c r="EC93" s="84"/>
      <c r="ED93" s="84"/>
      <c r="EE93" s="84"/>
      <c r="EF93" s="84"/>
      <c r="EG93" s="84"/>
      <c r="EH93" s="84"/>
      <c r="EI93" s="84"/>
      <c r="EJ93" s="84"/>
      <c r="EK93" s="84"/>
      <c r="EL93" s="84"/>
      <c r="EM93" s="84"/>
      <c r="EN93" s="84"/>
      <c r="EO93" s="84"/>
      <c r="EP93" s="84"/>
      <c r="EQ93" s="84"/>
      <c r="ER93" s="84"/>
      <c r="ES93" s="84"/>
      <c r="ET93" s="84"/>
      <c r="EU93" s="84"/>
      <c r="EV93" s="84"/>
      <c r="EW93" s="84"/>
      <c r="EX93" s="84"/>
      <c r="EY93" s="84"/>
      <c r="EZ93" s="84"/>
      <c r="FA93" s="84"/>
      <c r="FB93" s="84"/>
      <c r="FC93" s="84"/>
      <c r="FD93" s="84"/>
      <c r="FE93" s="84"/>
      <c r="FF93" s="84"/>
      <c r="FG93" s="84"/>
      <c r="FH93" s="84"/>
      <c r="FI93" s="84"/>
      <c r="FJ93" s="84"/>
      <c r="FK93" s="84"/>
      <c r="FL93" s="84"/>
      <c r="FM93" s="84"/>
      <c r="FN93" s="84"/>
      <c r="FO93" s="84"/>
      <c r="FP93" s="84"/>
      <c r="FQ93" s="84"/>
      <c r="FR93" s="84"/>
      <c r="FS93" s="84"/>
      <c r="FT93" s="84"/>
    </row>
    <row r="94" spans="1:179" x14ac:dyDescent="0.2">
      <c r="A94" s="8">
        <v>2087</v>
      </c>
      <c r="B94" s="67"/>
      <c r="C94" s="67"/>
      <c r="D94" s="67"/>
      <c r="E94" s="35">
        <v>6.0999999999999999E-2</v>
      </c>
      <c r="F94" s="16">
        <f>F93*(1+Table2[[#This Row],[2008 discount rate]])</f>
        <v>3623.7392417436613</v>
      </c>
      <c r="G94" s="18">
        <v>6.0999999999999999E-2</v>
      </c>
      <c r="H94" s="16">
        <f>H93*(1+Table2[[#This Row],[2011 discount rate]])</f>
        <v>2977.8485746059537</v>
      </c>
      <c r="I94" s="18">
        <v>5.1999999999999998E-2</v>
      </c>
      <c r="J94" s="16">
        <f>J93*(1+Table2[[#This Row],[2014 discount rate]])</f>
        <v>1687.5795500810302</v>
      </c>
      <c r="K94" s="9">
        <f>Table2[CPI]+1.7%</f>
        <v>4.4700000000000004E-2</v>
      </c>
      <c r="L94" s="66">
        <f t="shared" si="21"/>
        <v>11.588780340500346</v>
      </c>
      <c r="M94" s="17">
        <f>Table2[[#This Row],[Annual benefit payments (closed scheme)]]/((1+L93)*(1+Table2[[#This Row],[Discount rate A1]])^0.5)+M93</f>
        <v>64.904600916705718</v>
      </c>
      <c r="N94" s="17">
        <f>N93*(1+Table2[Discount rate A1])</f>
        <v>817.29595670887102</v>
      </c>
      <c r="O94" s="17">
        <f>Table2[[#This Row],[Asset growth A1, under the assumption of full-funding at Year 0]]/(1+Table2[[#This Row],[Compounded CPI]])</f>
        <v>175.52827552490649</v>
      </c>
      <c r="P94" s="17">
        <f>(P93*((1+Table2[Discount rate A1])^0.5)-Table2[Annual benefit payments (closed scheme)])*(1+Table2[Discount rate A1])^0.5</f>
        <v>0.22619268062429088</v>
      </c>
      <c r="Q94" s="17">
        <f>Table2[[#This Row],[Asset growth A1 with benefit payments deducted]]/(1+Table2[Compounded CPI])</f>
        <v>4.857874413843502E-2</v>
      </c>
      <c r="R94" s="17">
        <f>Table2[[#This Row],[Asset growth A1 with benefit payments deducted]]/(1+Table2[Compounded discount rate A1])</f>
        <v>1.7967799461603821E-2</v>
      </c>
      <c r="S94" s="9">
        <f>Table2[CPI]+1.7%</f>
        <v>4.4700000000000004E-2</v>
      </c>
      <c r="T94" s="18">
        <f t="shared" si="20"/>
        <v>10.956903975982781</v>
      </c>
      <c r="U94" s="17">
        <f>Table2[[#This Row],[Annual benefit payments (closed scheme)]]/((1+T93)*(1+Table2[[#This Row],[Discount rate A2]])^0.5)+U93</f>
        <v>67.492388704388318</v>
      </c>
      <c r="V94" s="17">
        <f>V93*(1+Table2[Discount rate A2])</f>
        <v>807.22620352870013</v>
      </c>
      <c r="W94" s="17">
        <f>Table2[[#This Row],[Asset growth A2, under the assumption of full-funding at Year 0]]/(1+Table2[Compounded CPI])</f>
        <v>173.36562392218181</v>
      </c>
      <c r="X94" s="17">
        <f>(X93*((1+Table2[Discount rate A2])^0.5)-Table2[Annual benefit payments (closed scheme)])*(1+Table2[Discount rate A2])^0.5</f>
        <v>0.22619268062452777</v>
      </c>
      <c r="Y94" s="17">
        <f>Table2[[#This Row],[Asset growth A2 with benefit payments deducted]]/(1+Table2[[#This Row],[Compounded CPI]])</f>
        <v>4.8578744138485896E-2</v>
      </c>
      <c r="Z94" s="19">
        <f>Table2[[#This Row],[Asset growth A2 with benefit payments deducted]]/(1+Table2[Compounded discount rate A2])</f>
        <v>1.8917328522405914E-2</v>
      </c>
      <c r="AA94" s="82">
        <f>Table2[CPI]+2.8%</f>
        <v>5.57E-2</v>
      </c>
      <c r="AB94" s="18">
        <f t="shared" si="27"/>
        <v>21.342466726409928</v>
      </c>
      <c r="AC94" s="17">
        <f>Table2[[#This Row],[Annual benefit payments (closed scheme)]]/((1+AB93)*(1+Table2[[#This Row],[Discount rate B]])^0.5)+AC93</f>
        <v>60.417087882843319</v>
      </c>
      <c r="AD94" s="45">
        <f>AD93*(1+Table2[Discount rate B])</f>
        <v>1340.5480035845958</v>
      </c>
      <c r="AE94" s="16">
        <f>Table2[[#This Row],[Asset growth B]]/(1+Table2[Compounded CPI])</f>
        <v>287.90559575884203</v>
      </c>
      <c r="AF94" s="17">
        <f>(AF93*((1+Table2[Discount rate B])^0.5)-Table2[Annual benefit payments (closed scheme)])*(1+Table2[Discount rate B])^0.5</f>
        <v>-9.3187721444154583</v>
      </c>
      <c r="AG94" s="17">
        <f>Table2[[#This Row],[Asset growth B with benefit payments deducted]]/(1+Table2[Compounded CPI])</f>
        <v>-2.00136558989663</v>
      </c>
      <c r="AH94" s="19">
        <f>Table2[[#This Row],[Asset growth B with benefit payments deducted]]/(1+Table2[Compounded discount rate B])</f>
        <v>-0.41708788284331189</v>
      </c>
      <c r="AI94" s="11">
        <f>Table2[CPI]+2.56%</f>
        <v>5.33E-2</v>
      </c>
      <c r="AJ94" s="18">
        <f t="shared" si="28"/>
        <v>23.220918077304447</v>
      </c>
      <c r="AK94" s="17">
        <f>Table2[[#This Row],[Annual benefit payments (closed scheme)]]/((1+AJ93)*(1+Table2[[#This Row],[Discount rate C]])^0.5)+AK93</f>
        <v>52.344324288000074</v>
      </c>
      <c r="AL94" s="17">
        <f>AL93*(1+Table2[Discount rate C])</f>
        <v>1453.2550846382669</v>
      </c>
      <c r="AM94" s="17">
        <f>Table2[[#This Row],[Asset growth C]]/(1+Table2[Compounded CPI])</f>
        <v>312.11136774927382</v>
      </c>
      <c r="AN94" s="17">
        <f>(AN93*((1+Table2[Discount rate C])^0.5)-Table2[Annual benefit payments (closed scheme)])*(1+Table2[Discount rate C])^0.5</f>
        <v>185.42749424675853</v>
      </c>
      <c r="AO94" s="17">
        <f>Table2[[#This Row],[Asset growth C with benefit payments deducted]]/(1+Table2[Compounded CPI])</f>
        <v>39.823723625286313</v>
      </c>
      <c r="AP94" s="19">
        <f>Table2[[#This Row],[Asset growth C with benefit payments deducted]]/(1+Table2[Compounded discount rate C])</f>
        <v>7.6556757119998817</v>
      </c>
      <c r="AQ94" s="11">
        <f>Table2[CPI]+2.56%</f>
        <v>5.33E-2</v>
      </c>
      <c r="AR94" s="18">
        <f t="shared" si="29"/>
        <v>21.67240512972776</v>
      </c>
      <c r="AS94" s="17">
        <f>Table2[[#This Row],[Annual benefit payments (closed scheme)]]/((1+AR93)*(1+Table2[[#This Row],[Discount rate D]])^0.5)+AS93</f>
        <v>54.843194609431421</v>
      </c>
      <c r="AT94" s="16">
        <f>AT93*(1+Table2[Discount rate D])</f>
        <v>1360.3443077836648</v>
      </c>
      <c r="AU94" s="17">
        <f>Table2[[#This Row],[Asset growth D]]/(1+Table2[Compounded CPI])</f>
        <v>292.15719043431505</v>
      </c>
      <c r="AV94" s="17">
        <f>(AV93*((1+Table2[Discount rate D])^0.5)-Table2[Annual benefit payments (closed scheme)])*(1+Table2[Discount rate D])^0.5</f>
        <v>116.91718099013461</v>
      </c>
      <c r="AW94" s="17">
        <f>Table2[[#This Row],[Asset growth D with benefit payments deducted]]/(1+Table2[Compounded CPI])</f>
        <v>25.109962908750749</v>
      </c>
      <c r="AX94" s="19">
        <f>Table2[[#This Row],[Asset growth D with benefit payments deducted]]/(1+Table2[Compounded discount rate D])</f>
        <v>5.1568053905685698</v>
      </c>
      <c r="AY94" s="11">
        <f>Table2[CPI]+4%</f>
        <v>6.7699999999999996E-2</v>
      </c>
      <c r="AZ94" s="18">
        <f t="shared" si="30"/>
        <v>50.298480626667498</v>
      </c>
      <c r="BA94" s="17">
        <f>Table2[[#This Row],[Annual benefit payments (closed scheme)]]/((1+AZ93)*(1+Table2[[#This Row],[Discount rate E]])^0.5)+BA93</f>
        <v>48.293445702644121</v>
      </c>
      <c r="BB94" s="17">
        <f>BB93*(1+Table2[Discount rate E])</f>
        <v>3077.9088376000536</v>
      </c>
      <c r="BC94" s="16">
        <f>Table2[[#This Row],[Asset growth E]]/(1+Table2[Compounded CPI])</f>
        <v>661.03352898300579</v>
      </c>
      <c r="BD94" s="17">
        <f>(BD93*((1+Table2[Discount rate E])^0.5)-Table2[Annual benefit payments (closed scheme)])*(1+Table2[Discount rate E])^0.5</f>
        <v>600.52844882794102</v>
      </c>
      <c r="BE94" s="17">
        <f>Table2[[#This Row],[Asset growth E with benefit payments deducted]]/(1+Table2[Compounded CPI])</f>
        <v>128.9737483235385</v>
      </c>
      <c r="BF94" s="19">
        <f>Table2[[#This Row],[Asset growth E with benefit payments deducted]]/(1+Table2[Compounded discount rate E])</f>
        <v>11.706554297355865</v>
      </c>
      <c r="BG94" s="11">
        <f>Table2[[#This Row],[Long-dated forward gilt yields]]+0.75%</f>
        <v>2.5600000000000001E-2</v>
      </c>
      <c r="BH94" s="11">
        <f t="shared" si="31"/>
        <v>4.1138026474175877</v>
      </c>
      <c r="BI94" s="17">
        <f>((Table2[[#This Row],[Annual benefit payments (closed scheme)]])*1.005^(Table2[[#This Row],[Year]]-2018))/((1+BH93)*(1+Table2[[#This Row],[Discount rate F]])^0.5)+BI93</f>
        <v>82.276109049310264</v>
      </c>
      <c r="BJ94" s="17">
        <f>BJ93*(1+Table2[Discount rate F])</f>
        <v>421.08838200055828</v>
      </c>
      <c r="BK94" s="17">
        <f>Table2[[#This Row],[Asset growth F, under the assumption of full-funding at Year 0]]/(1+Table2[[#This Row],[Compounded CPI]])</f>
        <v>90.435927070736255</v>
      </c>
      <c r="BL94" s="17">
        <f>(BL93*((1+Table2[Discount rate F])^0.5)-Table2[Annual benefit payments (closed scheme)]*1.005^(Table2[Year]-2018))*(1+Table2[Discount rate F])^0.5</f>
        <v>0.34459772497738644</v>
      </c>
      <c r="BM94" s="17">
        <f>Table2[[#This Row],[Asset growth F with benefit payments deducted]]/(1+Table2[Compounded CPI])</f>
        <v>7.4008251134212555E-2</v>
      </c>
      <c r="BN94" s="19">
        <f>Table2[[#This Row],[Asset growth F with benefit payments deducted]]/(1+Table2[Compounded discount rate F])</f>
        <v>6.7385808318474003E-2</v>
      </c>
      <c r="BO94" s="18">
        <f>(1+BO93)*(1+Table2[Discount rate A2])-1</f>
        <v>5.724625697667463</v>
      </c>
      <c r="BP94" s="17">
        <f>Table2[[#This Row],[Annual benefit payments (ongoing scheme)]]/((1+BO93)*(1+Table2[[#This Row],[Discount rate A2]])^0.5)+BP93</f>
        <v>109.87427232781044</v>
      </c>
      <c r="BQ94" s="17">
        <f>(BQ93*((1+Table2[Discount rate A2])^0.5)-Table2[Annual benefit payments (ongoing scheme)])*(1+Table2[Discount rate A2])^0.5</f>
        <v>17.718722019967519</v>
      </c>
      <c r="BR94" s="18">
        <f>(1+BR93)*(1+Table2[Discount rate B])-1</f>
        <v>10.386554800803667</v>
      </c>
      <c r="BS94" s="17">
        <f>Table2[[#This Row],[Annual benefit payments (ongoing scheme)]]/((1+BR93)*(1+Table2[[#This Row],[Discount rate B]])^0.5)+BS93</f>
        <v>92.046656392044738</v>
      </c>
      <c r="BT94" s="18">
        <f>(1+BT93)*(1+Table2[Discount rate E])-1</f>
        <v>19.099823506981753</v>
      </c>
      <c r="BU94" s="17">
        <f>Table2[[#This Row],[Annual benefit payments (ongoing scheme)]]/((1+BT93)*(1+Table2[[#This Row],[Discount rate E]])^0.5)+BU93</f>
        <v>77.358664856486826</v>
      </c>
      <c r="BV94" s="18">
        <f>Table2[CPI]+0.75%+0.75%</f>
        <v>4.2699999999999995E-2</v>
      </c>
      <c r="BW94" s="18">
        <f>(1+BW93)*(1+Table2[Self-sufficiency discount rate, from 2037])-1</f>
        <v>5.1069139566461415</v>
      </c>
      <c r="BX94" s="17">
        <f>(Table2[[#This Row],[Annual benefit payments (ongoing scheme)]]*1.005^(Table2[[#This Row],[Year]]-2038))/((1+BW93)*(1+Table2[[#This Row],[Self-sufficiency discount rate, from 2037]])^0.5)+BX93</f>
        <v>124.18275047806478</v>
      </c>
      <c r="BY94" s="17">
        <f>(BY93*((1+Table2[Self-sufficiency discount rate, from 2037])^0.5)-Table2[Annual benefit payments (ongoing scheme)]*1.005^(Table2[Year]-2038))*(1+Table2[Self-sufficiency discount rate, from 2037])^0.5</f>
        <v>23.62014454985189</v>
      </c>
      <c r="BZ94" s="17">
        <f>(BZ93*((1+Table2[Discount rate B])^0.5)-Table2[Annual benefit payments (ongoing scheme)])*(1+Table2[Discount rate B])^0.5</f>
        <v>16.695944799639005</v>
      </c>
      <c r="CA94" s="17">
        <f>(CA93*((1+Table2[Discount rate A2])^0.5)+Table2[Net cashflow (ongoing scheme)])*(1+Table2[Discount rate A2])^0.5</f>
        <v>15.49310453085798</v>
      </c>
      <c r="CB94" s="17">
        <f>Table2[[#This Row],[Asset growth, ongoing scheme, with November de-risking, net of contributions and payments]]/(1+Table2[Compounded discount rate A2])</f>
        <v>1.2957455008401995</v>
      </c>
      <c r="CC94" s="17">
        <f>Table2[[#This Row],[Asset growth, ongoing scheme, with November de-risking, net of contributions and payments]]/(1+Table2[Compounded CPI])</f>
        <v>3.3274089985463151</v>
      </c>
      <c r="CD94" s="17">
        <f>(CD93*((1+Table2[Discount rate A1])^0.5)+Table2[Net cashflow (ongoing scheme)])*(1+Table2[Discount rate A1])^0.5</f>
        <v>54.110094990281446</v>
      </c>
      <c r="CE94" s="17">
        <f>Table2[[#This Row],[Asset growth, ongoing scheme, with September de-risking, net of contributions and payments]]/(1+Table2[Compounded discount rate A1])</f>
        <v>4.298279382649933</v>
      </c>
      <c r="CF94" s="17">
        <f>Table2[[#This Row],[Asset growth, ongoing scheme, with September de-risking, net of contributions and payments]]/(1+Table2[Compounded CPI])</f>
        <v>11.621067722370018</v>
      </c>
      <c r="CG94" s="17">
        <f>(CG93*((1+Table2[Discount rate B])^0.5)+Table2[Net cashflow (ongoing scheme)])*(1+Table2[Discount rate B])^0.5</f>
        <v>358.66540796415569</v>
      </c>
      <c r="CH94" s="17">
        <f>Table2[[#This Row],[Asset growth, ongoing scheme, no de-risking, net of contributions and payments]]/(1+Table2[Compounded discount rate B])</f>
        <v>16.053080098814469</v>
      </c>
      <c r="CI94" s="17">
        <f>Table2[[#This Row],[Asset growth, ongoing scheme, no de-risking, net of contributions and payments]]/(1+Table2[Compounded CPI])</f>
        <v>77.029526493559842</v>
      </c>
      <c r="CJ94" s="17">
        <f>(CJ93*((1+Table2[Discount rate E])^0.5)+Table2[Net cashflow (ongoing scheme)])*(1+Table2[Discount rate E])^0.5</f>
        <v>1653.9352084746452</v>
      </c>
      <c r="CK94" s="17">
        <f>Table2[[#This Row],[Asset growth, ongoing scheme, best-estimates, no de-risking, net of contributions and payments ]]/(1+Table2[Compounded discount rate E])</f>
        <v>32.241407314017941</v>
      </c>
      <c r="CL94" s="17">
        <f>Table2[[#This Row],[Asset growth, ongoing scheme, best-estimates, no de-risking, net of contributions and payments ]]/(1+Table2[Compounded CPI])</f>
        <v>355.21085426939578</v>
      </c>
      <c r="CM94" s="9">
        <f t="shared" si="24"/>
        <v>2.7699999999999999E-2</v>
      </c>
      <c r="CN94" s="11">
        <f>(1+Table2[[#This Row],[CPI]])*(1+CN93)-1</f>
        <v>3.6562068377006369</v>
      </c>
      <c r="CO94" s="11">
        <f t="shared" si="23"/>
        <v>1.8100000000000002E-2</v>
      </c>
      <c r="CP94" s="11">
        <f>Table2[[#This Row],[CPI]]+2%</f>
        <v>4.7699999999999999E-2</v>
      </c>
      <c r="CQ94" s="26">
        <f>(1+Table2[[#This Row],[Salary growth]])*(1+CQ93)-1</f>
        <v>16.55820108378466</v>
      </c>
      <c r="CR94" s="15">
        <f t="shared" si="25"/>
        <v>46.562068377006348</v>
      </c>
      <c r="CS94" s="17">
        <f t="shared" si="26"/>
        <v>60.530688890108252</v>
      </c>
      <c r="CT94" s="17">
        <f>CT93*(1+Table2[[#This Row],[Salary growth]])</f>
        <v>175.58201083784661</v>
      </c>
      <c r="CU94" s="19">
        <f t="shared" si="22"/>
        <v>228.25661408920055</v>
      </c>
      <c r="CV94" s="112">
        <f>('Cash flows as at 31032017'!B79)/1000000000</f>
        <v>8.1496760000000001E-2</v>
      </c>
      <c r="CW94" s="113">
        <v>0</v>
      </c>
      <c r="CX94" s="113">
        <f>Table2[[#This Row],[Annual contributions (closed scheme)]]-Table2[[#This Row],[Annual benefit payments (closed scheme)]]</f>
        <v>-8.1496760000000001E-2</v>
      </c>
      <c r="CY94" s="113">
        <v>2.5099999999999998</v>
      </c>
      <c r="CZ94" s="113">
        <v>0</v>
      </c>
      <c r="DA94" s="113">
        <v>-2.5099999999999998</v>
      </c>
      <c r="DB94" s="17"/>
      <c r="DC94" s="84"/>
      <c r="DD94" s="84"/>
      <c r="DE94" s="84"/>
      <c r="DF94" s="84"/>
      <c r="DG94" s="84"/>
      <c r="DH94" s="84"/>
      <c r="DI94" s="84"/>
      <c r="DJ94" s="84"/>
      <c r="DK94" s="84"/>
      <c r="DL94" s="84"/>
      <c r="DM94" s="84"/>
      <c r="DN94" s="84"/>
      <c r="DO94" s="84"/>
      <c r="DP94" s="84"/>
      <c r="DQ94" s="84"/>
      <c r="DR94" s="84"/>
      <c r="DS94" s="84"/>
      <c r="DT94" s="84"/>
      <c r="DU94" s="84"/>
      <c r="DV94" s="84"/>
      <c r="DW94" s="84"/>
      <c r="DX94" s="84"/>
      <c r="DY94" s="84"/>
      <c r="DZ94" s="84"/>
      <c r="EA94" s="84"/>
      <c r="EB94" s="84"/>
      <c r="EC94" s="84"/>
      <c r="ED94" s="84"/>
      <c r="EE94" s="84"/>
      <c r="EF94" s="84"/>
      <c r="EG94" s="84"/>
      <c r="EH94" s="84"/>
      <c r="EI94" s="84"/>
      <c r="EJ94" s="84"/>
      <c r="EK94" s="84"/>
      <c r="EL94" s="84"/>
      <c r="EM94" s="84"/>
      <c r="EN94" s="84"/>
      <c r="EO94" s="84"/>
      <c r="EP94" s="84"/>
      <c r="EQ94" s="84"/>
      <c r="ER94" s="84"/>
      <c r="ES94" s="84"/>
      <c r="ET94" s="84"/>
      <c r="EU94" s="84"/>
      <c r="EV94" s="84"/>
      <c r="EW94" s="84"/>
      <c r="EX94" s="84"/>
      <c r="EY94" s="84"/>
      <c r="EZ94" s="84"/>
      <c r="FA94" s="84"/>
      <c r="FB94" s="84"/>
      <c r="FC94" s="84"/>
      <c r="FD94" s="84"/>
      <c r="FE94" s="84"/>
      <c r="FF94" s="84"/>
      <c r="FG94" s="84"/>
      <c r="FH94" s="84"/>
      <c r="FI94" s="84"/>
      <c r="FJ94" s="84"/>
      <c r="FK94" s="84"/>
      <c r="FL94" s="84"/>
      <c r="FM94" s="84"/>
      <c r="FN94" s="84"/>
      <c r="FO94" s="84"/>
      <c r="FP94" s="84"/>
      <c r="FQ94" s="84"/>
      <c r="FR94" s="84"/>
      <c r="FS94" s="84"/>
      <c r="FT94" s="84"/>
      <c r="FU94" s="84"/>
    </row>
    <row r="95" spans="1:179" x14ac:dyDescent="0.2">
      <c r="A95" s="8">
        <v>2088</v>
      </c>
      <c r="B95" s="67"/>
      <c r="C95" s="67"/>
      <c r="D95" s="67"/>
      <c r="E95" s="35">
        <v>6.0999999999999999E-2</v>
      </c>
      <c r="F95" s="16">
        <f>F94*(1+Table2[[#This Row],[2008 discount rate]])</f>
        <v>3844.7873354900244</v>
      </c>
      <c r="G95" s="18">
        <v>6.0999999999999999E-2</v>
      </c>
      <c r="H95" s="16">
        <f>H94*(1+Table2[[#This Row],[2011 discount rate]])</f>
        <v>3159.4973376569169</v>
      </c>
      <c r="I95" s="18">
        <v>5.1999999999999998E-2</v>
      </c>
      <c r="J95" s="16">
        <f>J94*(1+Table2[[#This Row],[2014 discount rate]])</f>
        <v>1775.3336866852439</v>
      </c>
      <c r="K95" s="9">
        <f>Table2[CPI]+1.7%</f>
        <v>4.4700000000000004E-2</v>
      </c>
      <c r="L95" s="66">
        <f t="shared" si="21"/>
        <v>12.151498821720711</v>
      </c>
      <c r="M95" s="17">
        <f>Table2[[#This Row],[Annual benefit payments (closed scheme)]]/((1+L94)*(1+Table2[[#This Row],[Discount rate A1]])^0.5)+M94</f>
        <v>64.90957385872197</v>
      </c>
      <c r="N95" s="17">
        <f>N94*(1+Table2[Discount rate A1])</f>
        <v>853.82908597375751</v>
      </c>
      <c r="O95" s="17">
        <f>Table2[[#This Row],[Asset growth A1, under the assumption of full-funding at Year 0]]/(1+Table2[[#This Row],[Compounded CPI]])</f>
        <v>178.43182781051846</v>
      </c>
      <c r="P95" s="17">
        <f>(P94*((1+Table2[Discount rate A1])^0.5)-Table2[Annual benefit payments (closed scheme)])*(1+Table2[Discount rate A1])^0.5</f>
        <v>0.17090185238101366</v>
      </c>
      <c r="Q95" s="17">
        <f>Table2[[#This Row],[Asset growth A1 with benefit payments deducted]]/(1+Table2[Compounded CPI])</f>
        <v>3.5714793976326209E-2</v>
      </c>
      <c r="R95" s="17">
        <f>Table2[[#This Row],[Asset growth A1 with benefit payments deducted]]/(1+Table2[Compounded discount rate A1])</f>
        <v>1.2994857445354906E-2</v>
      </c>
      <c r="S95" s="9">
        <f>Table2[CPI]+1.7%</f>
        <v>4.4700000000000004E-2</v>
      </c>
      <c r="T95" s="18">
        <f t="shared" si="20"/>
        <v>11.491377583709211</v>
      </c>
      <c r="U95" s="17">
        <f>Table2[[#This Row],[Annual benefit payments (closed scheme)]]/((1+T94)*(1+Table2[[#This Row],[Discount rate A2]])^0.5)+U94</f>
        <v>67.497624447254054</v>
      </c>
      <c r="V95" s="17">
        <f>V94*(1+Table2[Discount rate A2])</f>
        <v>843.30921482643294</v>
      </c>
      <c r="W95" s="17">
        <f>Table2[[#This Row],[Asset growth A2, under the assumption of full-funding at Year 0]]/(1+Table2[Compounded CPI])</f>
        <v>176.23340207405209</v>
      </c>
      <c r="X95" s="17">
        <f>(X94*((1+Table2[Discount rate A2])^0.5)-Table2[Annual benefit payments (closed scheme)])*(1+Table2[Discount rate A2])^0.5</f>
        <v>0.17090185238126113</v>
      </c>
      <c r="Y95" s="17">
        <f>Table2[[#This Row],[Asset growth A2 with benefit payments deducted]]/(1+Table2[[#This Row],[Compounded CPI]])</f>
        <v>3.5714793976377925E-2</v>
      </c>
      <c r="Z95" s="19">
        <f>Table2[[#This Row],[Asset growth A2 with benefit payments deducted]]/(1+Table2[Compounded discount rate A2])</f>
        <v>1.3681585656664878E-2</v>
      </c>
      <c r="AA95" s="82">
        <f>Table2[CPI]+2.8%</f>
        <v>5.57E-2</v>
      </c>
      <c r="AB95" s="18">
        <f t="shared" si="27"/>
        <v>22.586942123070962</v>
      </c>
      <c r="AC95" s="17">
        <f>Table2[[#This Row],[Annual benefit payments (closed scheme)]]/((1+AB94)*(1+Table2[[#This Row],[Discount rate B]])^0.5)+AC94</f>
        <v>60.419875232602998</v>
      </c>
      <c r="AD95" s="45">
        <f>AD94*(1+Table2[Discount rate B])</f>
        <v>1415.2165273842579</v>
      </c>
      <c r="AE95" s="16">
        <f>Table2[[#This Row],[Asset growth B]]/(1+Table2[Compounded CPI])</f>
        <v>295.74967154092593</v>
      </c>
      <c r="AF95" s="17">
        <f>(AF94*((1+Table2[Discount rate B])^0.5)-Table2[Annual benefit payments (closed scheme)])*(1+Table2[Discount rate B])^0.5</f>
        <v>-9.9035728103176552</v>
      </c>
      <c r="AG95" s="17">
        <f>Table2[[#This Row],[Asset growth B with benefit payments deducted]]/(1+Table2[Compounded CPI])</f>
        <v>-2.0696327021750633</v>
      </c>
      <c r="AH95" s="19">
        <f>Table2[[#This Row],[Asset growth B with benefit payments deducted]]/(1+Table2[Compounded discount rate B])</f>
        <v>-0.41987523260298881</v>
      </c>
      <c r="AI95" s="11">
        <f>Table2[CPI]+2.56%</f>
        <v>5.33E-2</v>
      </c>
      <c r="AJ95" s="18">
        <f t="shared" si="28"/>
        <v>24.511893010824771</v>
      </c>
      <c r="AK95" s="17">
        <f>Table2[[#This Row],[Annual benefit payments (closed scheme)]]/((1+AJ94)*(1+Table2[[#This Row],[Discount rate C]])^0.5)+AK94</f>
        <v>52.346898392688651</v>
      </c>
      <c r="AL95" s="17">
        <f>AL94*(1+Table2[Discount rate C])</f>
        <v>1530.7135806494864</v>
      </c>
      <c r="AM95" s="17">
        <f>Table2[[#This Row],[Asset growth C]]/(1+Table2[Compounded CPI])</f>
        <v>319.88605979401586</v>
      </c>
      <c r="AN95" s="17">
        <f>(AN94*((1+Table2[Discount rate C])^0.5)-Table2[Annual benefit payments (closed scheme)])*(1+Table2[Discount rate C])^0.5</f>
        <v>195.24510940669708</v>
      </c>
      <c r="AO95" s="17">
        <f>Table2[[#This Row],[Asset growth C with benefit payments deducted]]/(1+Table2[Compounded CPI])</f>
        <v>40.802008639434376</v>
      </c>
      <c r="AP95" s="19">
        <f>Table2[[#This Row],[Asset growth C with benefit payments deducted]]/(1+Table2[Compounded discount rate C])</f>
        <v>7.6531016073113038</v>
      </c>
      <c r="AQ95" s="11">
        <f>Table2[CPI]+2.56%</f>
        <v>5.33E-2</v>
      </c>
      <c r="AR95" s="18">
        <f t="shared" si="29"/>
        <v>22.880844323142249</v>
      </c>
      <c r="AS95" s="17">
        <f>Table2[[#This Row],[Annual benefit payments (closed scheme)]]/((1+AR94)*(1+Table2[[#This Row],[Discount rate D]])^0.5)+AS94</f>
        <v>54.845944524071164</v>
      </c>
      <c r="AT95" s="16">
        <f>AT94*(1+Table2[Discount rate D])</f>
        <v>1432.850659388534</v>
      </c>
      <c r="AU95" s="17">
        <f>Table2[[#This Row],[Asset growth D]]/(1+Table2[Compounded CPI])</f>
        <v>299.43482405805582</v>
      </c>
      <c r="AV95" s="17">
        <f>(AV94*((1+Table2[Discount rate D])^0.5)-Table2[Annual benefit payments (closed scheme)])*(1+Table2[Discount rate D])^0.5</f>
        <v>123.08319645349512</v>
      </c>
      <c r="AW95" s="17">
        <f>Table2[[#This Row],[Asset growth D with benefit payments deducted]]/(1+Table2[Compounded CPI])</f>
        <v>25.721728243670135</v>
      </c>
      <c r="AX95" s="19">
        <f>Table2[[#This Row],[Asset growth D with benefit payments deducted]]/(1+Table2[Compounded discount rate D])</f>
        <v>5.1540554759288257</v>
      </c>
      <c r="AY95" s="11">
        <f>Table2[CPI]+4%</f>
        <v>6.7699999999999996E-2</v>
      </c>
      <c r="AZ95" s="18">
        <f t="shared" si="30"/>
        <v>53.771387765092889</v>
      </c>
      <c r="BA95" s="17">
        <f>Table2[[#This Row],[Annual benefit payments (closed scheme)]]/((1+AZ94)*(1+Table2[[#This Row],[Discount rate E]])^0.5)+BA94</f>
        <v>48.294652859554603</v>
      </c>
      <c r="BB95" s="17">
        <f>BB94*(1+Table2[Discount rate E])</f>
        <v>3286.2832659055775</v>
      </c>
      <c r="BC95" s="16">
        <f>Table2[[#This Row],[Asset growth E]]/(1+Table2[Compounded CPI])</f>
        <v>686.7621863337115</v>
      </c>
      <c r="BD95" s="17">
        <f>(BD94*((1+Table2[Discount rate E])^0.5)-Table2[Annual benefit payments (closed scheme)])*(1+Table2[Discount rate E])^0.5</f>
        <v>641.11810715435547</v>
      </c>
      <c r="BE95" s="17">
        <f>Table2[[#This Row],[Asset growth E with benefit payments deducted]]/(1+Table2[Compounded CPI])</f>
        <v>133.97982989945535</v>
      </c>
      <c r="BF95" s="19">
        <f>Table2[[#This Row],[Asset growth E with benefit payments deducted]]/(1+Table2[Compounded discount rate E])</f>
        <v>11.705347140445387</v>
      </c>
      <c r="BG95" s="11">
        <f>Table2[[#This Row],[Long-dated forward gilt yields]]+0.75%</f>
        <v>2.5600000000000001E-2</v>
      </c>
      <c r="BH95" s="11">
        <f t="shared" si="31"/>
        <v>4.2447159951914779</v>
      </c>
      <c r="BI95" s="17">
        <f>((Table2[[#This Row],[Annual benefit payments (closed scheme)]])*1.005^(Table2[[#This Row],[Year]]-2018))/((1+BH94)*(1+Table2[[#This Row],[Discount rate F]])^0.5)+BI94</f>
        <v>82.293627036389921</v>
      </c>
      <c r="BJ95" s="17">
        <f>BJ94*(1+Table2[Discount rate F])</f>
        <v>431.86824457977258</v>
      </c>
      <c r="BK95" s="17">
        <f>Table2[[#This Row],[Asset growth F, under the assumption of full-funding at Year 0]]/(1+Table2[[#This Row],[Compounded CPI]])</f>
        <v>90.251130489196356</v>
      </c>
      <c r="BL95" s="17">
        <f>(BL94*((1+Table2[Discount rate F])^0.5)-Table2[Annual benefit payments (closed scheme)]*1.005^(Table2[Year]-2018))*(1+Table2[Discount rate F])^0.5</f>
        <v>0.26154255969657031</v>
      </c>
      <c r="BM95" s="17">
        <f>Table2[[#This Row],[Asset growth F with benefit payments deducted]]/(1+Table2[Compounded CPI])</f>
        <v>5.4656743068992854E-2</v>
      </c>
      <c r="BN95" s="19">
        <f>Table2[[#This Row],[Asset growth F with benefit payments deducted]]/(1+Table2[Compounded discount rate F])</f>
        <v>4.9867821238816522E-2</v>
      </c>
      <c r="BO95" s="18">
        <f>(1+BO94)*(1+Table2[Discount rate A2])-1</f>
        <v>6.0252164663531982</v>
      </c>
      <c r="BP95" s="17">
        <f>Table2[[#This Row],[Annual benefit payments (ongoing scheme)]]/((1+BO94)*(1+Table2[[#This Row],[Discount rate A2]])^0.5)+BP94</f>
        <v>110.22927033334854</v>
      </c>
      <c r="BQ95" s="17">
        <f>(BQ94*((1+Table2[Discount rate A2])^0.5)-Table2[Annual benefit payments (ongoing scheme)])*(1+Table2[Discount rate A2])^0.5</f>
        <v>16.016811060231316</v>
      </c>
      <c r="BR95" s="18">
        <f>(1+BR94)*(1+Table2[Discount rate B])-1</f>
        <v>11.020785903208433</v>
      </c>
      <c r="BS95" s="17">
        <f>Table2[[#This Row],[Annual benefit payments (ongoing scheme)]]/((1+BR94)*(1+Table2[[#This Row],[Discount rate B]])^0.5)+BS94</f>
        <v>92.255214570434731</v>
      </c>
      <c r="BT95" s="18">
        <f>(1+BT94)*(1+Table2[Discount rate E])-1</f>
        <v>20.460581558404421</v>
      </c>
      <c r="BU95" s="17">
        <f>Table2[[#This Row],[Annual benefit payments (ongoing scheme)]]/((1+BT94)*(1+Table2[[#This Row],[Discount rate E]])^0.5)+BU94</f>
        <v>77.476147297344383</v>
      </c>
      <c r="BV95" s="18">
        <f>Table2[CPI]+0.75%+0.75%</f>
        <v>4.2699999999999995E-2</v>
      </c>
      <c r="BW95" s="18">
        <f>(1+BW94)*(1+Table2[Self-sufficiency discount rate, from 2037])-1</f>
        <v>5.367679182594931</v>
      </c>
      <c r="BX95" s="17">
        <f>(Table2[[#This Row],[Annual benefit payments (ongoing scheme)]]*1.005^(Table2[[#This Row],[Year]]-2038))/((1+BW94)*(1+Table2[[#This Row],[Self-sufficiency discount rate, from 2037]])^0.5)+BX94</f>
        <v>124.68485187116821</v>
      </c>
      <c r="BY95" s="17">
        <f>(BY94*((1+Table2[Self-sufficiency discount rate, from 2037])^0.5)-Table2[Annual benefit payments (ongoing scheme)]*1.005^(Table2[Year]-2038))*(1+Table2[Self-sufficiency discount rate, from 2037])^0.5</f>
        <v>21.431504133713943</v>
      </c>
      <c r="BZ95" s="17">
        <f>(BZ94*((1+Table2[Discount rate B])^0.5)-Table2[Annual benefit payments (ongoing scheme)])*(1+Table2[Discount rate B])^0.5</f>
        <v>15.118875714189697</v>
      </c>
      <c r="CA95" s="17">
        <f>(CA94*((1+Table2[Discount rate A2])^0.5)+Table2[Net cashflow (ongoing scheme)])*(1+Table2[Discount rate A2])^0.5</f>
        <v>13.691708469358584</v>
      </c>
      <c r="CB95" s="17">
        <f>Table2[[#This Row],[Asset growth, ongoing scheme, with November de-risking, net of contributions and payments]]/(1+Table2[Compounded discount rate A2])</f>
        <v>1.0960927549908346</v>
      </c>
      <c r="CC95" s="17">
        <f>Table2[[#This Row],[Asset growth, ongoing scheme, with November de-risking, net of contributions and payments]]/(1+Table2[Compounded CPI])</f>
        <v>2.8612711936958948</v>
      </c>
      <c r="CD95" s="17">
        <f>(CD94*((1+Table2[Discount rate A1])^0.5)+Table2[Net cashflow (ongoing scheme)])*(1+Table2[Discount rate A1])^0.5</f>
        <v>54.03487840231827</v>
      </c>
      <c r="CE95" s="17">
        <f>Table2[[#This Row],[Asset growth, ongoing scheme, with September de-risking, net of contributions and payments]]/(1+Table2[Compounded discount rate A1])</f>
        <v>4.1086479293961169</v>
      </c>
      <c r="CF95" s="17">
        <f>Table2[[#This Row],[Asset growth, ongoing scheme, with September de-risking, net of contributions and payments]]/(1+Table2[Compounded CPI])</f>
        <v>11.292121897966227</v>
      </c>
      <c r="CG95" s="17">
        <f>(CG94*((1+Table2[Discount rate B])^0.5)+Table2[Net cashflow (ongoing scheme)])*(1+Table2[Discount rate B])^0.5</f>
        <v>376.13603797696993</v>
      </c>
      <c r="CH95" s="17">
        <f>Table2[[#This Row],[Asset growth, ongoing scheme, no de-risking, net of contributions and payments]]/(1+Table2[Compounded discount rate B])</f>
        <v>15.946791068311569</v>
      </c>
      <c r="CI95" s="17">
        <f>Table2[[#This Row],[Asset growth, ongoing scheme, no de-risking, net of contributions and payments]]/(1+Table2[Compounded CPI])</f>
        <v>78.604303676415284</v>
      </c>
      <c r="CJ95" s="17">
        <f>(CJ94*((1+Table2[Discount rate E])^0.5)+Table2[Net cashflow (ongoing scheme)])*(1+Table2[Discount rate E])^0.5</f>
        <v>1763.3853805846743</v>
      </c>
      <c r="CK95" s="17">
        <f>Table2[[#This Row],[Asset growth, ongoing scheme, best-estimates, no de-risking, net of contributions and payments ]]/(1+Table2[Compounded discount rate E])</f>
        <v>32.195375223056182</v>
      </c>
      <c r="CL95" s="17">
        <f>Table2[[#This Row],[Asset growth, ongoing scheme, best-estimates, no de-risking, net of contributions and payments ]]/(1+Table2[Compounded CPI])</f>
        <v>368.50943796700403</v>
      </c>
      <c r="CM95" s="9">
        <f t="shared" si="24"/>
        <v>2.7699999999999999E-2</v>
      </c>
      <c r="CN95" s="11">
        <f>(1+Table2[[#This Row],[CPI]])*(1+CN94)-1</f>
        <v>3.7851837671049449</v>
      </c>
      <c r="CO95" s="11">
        <f t="shared" si="23"/>
        <v>1.8100000000000002E-2</v>
      </c>
      <c r="CP95" s="11">
        <f>Table2[[#This Row],[CPI]]+2%</f>
        <v>4.7699999999999999E-2</v>
      </c>
      <c r="CQ95" s="26">
        <f>(1+Table2[[#This Row],[Salary growth]])*(1+CQ94)-1</f>
        <v>17.395727275481189</v>
      </c>
      <c r="CR95" s="15">
        <f t="shared" si="25"/>
        <v>47.851837671049424</v>
      </c>
      <c r="CS95" s="17">
        <f t="shared" si="26"/>
        <v>62.207388972364257</v>
      </c>
      <c r="CT95" s="17">
        <f>CT94*(1+Table2[[#This Row],[Salary growth]])</f>
        <v>183.9572727548119</v>
      </c>
      <c r="CU95" s="19">
        <f t="shared" si="22"/>
        <v>239.14445458125545</v>
      </c>
      <c r="CV95" s="112">
        <f>('Cash flows as at 31032017'!B80)/1000000000</f>
        <v>6.3987162E-2</v>
      </c>
      <c r="CW95" s="113">
        <v>0</v>
      </c>
      <c r="CX95" s="113">
        <f>Table2[[#This Row],[Annual contributions (closed scheme)]]-Table2[[#This Row],[Annual benefit payments (closed scheme)]]</f>
        <v>-6.3987162E-2</v>
      </c>
      <c r="CY95" s="113">
        <v>2.44</v>
      </c>
      <c r="CZ95" s="113">
        <v>0</v>
      </c>
      <c r="DA95" s="113">
        <v>-2.44</v>
      </c>
      <c r="DB95" s="17"/>
      <c r="DC95" s="84"/>
      <c r="DD95" s="84"/>
      <c r="DE95" s="84"/>
      <c r="DF95" s="84"/>
      <c r="DG95" s="84"/>
      <c r="DH95" s="84"/>
      <c r="DI95" s="84"/>
      <c r="DJ95" s="84"/>
      <c r="DK95" s="84"/>
      <c r="DL95" s="84"/>
      <c r="DM95" s="84"/>
      <c r="DN95" s="84"/>
      <c r="DO95" s="84"/>
      <c r="DP95" s="84"/>
      <c r="DQ95" s="84"/>
      <c r="DR95" s="84"/>
      <c r="DS95" s="84"/>
      <c r="DT95" s="84"/>
      <c r="DU95" s="84"/>
      <c r="DV95" s="84"/>
      <c r="DW95" s="84"/>
      <c r="DX95" s="84"/>
      <c r="DY95" s="84"/>
      <c r="DZ95" s="84"/>
      <c r="EA95" s="84"/>
      <c r="EB95" s="84"/>
      <c r="EC95" s="84"/>
      <c r="ED95" s="84"/>
      <c r="EE95" s="84"/>
      <c r="EF95" s="84"/>
      <c r="EG95" s="84"/>
      <c r="EH95" s="84"/>
      <c r="EI95" s="84"/>
      <c r="EJ95" s="84"/>
      <c r="EK95" s="84"/>
      <c r="EL95" s="84"/>
      <c r="EM95" s="84"/>
      <c r="EN95" s="84"/>
      <c r="EO95" s="84"/>
      <c r="EP95" s="84"/>
      <c r="EQ95" s="84"/>
      <c r="ER95" s="84"/>
      <c r="ES95" s="84"/>
      <c r="ET95" s="84"/>
      <c r="EU95" s="84"/>
      <c r="EV95" s="84"/>
      <c r="EW95" s="84"/>
      <c r="EX95" s="84"/>
      <c r="EY95" s="84"/>
      <c r="EZ95" s="84"/>
      <c r="FA95" s="84"/>
      <c r="FB95" s="84"/>
      <c r="FC95" s="84"/>
      <c r="FD95" s="84"/>
      <c r="FE95" s="84"/>
      <c r="FF95" s="84"/>
      <c r="FG95" s="84"/>
      <c r="FH95" s="84"/>
      <c r="FI95" s="84"/>
      <c r="FJ95" s="84"/>
      <c r="FK95" s="84"/>
      <c r="FL95" s="84"/>
      <c r="FM95" s="84"/>
      <c r="FN95" s="84"/>
      <c r="FO95" s="84"/>
      <c r="FP95" s="84"/>
      <c r="FQ95" s="84"/>
      <c r="FR95" s="84"/>
      <c r="FS95" s="84"/>
      <c r="FT95" s="84"/>
      <c r="FU95" s="84"/>
      <c r="FV95" s="84"/>
    </row>
    <row r="96" spans="1:179" x14ac:dyDescent="0.2">
      <c r="A96" s="8">
        <v>2089</v>
      </c>
      <c r="B96" s="67"/>
      <c r="C96" s="67"/>
      <c r="D96" s="67"/>
      <c r="E96" s="35">
        <v>6.0999999999999999E-2</v>
      </c>
      <c r="F96" s="16">
        <f>F95*(1+Table2[[#This Row],[2008 discount rate]])</f>
        <v>4079.3193629549155</v>
      </c>
      <c r="G96" s="18">
        <v>6.0999999999999999E-2</v>
      </c>
      <c r="H96" s="16">
        <f>H95*(1+Table2[[#This Row],[2011 discount rate]])</f>
        <v>3352.2266752539886</v>
      </c>
      <c r="I96" s="18">
        <v>5.1999999999999998E-2</v>
      </c>
      <c r="J96" s="16">
        <f>J95*(1+Table2[[#This Row],[2014 discount rate]])</f>
        <v>1867.6510383928767</v>
      </c>
      <c r="K96" s="9">
        <f>Table2[CPI]+1.7%</f>
        <v>4.4700000000000004E-2</v>
      </c>
      <c r="L96" s="66">
        <f t="shared" si="21"/>
        <v>12.739370819051626</v>
      </c>
      <c r="M96" s="17">
        <f>Table2[[#This Row],[Annual benefit payments (closed scheme)]]/((1+L95)*(1+Table2[[#This Row],[Discount rate A1]])^0.5)+M95</f>
        <v>64.913258403717848</v>
      </c>
      <c r="N96" s="17">
        <f>N95*(1+Table2[Discount rate A1])</f>
        <v>891.99524611678441</v>
      </c>
      <c r="O96" s="17">
        <f>Table2[[#This Row],[Asset growth A1, under the assumption of full-funding at Year 0]]/(1+Table2[[#This Row],[Compounded CPI]])</f>
        <v>181.38341005512171</v>
      </c>
      <c r="P96" s="17">
        <f>(P95*((1+Table2[Discount rate A1])^0.5)-Table2[Annual benefit payments (closed scheme)])*(1+Table2[Discount rate A1])^0.5</f>
        <v>0.12791783518467537</v>
      </c>
      <c r="Q96" s="17">
        <f>Table2[[#This Row],[Asset growth A1 with benefit payments deducted]]/(1+Table2[Compounded CPI])</f>
        <v>2.6011543507293206E-2</v>
      </c>
      <c r="R96" s="17">
        <f>Table2[[#This Row],[Asset growth A1 with benefit payments deducted]]/(1+Table2[Compounded discount rate A1])</f>
        <v>9.3103124494826779E-3</v>
      </c>
      <c r="S96" s="9">
        <f>Table2[CPI]+1.7%</f>
        <v>4.4700000000000004E-2</v>
      </c>
      <c r="T96" s="18">
        <f t="shared" si="20"/>
        <v>12.049742161701012</v>
      </c>
      <c r="U96" s="17">
        <f>Table2[[#This Row],[Annual benefit payments (closed scheme)]]/((1+T95)*(1+Table2[[#This Row],[Discount rate A2]])^0.5)+U95</f>
        <v>67.50150370627469</v>
      </c>
      <c r="V96" s="17">
        <f>V95*(1+Table2[Discount rate A2])</f>
        <v>881.00513672917441</v>
      </c>
      <c r="W96" s="17">
        <f>Table2[[#This Row],[Asset growth A2, under the assumption of full-funding at Year 0]]/(1+Table2[Compounded CPI])</f>
        <v>179.14861841662176</v>
      </c>
      <c r="X96" s="17">
        <f>(X95*((1+Table2[Discount rate A2])^0.5)-Table2[Annual benefit payments (closed scheme)])*(1+Table2[Discount rate A2])^0.5</f>
        <v>0.12791783518493391</v>
      </c>
      <c r="Y96" s="17">
        <f>Table2[[#This Row],[Asset growth A2 with benefit payments deducted]]/(1+Table2[[#This Row],[Compounded CPI]])</f>
        <v>2.6011543507345782E-2</v>
      </c>
      <c r="Z96" s="19">
        <f>Table2[[#This Row],[Asset growth A2 with benefit payments deducted]]/(1+Table2[Compounded discount rate A2])</f>
        <v>9.8023266360275762E-3</v>
      </c>
      <c r="AA96" s="82">
        <f>Table2[CPI]+2.8%</f>
        <v>5.57E-2</v>
      </c>
      <c r="AB96" s="18">
        <f t="shared" si="27"/>
        <v>23.900734799326017</v>
      </c>
      <c r="AC96" s="17">
        <f>Table2[[#This Row],[Annual benefit payments (closed scheme)]]/((1+AB95)*(1+Table2[[#This Row],[Discount rate B]])^0.5)+AC95</f>
        <v>60.42191891314539</v>
      </c>
      <c r="AD96" s="45">
        <f>AD95*(1+Table2[Discount rate B])</f>
        <v>1494.0440879595612</v>
      </c>
      <c r="AE96" s="16">
        <f>Table2[[#This Row],[Asset growth B]]/(1+Table2[Compounded CPI])</f>
        <v>303.80746156052885</v>
      </c>
      <c r="AF96" s="17">
        <f>(AF95*((1+Table2[Discount rate B])^0.5)-Table2[Annual benefit payments (closed scheme)])*(1+Table2[Discount rate B])^0.5</f>
        <v>-10.506090963052994</v>
      </c>
      <c r="AG96" s="17">
        <f>Table2[[#This Row],[Asset growth B with benefit payments deducted]]/(1+Table2[Compounded CPI])</f>
        <v>-2.1363685664512562</v>
      </c>
      <c r="AH96" s="19">
        <f>Table2[[#This Row],[Asset growth B with benefit payments deducted]]/(1+Table2[Compounded discount rate B])</f>
        <v>-0.42191891314538077</v>
      </c>
      <c r="AI96" s="11">
        <f>Table2[CPI]+2.56%</f>
        <v>5.33E-2</v>
      </c>
      <c r="AJ96" s="18">
        <f t="shared" si="28"/>
        <v>25.87167690830173</v>
      </c>
      <c r="AK96" s="17">
        <f>Table2[[#This Row],[Annual benefit payments (closed scheme)]]/((1+AJ95)*(1+Table2[[#This Row],[Discount rate C]])^0.5)+AK95</f>
        <v>52.348790022654704</v>
      </c>
      <c r="AL96" s="17">
        <f>AL95*(1+Table2[Discount rate C])</f>
        <v>1612.3006144981039</v>
      </c>
      <c r="AM96" s="17">
        <f>Table2[[#This Row],[Asset growth C]]/(1+Table2[Compounded CPI])</f>
        <v>327.85441936463644</v>
      </c>
      <c r="AN96" s="17">
        <f>(AN95*((1+Table2[Discount rate C])^0.5)-Table2[Annual benefit payments (closed scheme)])*(1+Table2[Discount rate C])^0.5</f>
        <v>205.60084246879617</v>
      </c>
      <c r="AO96" s="17">
        <f>Table2[[#This Row],[Asset growth C with benefit payments deducted]]/(1+Table2[Compounded CPI])</f>
        <v>41.808050075990664</v>
      </c>
      <c r="AP96" s="19">
        <f>Table2[[#This Row],[Asset growth C with benefit payments deducted]]/(1+Table2[Compounded discount rate C])</f>
        <v>7.6512099773452507</v>
      </c>
      <c r="AQ96" s="11">
        <f>Table2[CPI]+2.56%</f>
        <v>5.33E-2</v>
      </c>
      <c r="AR96" s="18">
        <f t="shared" si="29"/>
        <v>24.15369332556573</v>
      </c>
      <c r="AS96" s="17">
        <f>Table2[[#This Row],[Annual benefit payments (closed scheme)]]/((1+AR95)*(1+Table2[[#This Row],[Discount rate D]])^0.5)+AS95</f>
        <v>54.847965351335766</v>
      </c>
      <c r="AT96" s="16">
        <f>AT95*(1+Table2[Discount rate D])</f>
        <v>1509.2215995339427</v>
      </c>
      <c r="AU96" s="17">
        <f>Table2[[#This Row],[Asset growth D]]/(1+Table2[Compounded CPI])</f>
        <v>306.89374348579366</v>
      </c>
      <c r="AV96" s="17">
        <f>(AV95*((1+Table2[Discount rate D])^0.5)-Table2[Annual benefit payments (closed scheme)])*(1+Table2[Discount rate D])^0.5</f>
        <v>129.59269955518857</v>
      </c>
      <c r="AW96" s="17">
        <f>Table2[[#This Row],[Asset growth D with benefit payments deducted]]/(1+Table2[Compounded CPI])</f>
        <v>26.352119998284657</v>
      </c>
      <c r="AX96" s="19">
        <f>Table2[[#This Row],[Asset growth D with benefit payments deducted]]/(1+Table2[Compounded discount rate D])</f>
        <v>5.1520346486642206</v>
      </c>
      <c r="AY96" s="11">
        <f>Table2[CPI]+4%</f>
        <v>6.7699999999999996E-2</v>
      </c>
      <c r="AZ96" s="18">
        <f t="shared" si="30"/>
        <v>57.47941071678968</v>
      </c>
      <c r="BA96" s="17">
        <f>Table2[[#This Row],[Annual benefit payments (closed scheme)]]/((1+AZ95)*(1+Table2[[#This Row],[Discount rate E]])^0.5)+BA95</f>
        <v>48.295527997562395</v>
      </c>
      <c r="BB96" s="17">
        <f>BB95*(1+Table2[Discount rate E])</f>
        <v>3508.7646430073855</v>
      </c>
      <c r="BC96" s="16">
        <f>Table2[[#This Row],[Asset growth E]]/(1+Table2[Compounded CPI])</f>
        <v>713.49225099591683</v>
      </c>
      <c r="BD96" s="17">
        <f>(BD95*((1+Table2[Discount rate E])^0.5)-Table2[Annual benefit payments (closed scheme)])*(1+Table2[Discount rate E])^0.5</f>
        <v>684.47062545371386</v>
      </c>
      <c r="BE96" s="17">
        <f>Table2[[#This Row],[Asset growth E with benefit payments deducted]]/(1+Table2[Compounded CPI])</f>
        <v>139.1841679289646</v>
      </c>
      <c r="BF96" s="19">
        <f>Table2[[#This Row],[Asset growth E with benefit payments deducted]]/(1+Table2[Compounded discount rate E])</f>
        <v>11.704472002437596</v>
      </c>
      <c r="BG96" s="11">
        <f>Table2[[#This Row],[Long-dated forward gilt yields]]+0.75%</f>
        <v>2.5600000000000001E-2</v>
      </c>
      <c r="BH96" s="11">
        <f t="shared" si="31"/>
        <v>4.3789807246683798</v>
      </c>
      <c r="BI96" s="17">
        <f>((Table2[[#This Row],[Annual benefit payments (closed scheme)]])*1.005^(Table2[[#This Row],[Year]]-2018))/((1+BH95)*(1+Table2[[#This Row],[Discount rate F]])^0.5)+BI95</f>
        <v>82.306914262180186</v>
      </c>
      <c r="BJ96" s="17">
        <f>BJ95*(1+Table2[Discount rate F])</f>
        <v>442.92407164101479</v>
      </c>
      <c r="BK96" s="17">
        <f>Table2[[#This Row],[Asset growth F, under the assumption of full-funding at Year 0]]/(1+Table2[[#This Row],[Compounded CPI]])</f>
        <v>90.066711520599185</v>
      </c>
      <c r="BL96" s="17">
        <f>(BL95*((1+Table2[Discount rate F])^0.5)-Table2[Annual benefit payments (closed scheme)]*1.005^(Table2[Year]-2018))*(1+Table2[Discount rate F])^0.5</f>
        <v>0.19676631781466652</v>
      </c>
      <c r="BM96" s="17">
        <f>Table2[[#This Row],[Asset growth F with benefit payments deducted]]/(1+Table2[Compounded CPI])</f>
        <v>4.0011587353842616E-2</v>
      </c>
      <c r="BN96" s="19">
        <f>Table2[[#This Row],[Asset growth F with benefit payments deducted]]/(1+Table2[Compounded discount rate F])</f>
        <v>3.65805954485545E-2</v>
      </c>
      <c r="BO96" s="18">
        <f>(1+BO95)*(1+Table2[Discount rate A2])-1</f>
        <v>6.339243642399186</v>
      </c>
      <c r="BP96" s="17">
        <f>Table2[[#This Row],[Annual benefit payments (ongoing scheme)]]/((1+BO95)*(1+Table2[[#This Row],[Discount rate A2]])^0.5)+BP95</f>
        <v>110.5454037093791</v>
      </c>
      <c r="BQ96" s="17">
        <f>(BQ95*((1+Table2[Discount rate A2])^0.5)-Table2[Annual benefit payments (ongoing scheme)])*(1+Table2[Discount rate A2])^0.5</f>
        <v>14.412582644441171</v>
      </c>
      <c r="BR96" s="18">
        <f>(1+BR95)*(1+Table2[Discount rate B])-1</f>
        <v>11.690343678017143</v>
      </c>
      <c r="BS96" s="17">
        <f>Table2[[#This Row],[Annual benefit payments (ongoing scheme)]]/((1+BR95)*(1+Table2[[#This Row],[Discount rate B]])^0.5)+BS95</f>
        <v>92.43900493287984</v>
      </c>
      <c r="BT96" s="18">
        <f>(1+BT95)*(1+Table2[Discount rate E])-1</f>
        <v>21.913462929908402</v>
      </c>
      <c r="BU96" s="17">
        <f>Table2[[#This Row],[Annual benefit payments (ongoing scheme)]]/((1+BT95)*(1+Table2[[#This Row],[Discount rate E]])^0.5)+BU95</f>
        <v>77.578514243893594</v>
      </c>
      <c r="BV96" s="18">
        <f>Table2[CPI]+0.75%+0.75%</f>
        <v>4.2699999999999995E-2</v>
      </c>
      <c r="BW96" s="18">
        <f>(1+BW95)*(1+Table2[Self-sufficiency discount rate, from 2037])-1</f>
        <v>5.6395790836917348</v>
      </c>
      <c r="BX96" s="17">
        <f>(Table2[[#This Row],[Annual benefit payments (ongoing scheme)]]*1.005^(Table2[[#This Row],[Year]]-2038))/((1+BW95)*(1+Table2[[#This Row],[Self-sufficiency discount rate, from 2037]])^0.5)+BX95</f>
        <v>125.13508157634585</v>
      </c>
      <c r="BY96" s="17">
        <f>(BY95*((1+Table2[Self-sufficiency discount rate, from 2037])^0.5)-Table2[Annual benefit payments (ongoing scheme)]*1.005^(Table2[Year]-2038))*(1+Table2[Self-sufficiency discount rate, from 2037])^0.5</f>
        <v>19.357293626869325</v>
      </c>
      <c r="BZ96" s="17">
        <f>(BZ95*((1+Table2[Discount rate B])^0.5)-Table2[Annual benefit payments (ongoing scheme)])*(1+Table2[Discount rate B])^0.5</f>
        <v>13.628634227334208</v>
      </c>
      <c r="CA96" s="17">
        <f>(CA95*((1+Table2[Discount rate A2])^0.5)+Table2[Net cashflow (ongoing scheme)])*(1+Table2[Discount rate A2])^0.5</f>
        <v>11.983547967756429</v>
      </c>
      <c r="CB96" s="17">
        <f>Table2[[#This Row],[Asset growth, ongoing scheme, with November de-risking, net of contributions and payments]]/(1+Table2[Compounded discount rate A2])</f>
        <v>0.9182976812313044</v>
      </c>
      <c r="CC96" s="17">
        <f>Table2[[#This Row],[Asset growth, ongoing scheme, with November de-risking, net of contributions and payments]]/(1+Table2[Compounded CPI])</f>
        <v>2.4368031157267001</v>
      </c>
      <c r="CD96" s="17">
        <f>(CD95*((1+Table2[Discount rate A1])^0.5)+Table2[Net cashflow (ongoing scheme)])*(1+Table2[Discount rate A1])^0.5</f>
        <v>54.130057596719404</v>
      </c>
      <c r="CE96" s="17">
        <f>Table2[[#This Row],[Asset growth, ongoing scheme, with September de-risking, net of contributions and payments]]/(1+Table2[Compounded discount rate A1])</f>
        <v>3.9397770327051838</v>
      </c>
      <c r="CF96" s="17">
        <f>Table2[[#This Row],[Asset growth, ongoing scheme, with September de-risking, net of contributions and payments]]/(1+Table2[Compounded CPI])</f>
        <v>11.00711520169655</v>
      </c>
      <c r="CG96" s="17">
        <f>(CG95*((1+Table2[Discount rate B])^0.5)+Table2[Net cashflow (ongoing scheme)])*(1+Table2[Discount rate B])^0.5</f>
        <v>394.7544524281513</v>
      </c>
      <c r="CH96" s="17">
        <f>Table2[[#This Row],[Asset growth, ongoing scheme, no de-risking, net of contributions and payments]]/(1+Table2[Compounded discount rate B])</f>
        <v>15.853124641078304</v>
      </c>
      <c r="CI96" s="17">
        <f>Table2[[#This Row],[Asset growth, ongoing scheme, no de-risking, net of contributions and payments]]/(1+Table2[Compounded CPI])</f>
        <v>80.271625916811146</v>
      </c>
      <c r="CJ96" s="17">
        <f>(CJ95*((1+Table2[Discount rate E])^0.5)+Table2[Net cashflow (ongoing scheme)])*(1+Table2[Discount rate E])^0.5</f>
        <v>1880.4209896152533</v>
      </c>
      <c r="CK96" s="17">
        <f>Table2[[#This Row],[Asset growth, ongoing scheme, best-estimates, no de-risking, net of contributions and payments ]]/(1+Table2[Compounded discount rate E])</f>
        <v>32.155265700640463</v>
      </c>
      <c r="CL96" s="17">
        <f>Table2[[#This Row],[Asset growth, ongoing scheme, best-estimates, no de-risking, net of contributions and payments ]]/(1+Table2[Compounded CPI])</f>
        <v>382.37554843536213</v>
      </c>
      <c r="CM96" s="9">
        <f t="shared" si="24"/>
        <v>2.7699999999999999E-2</v>
      </c>
      <c r="CN96" s="11">
        <f>(1+Table2[[#This Row],[CPI]])*(1+CN95)-1</f>
        <v>3.9177333574537521</v>
      </c>
      <c r="CO96" s="11">
        <f t="shared" si="23"/>
        <v>1.8100000000000002E-2</v>
      </c>
      <c r="CP96" s="11">
        <f>Table2[[#This Row],[CPI]]+2%</f>
        <v>4.7699999999999999E-2</v>
      </c>
      <c r="CQ96" s="26">
        <f>(1+Table2[[#This Row],[Salary growth]])*(1+CQ95)-1</f>
        <v>18.273203466521643</v>
      </c>
      <c r="CR96" s="15">
        <f t="shared" si="25"/>
        <v>49.177333574537492</v>
      </c>
      <c r="CS96" s="17">
        <f t="shared" si="26"/>
        <v>63.930533646898752</v>
      </c>
      <c r="CT96" s="17">
        <f>CT95*(1+Table2[[#This Row],[Salary growth]])</f>
        <v>192.73203466521645</v>
      </c>
      <c r="CU96" s="19">
        <f t="shared" si="22"/>
        <v>250.55164506478135</v>
      </c>
      <c r="CV96" s="112">
        <f>('Cash flows as at 31032017'!B81)/1000000000</f>
        <v>4.9528469999999998E-2</v>
      </c>
      <c r="CW96" s="113">
        <v>0</v>
      </c>
      <c r="CX96" s="113">
        <f>Table2[[#This Row],[Annual contributions (closed scheme)]]-Table2[[#This Row],[Annual benefit payments (closed scheme)]]</f>
        <v>-4.9528469999999998E-2</v>
      </c>
      <c r="CY96" s="113">
        <v>2.27</v>
      </c>
      <c r="CZ96" s="113">
        <v>0</v>
      </c>
      <c r="DA96" s="113">
        <v>-2.27</v>
      </c>
      <c r="DB96" s="17"/>
      <c r="DC96" s="84"/>
      <c r="DD96" s="84"/>
      <c r="DE96" s="84"/>
      <c r="DF96" s="84"/>
      <c r="DG96" s="84"/>
      <c r="DH96" s="84"/>
      <c r="DI96" s="84"/>
      <c r="DJ96" s="84"/>
      <c r="DK96" s="84"/>
      <c r="DL96" s="84"/>
      <c r="DM96" s="84"/>
      <c r="DN96" s="84"/>
      <c r="DO96" s="84"/>
      <c r="DP96" s="84"/>
      <c r="DQ96" s="84"/>
      <c r="DR96" s="84"/>
      <c r="DS96" s="84"/>
      <c r="DT96" s="84"/>
      <c r="DU96" s="84"/>
      <c r="DV96" s="84"/>
      <c r="DW96" s="84"/>
      <c r="DX96" s="84"/>
      <c r="DY96" s="84"/>
      <c r="DZ96" s="84"/>
      <c r="EA96" s="84"/>
      <c r="EB96" s="84"/>
      <c r="EC96" s="84"/>
      <c r="ED96" s="84"/>
      <c r="EE96" s="84"/>
      <c r="EF96" s="84"/>
      <c r="EG96" s="84"/>
      <c r="EH96" s="84"/>
      <c r="EI96" s="84"/>
      <c r="EJ96" s="84"/>
      <c r="EK96" s="84"/>
      <c r="EL96" s="84"/>
      <c r="EM96" s="84"/>
      <c r="EN96" s="84"/>
      <c r="EO96" s="84"/>
      <c r="EP96" s="84"/>
      <c r="EQ96" s="84"/>
      <c r="ER96" s="84"/>
      <c r="ES96" s="84"/>
      <c r="ET96" s="84"/>
      <c r="EU96" s="84"/>
      <c r="EV96" s="84"/>
      <c r="EW96" s="84"/>
      <c r="EX96" s="84"/>
      <c r="EY96" s="84"/>
      <c r="EZ96" s="84"/>
      <c r="FA96" s="84"/>
      <c r="FB96" s="84"/>
      <c r="FC96" s="84"/>
      <c r="FD96" s="84"/>
      <c r="FE96" s="84"/>
      <c r="FF96" s="84"/>
      <c r="FG96" s="84"/>
      <c r="FH96" s="84"/>
      <c r="FI96" s="84"/>
      <c r="FJ96" s="84"/>
      <c r="FK96" s="84"/>
      <c r="FL96" s="84"/>
      <c r="FM96" s="84"/>
      <c r="FN96" s="84"/>
      <c r="FO96" s="84"/>
      <c r="FP96" s="84"/>
      <c r="FQ96" s="84"/>
      <c r="FR96" s="84"/>
      <c r="FS96" s="84"/>
      <c r="FT96" s="84"/>
      <c r="FU96" s="84"/>
      <c r="FV96" s="84"/>
      <c r="FW96" s="84"/>
    </row>
    <row r="97" spans="1:181" x14ac:dyDescent="0.2">
      <c r="A97" s="8">
        <v>2090</v>
      </c>
      <c r="B97" s="67"/>
      <c r="C97" s="67"/>
      <c r="D97" s="67"/>
      <c r="E97" s="35">
        <v>6.0999999999999999E-2</v>
      </c>
      <c r="F97" s="16">
        <f>F96*(1+Table2[[#This Row],[2008 discount rate]])</f>
        <v>4328.1578440951653</v>
      </c>
      <c r="G97" s="18">
        <v>6.0999999999999999E-2</v>
      </c>
      <c r="H97" s="16">
        <f>H96*(1+Table2[[#This Row],[2011 discount rate]])</f>
        <v>3556.7125024444817</v>
      </c>
      <c r="I97" s="18">
        <v>5.1999999999999998E-2</v>
      </c>
      <c r="J97" s="16">
        <f>J96*(1+Table2[[#This Row],[2014 discount rate]])</f>
        <v>1964.7688923893063</v>
      </c>
      <c r="K97" s="9">
        <f>Table2[CPI]+1.7%</f>
        <v>4.4700000000000004E-2</v>
      </c>
      <c r="L97" s="66">
        <f t="shared" si="21"/>
        <v>13.353520694663233</v>
      </c>
      <c r="M97" s="17">
        <f>Table2[[#This Row],[Annual benefit payments (closed scheme)]]/((1+L96)*(1+Table2[[#This Row],[Discount rate A1]])^0.5)+M96</f>
        <v>64.915951295182552</v>
      </c>
      <c r="N97" s="17">
        <f>N96*(1+Table2[Discount rate A1])</f>
        <v>931.8674336182047</v>
      </c>
      <c r="O97" s="17">
        <f>Table2[[#This Row],[Asset growth A1, under the assumption of full-funding at Year 0]]/(1+Table2[[#This Row],[Compounded CPI]])</f>
        <v>184.38381676032469</v>
      </c>
      <c r="P97" s="17">
        <f>(P96*((1+Table2[Discount rate A1])^0.5)-Table2[Annual benefit payments (closed scheme)])*(1+Table2[Discount rate A1])^0.5</f>
        <v>9.4983289050349279E-2</v>
      </c>
      <c r="Q97" s="17">
        <f>Table2[[#This Row],[Asset growth A1 with benefit payments deducted]]/(1+Table2[Compounded CPI])</f>
        <v>1.879385493229712E-2</v>
      </c>
      <c r="R97" s="17">
        <f>Table2[[#This Row],[Asset growth A1 with benefit payments deducted]]/(1+Table2[Compounded discount rate A1])</f>
        <v>6.6174209847807523E-3</v>
      </c>
      <c r="S97" s="9">
        <f>Table2[CPI]+1.7%</f>
        <v>4.4700000000000004E-2</v>
      </c>
      <c r="T97" s="18">
        <f t="shared" si="20"/>
        <v>12.633065636329047</v>
      </c>
      <c r="U97" s="17">
        <f>Table2[[#This Row],[Annual benefit payments (closed scheme)]]/((1+T96)*(1+Table2[[#This Row],[Discount rate A2]])^0.5)+U96</f>
        <v>67.504338906690961</v>
      </c>
      <c r="V97" s="17">
        <f>V96*(1+Table2[Discount rate A2])</f>
        <v>920.38606634096845</v>
      </c>
      <c r="W97" s="17">
        <f>Table2[[#This Row],[Asset growth A2, under the assumption of full-funding at Year 0]]/(1+Table2[Compounded CPI])</f>
        <v>182.11205766259098</v>
      </c>
      <c r="X97" s="17">
        <f>(X96*((1+Table2[Discount rate A2])^0.5)-Table2[Annual benefit payments (closed scheme)])*(1+Table2[Discount rate A2])^0.5</f>
        <v>9.4983289050619382E-2</v>
      </c>
      <c r="Y97" s="17">
        <f>Table2[[#This Row],[Asset growth A2 with benefit payments deducted]]/(1+Table2[[#This Row],[Compounded CPI]])</f>
        <v>1.8793854932350564E-2</v>
      </c>
      <c r="Z97" s="19">
        <f>Table2[[#This Row],[Asset growth A2 with benefit payments deducted]]/(1+Table2[Compounded discount rate A2])</f>
        <v>6.967126219763098E-3</v>
      </c>
      <c r="AA97" s="82">
        <f>Table2[CPI]+2.8%</f>
        <v>5.57E-2</v>
      </c>
      <c r="AB97" s="18">
        <f t="shared" si="27"/>
        <v>25.287705727648479</v>
      </c>
      <c r="AC97" s="17">
        <f>Table2[[#This Row],[Annual benefit payments (closed scheme)]]/((1+AB96)*(1+Table2[[#This Row],[Discount rate B]])^0.5)+AC96</f>
        <v>60.423396996984287</v>
      </c>
      <c r="AD97" s="45">
        <f>AD96*(1+Table2[Discount rate B])</f>
        <v>1577.262343658909</v>
      </c>
      <c r="AE97" s="16">
        <f>Table2[[#This Row],[Asset growth B]]/(1+Table2[Compounded CPI])</f>
        <v>312.08478852724562</v>
      </c>
      <c r="AF97" s="17">
        <f>(AF96*((1+Table2[Discount rate B])^0.5)-Table2[Annual benefit payments (closed scheme)])*(1+Table2[Discount rate B])^0.5</f>
        <v>-11.130135662692696</v>
      </c>
      <c r="AG97" s="17">
        <f>Table2[[#This Row],[Asset growth B with benefit payments deducted]]/(1+Table2[Compounded CPI])</f>
        <v>-2.2022627044484726</v>
      </c>
      <c r="AH97" s="19">
        <f>Table2[[#This Row],[Asset growth B with benefit payments deducted]]/(1+Table2[Compounded discount rate B])</f>
        <v>-0.42339699698427519</v>
      </c>
      <c r="AI97" s="11">
        <f>Table2[CPI]+2.56%</f>
        <v>5.33E-2</v>
      </c>
      <c r="AJ97" s="18">
        <f t="shared" si="28"/>
        <v>27.303937287514209</v>
      </c>
      <c r="AK97" s="17">
        <f>Table2[[#This Row],[Annual benefit payments (closed scheme)]]/((1+AJ96)*(1+Table2[[#This Row],[Discount rate C]])^0.5)+AK96</f>
        <v>52.35016125383801</v>
      </c>
      <c r="AL97" s="17">
        <f>AL96*(1+Table2[Discount rate C])</f>
        <v>1698.2362372508526</v>
      </c>
      <c r="AM97" s="17">
        <f>Table2[[#This Row],[Asset growth C]]/(1+Table2[Compounded CPI])</f>
        <v>336.02127071788607</v>
      </c>
      <c r="AN97" s="17">
        <f>(AN96*((1+Table2[Discount rate C])^0.5)-Table2[Annual benefit payments (closed scheme)])*(1+Table2[Discount rate C])^0.5</f>
        <v>216.520556130964</v>
      </c>
      <c r="AO97" s="17">
        <f>Table2[[#This Row],[Asset growth C with benefit payments deducted]]/(1+Table2[Compounded CPI])</f>
        <v>42.841808937870944</v>
      </c>
      <c r="AP97" s="19">
        <f>Table2[[#This Row],[Asset growth C with benefit payments deducted]]/(1+Table2[Compounded discount rate C])</f>
        <v>7.6498387461619437</v>
      </c>
      <c r="AQ97" s="11">
        <f>Table2[CPI]+2.56%</f>
        <v>5.33E-2</v>
      </c>
      <c r="AR97" s="18">
        <f t="shared" si="29"/>
        <v>25.49438517981838</v>
      </c>
      <c r="AS97" s="17">
        <f>Table2[[#This Row],[Annual benefit payments (closed scheme)]]/((1+AR96)*(1+Table2[[#This Row],[Discount rate D]])^0.5)+AS96</f>
        <v>54.849430236863604</v>
      </c>
      <c r="AT97" s="16">
        <f>AT96*(1+Table2[Discount rate D])</f>
        <v>1589.6631107891017</v>
      </c>
      <c r="AU97" s="17">
        <f>Table2[[#This Row],[Asset growth D]]/(1+Table2[Compounded CPI])</f>
        <v>314.53846454567133</v>
      </c>
      <c r="AV97" s="17">
        <f>(AV96*((1+Table2[Discount rate D])^0.5)-Table2[Annual benefit payments (closed scheme)])*(1+Table2[Discount rate D])^0.5</f>
        <v>136.46117920006114</v>
      </c>
      <c r="AW97" s="17">
        <f>Table2[[#This Row],[Asset growth D with benefit payments deducted]]/(1+Table2[Compounded CPI])</f>
        <v>27.000871747204666</v>
      </c>
      <c r="AX97" s="19">
        <f>Table2[[#This Row],[Asset growth D with benefit payments deducted]]/(1+Table2[Compounded discount rate D])</f>
        <v>5.1505697631363789</v>
      </c>
      <c r="AY97" s="11">
        <f>Table2[CPI]+4%</f>
        <v>6.7699999999999996E-2</v>
      </c>
      <c r="AZ97" s="18">
        <f t="shared" si="30"/>
        <v>61.438466822316343</v>
      </c>
      <c r="BA97" s="17">
        <f>Table2[[#This Row],[Annual benefit payments (closed scheme)]]/((1+AZ96)*(1+Table2[[#This Row],[Discount rate E]])^0.5)+BA96</f>
        <v>48.296153823967614</v>
      </c>
      <c r="BB97" s="17">
        <f>BB96*(1+Table2[Discount rate E])</f>
        <v>3746.3080093389858</v>
      </c>
      <c r="BC97" s="16">
        <f>Table2[[#This Row],[Asset growth E]]/(1+Table2[Compounded CPI])</f>
        <v>741.26269960916659</v>
      </c>
      <c r="BD97" s="17">
        <f>(BD96*((1+Table2[Discount rate E])^0.5)-Table2[Annual benefit payments (closed scheme)])*(1+Table2[Discount rate E])^0.5</f>
        <v>730.77021115569164</v>
      </c>
      <c r="BE97" s="17">
        <f>Table2[[#This Row],[Asset growth E with benefit payments deducted]]/(1+Table2[Compounded CPI])</f>
        <v>144.59374353760282</v>
      </c>
      <c r="BF97" s="19">
        <f>Table2[[#This Row],[Asset growth E with benefit payments deducted]]/(1+Table2[Compounded discount rate E])</f>
        <v>11.703846176032378</v>
      </c>
      <c r="BG97" s="11">
        <f>Table2[[#This Row],[Long-dated forward gilt yields]]+0.75%</f>
        <v>2.5600000000000001E-2</v>
      </c>
      <c r="BH97" s="11">
        <f t="shared" si="31"/>
        <v>4.5166826312198909</v>
      </c>
      <c r="BI97" s="17">
        <f>((Table2[[#This Row],[Annual benefit payments (closed scheme)]])*1.005^(Table2[[#This Row],[Year]]-2018))/((1+BH96)*(1+Table2[[#This Row],[Discount rate F]])^0.5)+BI96</f>
        <v>82.316855694142504</v>
      </c>
      <c r="BJ97" s="17">
        <f>BJ96*(1+Table2[Discount rate F])</f>
        <v>454.26292787502479</v>
      </c>
      <c r="BK97" s="17">
        <f>Table2[[#This Row],[Asset growth F, under the assumption of full-funding at Year 0]]/(1+Table2[[#This Row],[Compounded CPI]])</f>
        <v>89.882669393331255</v>
      </c>
      <c r="BL97" s="17">
        <f>(BL96*((1+Table2[Discount rate F])^0.5)-Table2[Annual benefit payments (closed scheme)]*1.005^(Table2[Year]-2018))*(1+Table2[Discount rate F])^0.5</f>
        <v>0.14695981051473711</v>
      </c>
      <c r="BM97" s="17">
        <f>Table2[[#This Row],[Asset growth F with benefit payments deducted]]/(1+Table2[Compounded CPI])</f>
        <v>2.9078181933958683E-2</v>
      </c>
      <c r="BN97" s="19">
        <f>Table2[[#This Row],[Asset growth F with benefit payments deducted]]/(1+Table2[Compounded discount rate F])</f>
        <v>2.6639163486234522E-2</v>
      </c>
      <c r="BO97" s="18">
        <f>(1+BO96)*(1+Table2[Discount rate A2])-1</f>
        <v>6.6673078332144291</v>
      </c>
      <c r="BP97" s="17">
        <f>Table2[[#This Row],[Annual benefit payments (ongoing scheme)]]/((1+BO96)*(1+Table2[[#This Row],[Discount rate A2]])^0.5)+BP96</f>
        <v>110.82534837222909</v>
      </c>
      <c r="BQ97" s="17">
        <f>(BQ96*((1+Table2[Discount rate A2])^0.5)-Table2[Annual benefit payments (ongoing scheme)])*(1+Table2[Discount rate A2])^0.5</f>
        <v>12.910403182311473</v>
      </c>
      <c r="BR97" s="18">
        <f>(1+BR96)*(1+Table2[Discount rate B])-1</f>
        <v>12.397195820882699</v>
      </c>
      <c r="BS97" s="17">
        <f>Table2[[#This Row],[Annual benefit payments (ongoing scheme)]]/((1+BR96)*(1+Table2[[#This Row],[Discount rate B]])^0.5)+BS96</f>
        <v>92.600060466166838</v>
      </c>
      <c r="BT97" s="18">
        <f>(1+BT96)*(1+Table2[Discount rate E])-1</f>
        <v>23.464704370263203</v>
      </c>
      <c r="BU97" s="17">
        <f>Table2[[#This Row],[Annual benefit payments (ongoing scheme)]]/((1+BT96)*(1+Table2[[#This Row],[Discount rate E]])^0.5)+BU96</f>
        <v>77.667210225396659</v>
      </c>
      <c r="BV97" s="18">
        <f>Table2[CPI]+0.75%+0.75%</f>
        <v>4.2699999999999995E-2</v>
      </c>
      <c r="BW97" s="18">
        <f>(1+BW96)*(1+Table2[Self-sufficiency discount rate, from 2037])-1</f>
        <v>5.923089110565372</v>
      </c>
      <c r="BX97" s="17">
        <f>(Table2[[#This Row],[Annual benefit payments (ongoing scheme)]]*1.005^(Table2[[#This Row],[Year]]-2038))/((1+BW96)*(1+Table2[[#This Row],[Self-sufficiency discount rate, from 2037]])^0.5)+BX96</f>
        <v>125.53653417284428</v>
      </c>
      <c r="BY97" s="17">
        <f>(BY96*((1+Table2[Self-sufficiency discount rate, from 2037])^0.5)-Table2[Annual benefit payments (ongoing scheme)]*1.005^(Table2[Year]-2038))*(1+Table2[Self-sufficiency discount rate, from 2037])^0.5</f>
        <v>17.404557965510193</v>
      </c>
      <c r="BZ97" s="17">
        <f>(BZ96*((1+Table2[Discount rate B])^0.5)-Table2[Annual benefit payments (ongoing scheme)])*(1+Table2[Discount rate B])^0.5</f>
        <v>12.230056636314215</v>
      </c>
      <c r="CA97" s="17">
        <f>(CA96*((1+Table2[Discount rate A2])^0.5)+Table2[Net cashflow (ongoing scheme)])*(1+Table2[Discount rate A2])^0.5</f>
        <v>10.372790655578925</v>
      </c>
      <c r="CB97" s="17">
        <f>Table2[[#This Row],[Asset growth, ongoing scheme, with November de-risking, net of contributions and payments]]/(1+Table2[Compounded discount rate A2])</f>
        <v>0.76085533014216378</v>
      </c>
      <c r="CC97" s="17">
        <f>Table2[[#This Row],[Asset growth, ongoing scheme, with November de-risking, net of contributions and payments]]/(1+Table2[Compounded CPI])</f>
        <v>2.052410742701277</v>
      </c>
      <c r="CD97" s="17">
        <f>(CD96*((1+Table2[Discount rate A1])^0.5)+Table2[Net cashflow (ongoing scheme)])*(1+Table2[Discount rate A1])^0.5</f>
        <v>54.403249264956536</v>
      </c>
      <c r="CE97" s="17">
        <f>Table2[[#This Row],[Asset growth, ongoing scheme, with September de-risking, net of contributions and payments]]/(1+Table2[Compounded discount rate A1])</f>
        <v>3.7902372820059504</v>
      </c>
      <c r="CF97" s="17">
        <f>Table2[[#This Row],[Asset growth, ongoing scheme, with September de-risking, net of contributions and payments]]/(1+Table2[Compounded CPI])</f>
        <v>10.764491151587819</v>
      </c>
      <c r="CG97" s="17">
        <f>(CG96*((1+Table2[Discount rate B])^0.5)+Table2[Net cashflow (ongoing scheme)])*(1+Table2[Discount rate B])^0.5</f>
        <v>414.58458291091671</v>
      </c>
      <c r="CH97" s="17">
        <f>Table2[[#This Row],[Asset growth, ongoing scheme, no de-risking, net of contributions and payments]]/(1+Table2[Compounded discount rate B])</f>
        <v>15.771044731182885</v>
      </c>
      <c r="CI97" s="17">
        <f>Table2[[#This Row],[Asset growth, ongoing scheme, no de-risking, net of contributions and payments]]/(1+Table2[Compounded CPI])</f>
        <v>82.031719329749023</v>
      </c>
      <c r="CJ97" s="17">
        <f>(CJ96*((1+Table2[Discount rate E])^0.5)+Table2[Net cashflow (ongoing scheme)])*(1+Table2[Discount rate E])^0.5</f>
        <v>2005.5555696459032</v>
      </c>
      <c r="CK97" s="17">
        <f>Table2[[#This Row],[Asset growth, ongoing scheme, best-estimates, no de-risking, net of contributions and payments ]]/(1+Table2[Compounded discount rate E])</f>
        <v>32.120512749827654</v>
      </c>
      <c r="CL97" s="17">
        <f>Table2[[#This Row],[Asset growth, ongoing scheme, best-estimates, no de-risking, net of contributions and payments ]]/(1+Table2[Compounded CPI])</f>
        <v>396.82896656279786</v>
      </c>
      <c r="CM97" s="9">
        <f t="shared" si="24"/>
        <v>2.7699999999999999E-2</v>
      </c>
      <c r="CN97" s="11">
        <f>(1+Table2[[#This Row],[CPI]])*(1+CN96)-1</f>
        <v>4.053954571455221</v>
      </c>
      <c r="CO97" s="11">
        <f t="shared" si="23"/>
        <v>1.8100000000000002E-2</v>
      </c>
      <c r="CP97" s="11">
        <f>Table2[[#This Row],[CPI]]+2%</f>
        <v>4.7699999999999999E-2</v>
      </c>
      <c r="CQ97" s="26">
        <f>(1+Table2[[#This Row],[Salary growth]])*(1+CQ96)-1</f>
        <v>19.192535271874728</v>
      </c>
      <c r="CR97" s="15">
        <f t="shared" si="25"/>
        <v>50.539545714552183</v>
      </c>
      <c r="CS97" s="17">
        <f t="shared" si="26"/>
        <v>65.701409428917856</v>
      </c>
      <c r="CT97" s="17">
        <f>CT96*(1+Table2[[#This Row],[Salary growth]])</f>
        <v>201.92535271874729</v>
      </c>
      <c r="CU97" s="19">
        <f t="shared" si="22"/>
        <v>262.50295853437143</v>
      </c>
      <c r="CV97" s="112">
        <f>('Cash flows as at 31032017'!B82)/1000000000</f>
        <v>3.7816514000000002E-2</v>
      </c>
      <c r="CW97" s="113">
        <v>0</v>
      </c>
      <c r="CX97" s="113">
        <f>Table2[[#This Row],[Annual contributions (closed scheme)]]-Table2[[#This Row],[Annual benefit payments (closed scheme)]]</f>
        <v>-3.7816514000000002E-2</v>
      </c>
      <c r="CY97" s="113">
        <v>2.1</v>
      </c>
      <c r="CZ97" s="113">
        <v>0</v>
      </c>
      <c r="DA97" s="113">
        <v>-2.1</v>
      </c>
      <c r="DB97" s="17"/>
      <c r="DC97" s="84"/>
      <c r="DD97" s="84"/>
      <c r="DE97" s="84"/>
      <c r="DF97" s="84"/>
      <c r="DG97" s="84"/>
      <c r="DH97" s="84"/>
      <c r="DI97" s="84"/>
      <c r="DJ97" s="84"/>
      <c r="DK97" s="84"/>
      <c r="DL97" s="84"/>
      <c r="DM97" s="84"/>
      <c r="DN97" s="84"/>
      <c r="DO97" s="84"/>
      <c r="DP97" s="84"/>
      <c r="DQ97" s="84"/>
      <c r="DR97" s="84"/>
      <c r="DS97" s="84"/>
      <c r="DT97" s="84"/>
      <c r="DU97" s="84"/>
      <c r="DV97" s="84"/>
      <c r="DW97" s="84"/>
      <c r="DX97" s="84"/>
      <c r="DY97" s="84"/>
      <c r="DZ97" s="84"/>
      <c r="EA97" s="84"/>
      <c r="EB97" s="84"/>
      <c r="EC97" s="84"/>
      <c r="ED97" s="84"/>
      <c r="EE97" s="84"/>
      <c r="EF97" s="84"/>
      <c r="EG97" s="84"/>
      <c r="EH97" s="84"/>
      <c r="EI97" s="84"/>
      <c r="EJ97" s="84"/>
      <c r="EK97" s="84"/>
      <c r="EL97" s="84"/>
      <c r="EM97" s="84"/>
      <c r="EN97" s="84"/>
      <c r="EO97" s="84"/>
      <c r="EP97" s="84"/>
      <c r="EQ97" s="84"/>
      <c r="ER97" s="84"/>
      <c r="ES97" s="84"/>
      <c r="ET97" s="84"/>
      <c r="EU97" s="84"/>
      <c r="EV97" s="84"/>
      <c r="EW97" s="84"/>
      <c r="EX97" s="84"/>
      <c r="EY97" s="84"/>
      <c r="EZ97" s="84"/>
      <c r="FA97" s="84"/>
      <c r="FB97" s="84"/>
      <c r="FC97" s="84"/>
      <c r="FD97" s="84"/>
      <c r="FE97" s="84"/>
      <c r="FF97" s="84"/>
      <c r="FG97" s="84"/>
      <c r="FH97" s="84"/>
      <c r="FI97" s="84"/>
      <c r="FJ97" s="84"/>
      <c r="FK97" s="84"/>
      <c r="FL97" s="84"/>
      <c r="FM97" s="84"/>
      <c r="FN97" s="84"/>
      <c r="FO97" s="84"/>
      <c r="FP97" s="84"/>
      <c r="FQ97" s="84"/>
      <c r="FR97" s="84"/>
      <c r="FS97" s="84"/>
      <c r="FT97" s="84"/>
      <c r="FU97" s="84"/>
      <c r="FV97" s="84"/>
      <c r="FW97" s="84"/>
      <c r="FX97" s="84"/>
    </row>
    <row r="98" spans="1:181" s="5" customFormat="1" x14ac:dyDescent="0.2">
      <c r="A98" s="68">
        <v>2091</v>
      </c>
      <c r="B98" s="107"/>
      <c r="C98" s="107"/>
      <c r="D98" s="107"/>
      <c r="E98" s="70">
        <v>6.0999999999999999E-2</v>
      </c>
      <c r="F98" s="71">
        <f>F97*(1+Table2[[#This Row],[2008 discount rate]])</f>
        <v>4592.1754725849705</v>
      </c>
      <c r="G98" s="72">
        <v>6.0999999999999999E-2</v>
      </c>
      <c r="H98" s="71">
        <f>H97*(1+Table2[[#This Row],[2011 discount rate]])</f>
        <v>3773.6719650935947</v>
      </c>
      <c r="I98" s="72">
        <v>5.1999999999999998E-2</v>
      </c>
      <c r="J98" s="71">
        <f>J97*(1+Table2[[#This Row],[2014 discount rate]])</f>
        <v>2066.9368747935505</v>
      </c>
      <c r="K98" s="73">
        <f>Table2[CPI]+1.7%</f>
        <v>4.4700000000000004E-2</v>
      </c>
      <c r="L98" s="108">
        <f t="shared" si="21"/>
        <v>13.99512306971468</v>
      </c>
      <c r="M98" s="17">
        <f>Table2[[#This Row],[Annual benefit payments (closed scheme)]]/((1+L97)*(1+Table2[[#This Row],[Discount rate A1]])^0.5)+M97</f>
        <v>64.917892380816113</v>
      </c>
      <c r="N98" s="74">
        <f>N97*(1+Table2[Discount rate A1])</f>
        <v>973.52190790093846</v>
      </c>
      <c r="O98" s="74">
        <f>Table2[[#This Row],[Asset growth A1, under the assumption of full-funding at Year 0]]/(1+Table2[[#This Row],[Compounded CPI]])</f>
        <v>187.4338555702162</v>
      </c>
      <c r="P98" s="74">
        <f>(P97*((1+Table2[Discount rate A1])^0.5)-Table2[Annual benefit payments (closed scheme)])*(1+Table2[Discount rate A1])^0.5</f>
        <v>7.0122224106764844E-2</v>
      </c>
      <c r="Q98" s="74">
        <f>Table2[[#This Row],[Asset growth A1 with benefit payments deducted]]/(1+Table2[Compounded CPI])</f>
        <v>1.3500753007016149E-2</v>
      </c>
      <c r="R98" s="74">
        <f>Table2[[#This Row],[Asset growth A1 with benefit payments deducted]]/(1+Table2[Compounded discount rate A1])</f>
        <v>4.6763353512175674E-3</v>
      </c>
      <c r="S98" s="73">
        <f>Table2[CPI]+1.7%</f>
        <v>4.4700000000000004E-2</v>
      </c>
      <c r="T98" s="72">
        <f t="shared" si="20"/>
        <v>13.242463670272954</v>
      </c>
      <c r="U98" s="17">
        <f>Table2[[#This Row],[Annual benefit payments (closed scheme)]]/((1+T97)*(1+Table2[[#This Row],[Discount rate A2]])^0.5)+U97</f>
        <v>67.506382571230887</v>
      </c>
      <c r="V98" s="74">
        <f>V97*(1+Table2[Discount rate A2])</f>
        <v>961.52732350640974</v>
      </c>
      <c r="W98" s="74">
        <f>Table2[[#This Row],[Asset growth A2, under the assumption of full-funding at Year 0]]/(1+Table2[Compounded CPI])</f>
        <v>185.12451750521433</v>
      </c>
      <c r="X98" s="74">
        <f>(X97*((1+Table2[Discount rate A2])^0.5)-Table2[Annual benefit payments (closed scheme)])*(1+Table2[Discount rate A2])^0.5</f>
        <v>7.0122224107046993E-2</v>
      </c>
      <c r="Y98" s="74">
        <f>Table2[[#This Row],[Asset growth A2 with benefit payments deducted]]/(1+Table2[[#This Row],[Compounded CPI]])</f>
        <v>1.3500753007070472E-2</v>
      </c>
      <c r="Z98" s="78">
        <f>Table2[[#This Row],[Asset growth A2 with benefit payments deducted]]/(1+Table2[Compounded discount rate A2])</f>
        <v>4.9234616798361202E-3</v>
      </c>
      <c r="AA98" s="109">
        <f>Table2[CPI]+2.8%</f>
        <v>5.57E-2</v>
      </c>
      <c r="AB98" s="72">
        <f t="shared" si="27"/>
        <v>26.751930936678502</v>
      </c>
      <c r="AC98" s="74">
        <f>Table2[[#This Row],[Annual benefit payments (closed scheme)]]/((1+AB97)*(1+Table2[[#This Row],[Discount rate B]])^0.5)+AC97</f>
        <v>60.424451325583547</v>
      </c>
      <c r="AD98" s="110">
        <f>AD97*(1+Table2[Discount rate B])</f>
        <v>1665.1158562007104</v>
      </c>
      <c r="AE98" s="71">
        <f>Table2[[#This Row],[Asset growth B]]/(1+Table2[Compounded CPI])</f>
        <v>320.5876337921701</v>
      </c>
      <c r="AF98" s="74">
        <f>(AF97*((1+Table2[Discount rate B])^0.5)-Table2[Annual benefit payments (closed scheme)])*(1+Table2[Discount rate B])^0.5</f>
        <v>-11.779343873575936</v>
      </c>
      <c r="AG98" s="74">
        <f>Table2[[#This Row],[Asset growth B with benefit payments deducted]]/(1+Table2[Compounded CPI])</f>
        <v>-2.2678974354795973</v>
      </c>
      <c r="AH98" s="78">
        <f>Table2[[#This Row],[Asset growth B with benefit payments deducted]]/(1+Table2[Compounded discount rate B])</f>
        <v>-0.42445132558353615</v>
      </c>
      <c r="AI98" s="75">
        <f>Table2[CPI]+2.56%</f>
        <v>5.33E-2</v>
      </c>
      <c r="AJ98" s="72">
        <f t="shared" si="28"/>
        <v>28.812537144938712</v>
      </c>
      <c r="AK98" s="74">
        <f>Table2[[#This Row],[Annual benefit payments (closed scheme)]]/((1+AJ97)*(1+Table2[[#This Row],[Discount rate C]])^0.5)+AK97</f>
        <v>52.351141592289217</v>
      </c>
      <c r="AL98" s="74">
        <f>AL97*(1+Table2[Discount rate C])</f>
        <v>1788.7522286963228</v>
      </c>
      <c r="AM98" s="74">
        <f>Table2[[#This Row],[Asset growth C]]/(1+Table2[Compounded CPI])</f>
        <v>344.39155828271805</v>
      </c>
      <c r="AN98" s="74">
        <f>(AN97*((1+Table2[Discount rate C])^0.5)-Table2[Annual benefit payments (closed scheme)])*(1+Table2[Discount rate C])^0.5</f>
        <v>228.0318753962531</v>
      </c>
      <c r="AO98" s="74">
        <f>Table2[[#This Row],[Asset growth C with benefit payments deducted]]/(1+Table2[Compounded CPI])</f>
        <v>43.903371101922829</v>
      </c>
      <c r="AP98" s="78">
        <f>Table2[[#This Row],[Asset growth C with benefit payments deducted]]/(1+Table2[Compounded discount rate C])</f>
        <v>7.648858407710736</v>
      </c>
      <c r="AQ98" s="75">
        <f>Table2[CPI]+2.56%</f>
        <v>5.33E-2</v>
      </c>
      <c r="AR98" s="72">
        <f t="shared" si="29"/>
        <v>26.906535909902697</v>
      </c>
      <c r="AS98" s="74">
        <f>Table2[[#This Row],[Annual benefit payments (closed scheme)]]/((1+AR97)*(1+Table2[[#This Row],[Discount rate D]])^0.5)+AS97</f>
        <v>54.8504775318982</v>
      </c>
      <c r="AT98" s="71">
        <f>AT97*(1+Table2[Discount rate D])</f>
        <v>1674.3921545941607</v>
      </c>
      <c r="AU98" s="74">
        <f>Table2[[#This Row],[Asset growth D]]/(1+Table2[Compounded CPI])</f>
        <v>322.37361555507988</v>
      </c>
      <c r="AV98" s="74">
        <f>(AV97*((1+Table2[Discount rate D])^0.5)-Table2[Annual benefit payments (closed scheme)])*(1+Table2[Discount rate D])^0.5</f>
        <v>143.70533367493314</v>
      </c>
      <c r="AW98" s="74">
        <f>Table2[[#This Row],[Asset growth D with benefit payments deducted]]/(1+Table2[Compounded CPI])</f>
        <v>27.667836273734849</v>
      </c>
      <c r="AX98" s="78">
        <f>Table2[[#This Row],[Asset growth D with benefit payments deducted]]/(1+Table2[Compounded discount rate D])</f>
        <v>5.1495224681017824</v>
      </c>
      <c r="AY98" s="75">
        <f>Table2[CPI]+4%</f>
        <v>6.7699999999999996E-2</v>
      </c>
      <c r="AZ98" s="72">
        <f t="shared" si="30"/>
        <v>65.66555102618716</v>
      </c>
      <c r="BA98" s="74">
        <f>Table2[[#This Row],[Annual benefit payments (closed scheme)]]/((1+AZ97)*(1+Table2[[#This Row],[Discount rate E]])^0.5)+BA97</f>
        <v>48.296595213551903</v>
      </c>
      <c r="BB98" s="17">
        <f>BB97*(1+Table2[Discount rate E])</f>
        <v>3999.9330615712356</v>
      </c>
      <c r="BC98" s="71">
        <f>Table2[[#This Row],[Asset growth E]]/(1+Table2[Compounded CPI])</f>
        <v>770.11402585648261</v>
      </c>
      <c r="BD98" s="74">
        <f>(BD97*((1+Table2[Discount rate E])^0.5)-Table2[Annual benefit payments (closed scheme)])*(1+Table2[Discount rate E])^0.5</f>
        <v>780.21392897107808</v>
      </c>
      <c r="BE98" s="74">
        <f>Table2[[#This Row],[Asset growth E with benefit payments deducted]]/(1+Table2[Compounded CPI])</f>
        <v>150.21593627199255</v>
      </c>
      <c r="BF98" s="78">
        <f>Table2[[#This Row],[Asset growth E with benefit payments deducted]]/(1+Table2[Compounded discount rate E])</f>
        <v>11.703404786448088</v>
      </c>
      <c r="BG98" s="75">
        <f>Table2[[#This Row],[Long-dated forward gilt yields]]+0.75%</f>
        <v>2.5600000000000001E-2</v>
      </c>
      <c r="BH98" s="75">
        <f t="shared" si="31"/>
        <v>4.6579097065791206</v>
      </c>
      <c r="BI98" s="17">
        <f>((Table2[[#This Row],[Annual benefit payments (closed scheme)]])*1.005^(Table2[[#This Row],[Year]]-2018))/((1+BH97)*(1+Table2[[#This Row],[Discount rate F]])^0.5)+BI97</f>
        <v>82.324191611571422</v>
      </c>
      <c r="BJ98" s="74">
        <f>BJ97*(1+Table2[Discount rate F])</f>
        <v>465.89205882862547</v>
      </c>
      <c r="BK98" s="74">
        <f>Table2[[#This Row],[Asset growth F, under the assumption of full-funding at Year 0]]/(1+Table2[[#This Row],[Compounded CPI]])</f>
        <v>89.699003337355791</v>
      </c>
      <c r="BL98" s="74">
        <f>(BL97*((1+Table2[Discount rate F])^0.5)-Table2[Annual benefit payments (closed scheme)]*1.005^(Table2[Year]-2018))*(1+Table2[Discount rate F])^0.5</f>
        <v>0.10921602323618521</v>
      </c>
      <c r="BM98" s="74">
        <f>Table2[[#This Row],[Asset growth F with benefit payments deducted]]/(1+Table2[Compounded CPI])</f>
        <v>2.1027549723398247E-2</v>
      </c>
      <c r="BN98" s="78">
        <f>Table2[[#This Row],[Asset growth F with benefit payments deducted]]/(1+Table2[Compounded discount rate F])</f>
        <v>1.9303246057318098E-2</v>
      </c>
      <c r="BO98" s="18">
        <f>(1+BO97)*(1+Table2[Discount rate A2])-1</f>
        <v>7.0100364933591131</v>
      </c>
      <c r="BP98" s="74">
        <f>Table2[[#This Row],[Annual benefit payments (ongoing scheme)]]/((1+BO97)*(1+Table2[[#This Row],[Discount rate A2]])^0.5)+BP97</f>
        <v>111.07162239908595</v>
      </c>
      <c r="BQ98" s="74">
        <f>(BQ97*((1+Table2[Discount rate A2])^0.5)-Table2[Annual benefit payments (ongoing scheme)])*(1+Table2[Discount rate A2])^0.5</f>
        <v>11.514834262070844</v>
      </c>
      <c r="BR98" s="18">
        <f>(1+BR97)*(1+Table2[Discount rate B])-1</f>
        <v>13.143419628105866</v>
      </c>
      <c r="BS98" s="74">
        <f>Table2[[#This Row],[Annual benefit payments (ongoing scheme)]]/((1+BR97)*(1+Table2[[#This Row],[Discount rate B]])^0.5)+BS97</f>
        <v>92.740268578700565</v>
      </c>
      <c r="BT98" s="18">
        <f>(1+BT97)*(1+Table2[Discount rate E])-1</f>
        <v>25.120964856130023</v>
      </c>
      <c r="BU98" s="74">
        <f>Table2[[#This Row],[Annual benefit payments (ongoing scheme)]]/((1+BT97)*(1+Table2[[#This Row],[Discount rate E]])^0.5)+BU97</f>
        <v>77.743557355320306</v>
      </c>
      <c r="BV98" s="18">
        <f>Table2[CPI]+0.75%+0.75%</f>
        <v>4.2699999999999995E-2</v>
      </c>
      <c r="BW98" s="18">
        <f>(1+BW97)*(1+Table2[Self-sufficiency discount rate, from 2037])-1</f>
        <v>6.2187050155865133</v>
      </c>
      <c r="BX98" s="17">
        <f>(Table2[[#This Row],[Annual benefit payments (ongoing scheme)]]*1.005^(Table2[[#This Row],[Year]]-2038))/((1+BW97)*(1+Table2[[#This Row],[Self-sufficiency discount rate, from 2037]])^0.5)+BX97</f>
        <v>125.89214827396371</v>
      </c>
      <c r="BY98" s="74">
        <f>(BY97*((1+Table2[Self-sufficiency discount rate, from 2037])^0.5)-Table2[Annual benefit payments (ongoing scheme)]*1.005^(Table2[Year]-2038))*(1+Table2[Self-sufficiency discount rate, from 2037])^0.5</f>
        <v>15.580659295273392</v>
      </c>
      <c r="BZ98" s="74">
        <f>(BZ97*((1+Table2[Discount rate B])^0.5)-Table2[Annual benefit payments (ongoing scheme)])*(1+Table2[Discount rate B])^0.5</f>
        <v>10.928248620127754</v>
      </c>
      <c r="CA98" s="74">
        <f>(CA97*((1+Table2[Discount rate A2])^0.5)+Table2[Net cashflow (ongoing scheme)])*(1+Table2[Discount rate A2])^0.5</f>
        <v>8.8637904553933495</v>
      </c>
      <c r="CB98" s="74">
        <f>Table2[[#This Row],[Asset growth, ongoing scheme, with November de-risking, net of contributions and payments]]/(1+Table2[Compounded discount rate A2])</f>
        <v>0.62234952186635817</v>
      </c>
      <c r="CC98" s="74">
        <f>Table2[[#This Row],[Asset growth, ongoing scheme, with November de-risking, net of contributions and payments]]/(1+Table2[Compounded CPI])</f>
        <v>1.706560896614062</v>
      </c>
      <c r="CD98" s="74">
        <f>(CD97*((1+Table2[Discount rate A1])^0.5)+Table2[Net cashflow (ongoing scheme)])*(1+Table2[Discount rate A1])^0.5</f>
        <v>54.862410564610137</v>
      </c>
      <c r="CE98" s="74">
        <f>Table2[[#This Row],[Asset growth, ongoing scheme, with September de-risking, net of contributions and payments]]/(1+Table2[Compounded discount rate A1])</f>
        <v>3.6586835806245928</v>
      </c>
      <c r="CF98" s="74">
        <f>Table2[[#This Row],[Asset growth, ongoing scheme, with September de-risking, net of contributions and payments]]/(1+Table2[Compounded CPI])</f>
        <v>10.562754730577057</v>
      </c>
      <c r="CG98" s="74">
        <f>(CG97*((1+Table2[Discount rate B])^0.5)+Table2[Net cashflow (ongoing scheme)])*(1+Table2[Discount rate B])^0.5</f>
        <v>435.69392200822551</v>
      </c>
      <c r="CH98" s="74">
        <f>Table2[[#This Row],[Asset growth, ongoing scheme, no de-risking, net of contributions and payments]]/(1+Table2[Compounded discount rate B])</f>
        <v>15.699589444869513</v>
      </c>
      <c r="CI98" s="74">
        <f>Table2[[#This Row],[Asset growth, ongoing scheme, no de-risking, net of contributions and payments]]/(1+Table2[Compounded CPI])</f>
        <v>83.884903860654106</v>
      </c>
      <c r="CJ98" s="74">
        <f>(CJ97*((1+Table2[Discount rate E])^0.5)+Table2[Net cashflow (ongoing scheme)])*(1+Table2[Discount rate E])^0.5</f>
        <v>2139.3374210133288</v>
      </c>
      <c r="CK98" s="74">
        <f>Table2[[#This Row],[Asset growth, ongoing scheme, best-estimates, no de-risking, net of contributions and payments ]]/(1+Table2[Compounded discount rate E])</f>
        <v>32.090598338757708</v>
      </c>
      <c r="CL98" s="74">
        <f>Table2[[#This Row],[Asset growth, ongoing scheme, best-estimates, no de-risking, net of contributions and payments ]]/(1+Table2[Compounded CPI])</f>
        <v>411.89033131340022</v>
      </c>
      <c r="CM98" s="73">
        <f t="shared" si="24"/>
        <v>2.7699999999999999E-2</v>
      </c>
      <c r="CN98" s="75">
        <f>(1+Table2[[#This Row],[CPI]])*(1+CN97)-1</f>
        <v>4.193949113084531</v>
      </c>
      <c r="CO98" s="11">
        <f t="shared" si="23"/>
        <v>1.8100000000000002E-2</v>
      </c>
      <c r="CP98" s="75">
        <f>Table2[[#This Row],[CPI]]+2%</f>
        <v>4.7699999999999999E-2</v>
      </c>
      <c r="CQ98" s="76">
        <f>(1+Table2[[#This Row],[Salary growth]])*(1+CQ97)-1</f>
        <v>20.155719204343153</v>
      </c>
      <c r="CR98" s="77">
        <f t="shared" si="25"/>
        <v>51.939491130845283</v>
      </c>
      <c r="CS98" s="74">
        <f t="shared" si="26"/>
        <v>67.521338470098883</v>
      </c>
      <c r="CT98" s="74">
        <f>CT97*(1+Table2[[#This Row],[Salary growth]])</f>
        <v>211.55719204343154</v>
      </c>
      <c r="CU98" s="78">
        <f t="shared" si="22"/>
        <v>275.02434965646097</v>
      </c>
      <c r="CV98" s="116">
        <f>('Cash flows as at 31032017'!B83)/1000000000</f>
        <v>2.8477308E-2</v>
      </c>
      <c r="CW98" s="117">
        <v>0</v>
      </c>
      <c r="CX98" s="117">
        <f>Table2[[#This Row],[Annual contributions (closed scheme)]]-Table2[[#This Row],[Annual benefit payments (closed scheme)]]</f>
        <v>-2.8477308E-2</v>
      </c>
      <c r="CY98" s="117">
        <v>1.93</v>
      </c>
      <c r="CZ98" s="117">
        <v>0</v>
      </c>
      <c r="DA98" s="117">
        <v>-1.93</v>
      </c>
      <c r="DB98" s="74"/>
      <c r="DC98" s="111"/>
      <c r="DD98" s="111"/>
      <c r="DE98" s="111"/>
      <c r="DF98" s="111"/>
      <c r="DG98" s="111"/>
      <c r="DH98" s="111"/>
      <c r="DI98" s="111"/>
      <c r="DJ98" s="111"/>
      <c r="DK98" s="111"/>
      <c r="DL98" s="111"/>
      <c r="DM98" s="111"/>
      <c r="DN98" s="111"/>
      <c r="DO98" s="111"/>
      <c r="DP98" s="111"/>
      <c r="DQ98" s="111"/>
      <c r="DR98" s="111"/>
      <c r="DS98" s="111"/>
      <c r="DT98" s="111"/>
      <c r="DU98" s="111"/>
      <c r="DV98" s="111"/>
      <c r="DW98" s="111"/>
      <c r="DX98" s="111"/>
      <c r="DY98" s="111"/>
      <c r="DZ98" s="111"/>
      <c r="EA98" s="111"/>
      <c r="EB98" s="111"/>
      <c r="EC98" s="111"/>
      <c r="ED98" s="111"/>
      <c r="EE98" s="111"/>
      <c r="EF98" s="111"/>
      <c r="EG98" s="111"/>
      <c r="EH98" s="111"/>
      <c r="EI98" s="111"/>
      <c r="EJ98" s="111"/>
      <c r="EK98" s="111"/>
      <c r="EL98" s="111"/>
      <c r="EM98" s="111"/>
      <c r="EN98" s="111"/>
      <c r="EO98" s="111"/>
      <c r="EP98" s="111"/>
      <c r="EQ98" s="111"/>
      <c r="ER98" s="111"/>
      <c r="ES98" s="111"/>
      <c r="ET98" s="111"/>
      <c r="EU98" s="111"/>
      <c r="EV98" s="111"/>
      <c r="EW98" s="111"/>
      <c r="EX98" s="111"/>
      <c r="EY98" s="111"/>
      <c r="EZ98" s="111"/>
      <c r="FA98" s="111"/>
      <c r="FB98" s="111"/>
      <c r="FC98" s="111"/>
      <c r="FD98" s="111"/>
      <c r="FE98" s="111"/>
      <c r="FF98" s="111"/>
      <c r="FG98" s="111"/>
      <c r="FH98" s="111"/>
      <c r="FI98" s="111"/>
      <c r="FJ98" s="111"/>
      <c r="FK98" s="111"/>
      <c r="FL98" s="111"/>
      <c r="FM98" s="111"/>
      <c r="FN98" s="111"/>
      <c r="FO98" s="111"/>
      <c r="FP98" s="111"/>
      <c r="FQ98" s="111"/>
      <c r="FR98" s="111"/>
      <c r="FS98" s="111"/>
      <c r="FT98" s="111"/>
      <c r="FU98" s="111"/>
      <c r="FV98" s="111"/>
      <c r="FW98" s="111"/>
      <c r="FX98" s="111"/>
      <c r="FY98" s="111"/>
    </row>
    <row r="99" spans="1:181" x14ac:dyDescent="0.2">
      <c r="A99" s="7">
        <v>2092</v>
      </c>
      <c r="E99" s="6">
        <v>6.0999999999999999E-2</v>
      </c>
      <c r="F99" s="1">
        <f>F98*(1+Table2[[#This Row],[2008 discount rate]])</f>
        <v>4872.2981764126534</v>
      </c>
      <c r="G99" s="1">
        <v>1.0609999999999999</v>
      </c>
      <c r="H99">
        <f>H98*(1+Table2[[#This Row],[2011 discount rate]])</f>
        <v>7777.5379200578982</v>
      </c>
      <c r="I99" s="1">
        <v>1.052</v>
      </c>
      <c r="J99" s="1">
        <f>J98*(1+Table2[[#This Row],[2014 discount rate]])</f>
        <v>4241.3544670763658</v>
      </c>
      <c r="K99" s="9">
        <f>Table2[CPI]+1.7%</f>
        <v>4.4700000000000004E-2</v>
      </c>
      <c r="L99" s="108">
        <f t="shared" si="21"/>
        <v>14.665405070930925</v>
      </c>
      <c r="M99" s="17">
        <f>Table2[[#This Row],[Annual benefit payments (closed scheme)]]/((1+L98)*(1+Table2[[#This Row],[Discount rate A1]])^0.5)+M98</f>
        <v>64.919273505434475</v>
      </c>
      <c r="N99" s="74">
        <f>N98*(1+Table2[Discount rate A1])</f>
        <v>1017.0383371841103</v>
      </c>
      <c r="O99" s="74">
        <f>Table2[[#This Row],[Asset growth A1, under the assumption of full-funding at Year 0]]/(1+Table2[[#This Row],[Compounded CPI]])</f>
        <v>190.534347488766</v>
      </c>
      <c r="P99" s="74">
        <f>(P98*((1+Table2[Discount rate A1])^0.5)-Table2[Annual benefit payments (closed scheme)])*(1+Table2[Discount rate A1])^0.5</f>
        <v>5.1620810924279989E-2</v>
      </c>
      <c r="Q99" s="74">
        <f>Table2[[#This Row],[Asset growth A1 with benefit payments deducted]]/(1+Table2[Compounded CPI])</f>
        <v>9.6707637919829607E-3</v>
      </c>
      <c r="R99" s="74">
        <f>Table2[[#This Row],[Asset growth A1 with benefit payments deducted]]/(1+Table2[Compounded discount rate A1])</f>
        <v>3.2952107328567404E-3</v>
      </c>
      <c r="S99" s="73">
        <f>Table2[CPI]+1.7%</f>
        <v>4.4700000000000004E-2</v>
      </c>
      <c r="T99" s="72">
        <f t="shared" ref="T99:T144" si="32">(1+T98)*(1+S99)-1</f>
        <v>13.879101796334155</v>
      </c>
      <c r="U99" s="17">
        <f>Table2[[#This Row],[Annual benefit payments (closed scheme)]]/((1+T98)*(1+Table2[[#This Row],[Discount rate A2]])^0.5)+U98</f>
        <v>67.507836682970705</v>
      </c>
      <c r="V99" s="74">
        <f>V98*(1+Table2[Discount rate A2])</f>
        <v>1004.5075948671462</v>
      </c>
      <c r="W99" s="74">
        <f>Table2[[#This Row],[Asset growth A2, under the assumption of full-funding at Year 0]]/(1+Table2[Compounded CPI])</f>
        <v>188.18680883302267</v>
      </c>
      <c r="X99" s="74">
        <f>(X98*((1+Table2[Discount rate A2])^0.5)-Table2[Annual benefit payments (closed scheme)])*(1+Table2[Discount rate A2])^0.5</f>
        <v>5.1620810924574746E-2</v>
      </c>
      <c r="Y99" s="74">
        <f>Table2[[#This Row],[Asset growth A2 with benefit payments deducted]]/(1+Table2[[#This Row],[Compounded CPI]])</f>
        <v>9.6707637920381805E-3</v>
      </c>
      <c r="Z99" s="78">
        <f>Table2[[#This Row],[Asset growth A2 with benefit payments deducted]]/(1+Table2[Compounded discount rate A2])</f>
        <v>3.4693499400140436E-3</v>
      </c>
      <c r="AA99" s="109">
        <f>Table2[CPI]+2.8%</f>
        <v>5.57E-2</v>
      </c>
      <c r="AB99" s="72">
        <f t="shared" ref="AB99:AB144" si="33">(1+AB98)*(1+AA99)-1</f>
        <v>28.297713489851496</v>
      </c>
      <c r="AC99" s="74">
        <f>Table2[[#This Row],[Annual benefit payments (closed scheme)]]/((1+AB98)*(1+Table2[[#This Row],[Discount rate B]])^0.5)+AC98</f>
        <v>60.42519368672626</v>
      </c>
      <c r="AD99" s="110">
        <f>AD98*(1+Table2[Discount rate B])</f>
        <v>1757.86280939109</v>
      </c>
      <c r="AE99" s="71">
        <f>Table2[[#This Row],[Asset growth B]]/(1+Table2[Compounded CPI])</f>
        <v>329.32214167013132</v>
      </c>
      <c r="AF99" s="74">
        <f>(AF98*((1+Table2[Discount rate B])^0.5)-Table2[Annual benefit payments (closed scheme)])*(1+Table2[Discount rate B])^0.5</f>
        <v>-12.457202811399343</v>
      </c>
      <c r="AG99" s="74">
        <f>Table2[[#This Row],[Asset growth B with benefit payments deducted]]/(1+Table2[Compounded CPI])</f>
        <v>-2.3337615922884583</v>
      </c>
      <c r="AH99" s="78">
        <f>Table2[[#This Row],[Asset growth B with benefit payments deducted]]/(1+Table2[Compounded discount rate B])</f>
        <v>-0.42519368672624991</v>
      </c>
      <c r="AI99" s="75">
        <f>Table2[CPI]+2.56%</f>
        <v>5.33E-2</v>
      </c>
      <c r="AJ99" s="72">
        <f t="shared" ref="AJ99:AJ144" si="34">(1+AJ98)*(1+AI99)-1</f>
        <v>30.401545374763941</v>
      </c>
      <c r="AK99" s="74">
        <f>Table2[[#This Row],[Annual benefit payments (closed scheme)]]/((1+AJ98)*(1+Table2[[#This Row],[Discount rate C]])^0.5)+AK98</f>
        <v>52.351833429184282</v>
      </c>
      <c r="AL99" s="74">
        <f>AL98*(1+Table2[Discount rate C])</f>
        <v>1884.0927224858367</v>
      </c>
      <c r="AM99" s="74">
        <f>Table2[[#This Row],[Asset growth C]]/(1+Table2[Compounded CPI])</f>
        <v>352.97034965377719</v>
      </c>
      <c r="AN99" s="74">
        <f>(AN98*((1+Table2[Discount rate C])^0.5)-Table2[Annual benefit payments (closed scheme)])*(1+Table2[Discount rate C])^0.5</f>
        <v>240.16424960722108</v>
      </c>
      <c r="AO99" s="74">
        <f>Table2[[#This Row],[Asset growth C with benefit payments deducted]]/(1+Table2[Compounded CPI])</f>
        <v>44.992933811852296</v>
      </c>
      <c r="AP99" s="78">
        <f>Table2[[#This Row],[Asset growth C with benefit payments deducted]]/(1+Table2[Compounded discount rate C])</f>
        <v>7.6481665708156727</v>
      </c>
      <c r="AQ99" s="75">
        <f>Table2[CPI]+2.56%</f>
        <v>5.33E-2</v>
      </c>
      <c r="AR99" s="72">
        <f t="shared" ref="AR99:AR144" si="35">(1+AR98)*(1+AQ99)-1</f>
        <v>28.393954273900508</v>
      </c>
      <c r="AS99" s="74">
        <f>Table2[[#This Row],[Annual benefit payments (closed scheme)]]/((1+AR98)*(1+Table2[[#This Row],[Discount rate D]])^0.5)+AS98</f>
        <v>54.851216620877175</v>
      </c>
      <c r="AT99" s="71">
        <f>AT98*(1+Table2[Discount rate D])</f>
        <v>1763.6372564340293</v>
      </c>
      <c r="AU99" s="74">
        <f>Table2[[#This Row],[Asset growth D]]/(1+Table2[Compounded CPI])</f>
        <v>330.40394012276499</v>
      </c>
      <c r="AV99" s="74">
        <f>(AV98*((1+Table2[Discount rate D])^0.5)-Table2[Annual benefit payments (closed scheme)])*(1+Table2[Discount rate D])^0.5</f>
        <v>151.34310321215477</v>
      </c>
      <c r="AW99" s="74">
        <f>Table2[[#This Row],[Asset growth D with benefit payments deducted]]/(1+Table2[Compounded CPI])</f>
        <v>28.352971921679686</v>
      </c>
      <c r="AX99" s="78">
        <f>Table2[[#This Row],[Asset growth D with benefit payments deducted]]/(1+Table2[Compounded discount rate D])</f>
        <v>5.1487833791228086</v>
      </c>
      <c r="AY99" s="75">
        <f>Table2[CPI]+4%</f>
        <v>6.7699999999999996E-2</v>
      </c>
      <c r="AZ99" s="72">
        <f t="shared" ref="AZ99:AZ144" si="36">(1+AZ98)*(1+AY99)-1</f>
        <v>70.178808830660032</v>
      </c>
      <c r="BA99" s="74">
        <f>Table2[[#This Row],[Annual benefit payments (closed scheme)]]/((1+AZ98)*(1+Table2[[#This Row],[Discount rate E]])^0.5)+BA98</f>
        <v>48.296902506507045</v>
      </c>
      <c r="BB99" s="17">
        <f>BB98*(1+Table2[Discount rate E])</f>
        <v>4270.7285298396082</v>
      </c>
      <c r="BC99" s="71">
        <f>Table2[[#This Row],[Asset growth E]]/(1+Table2[Compounded CPI])</f>
        <v>800.08829951052485</v>
      </c>
      <c r="BD99" s="74">
        <f>(BD98*((1+Table2[Discount rate E])^0.5)-Table2[Annual benefit payments (closed scheme)])*(1+Table2[Discount rate E])^0.5</f>
        <v>833.01253921591092</v>
      </c>
      <c r="BE99" s="74">
        <f>Table2[[#This Row],[Asset growth E with benefit payments deducted]]/(1+Table2[Compounded CPI])</f>
        <v>156.05852287624404</v>
      </c>
      <c r="BF99" s="78">
        <f>Table2[[#This Row],[Asset growth E with benefit payments deducted]]/(1+Table2[Compounded discount rate E])</f>
        <v>11.703097493492946</v>
      </c>
      <c r="BG99" s="75">
        <f>Table2[[#This Row],[Long-dated forward gilt yields]]+0.75%</f>
        <v>2.5600000000000001E-2</v>
      </c>
      <c r="BH99" s="75">
        <f t="shared" ref="BH99:BH144" si="37">(1+BH98)*(1+BG99)-1</f>
        <v>4.8027521950675469</v>
      </c>
      <c r="BI99" s="17">
        <f>((Table2[[#This Row],[Annual benefit payments (closed scheme)]])*1.005^(Table2[[#This Row],[Year]]-2018))/((1+BH98)*(1+Table2[[#This Row],[Discount rate F]])^0.5)+BI98</f>
        <v>82.329535067723583</v>
      </c>
      <c r="BJ99" s="74">
        <f>BJ98*(1+Table2[Discount rate F])</f>
        <v>477.81889553463833</v>
      </c>
      <c r="BK99" s="74">
        <f>Table2[[#This Row],[Asset growth F, under the assumption of full-funding at Year 0]]/(1+Table2[[#This Row],[Compounded CPI]])</f>
        <v>89.515712584209496</v>
      </c>
      <c r="BL99" s="74">
        <f>(BL98*((1+Table2[Discount rate F])^0.5)-Table2[Annual benefit payments (closed scheme)]*1.005^(Table2[Year]-2018))*(1+Table2[Discount rate F])^0.5</f>
        <v>8.1005201514863456E-2</v>
      </c>
      <c r="BM99" s="74">
        <f>Table2[[#This Row],[Asset growth F with benefit payments deducted]]/(1+Table2[Compounded CPI])</f>
        <v>1.5175704444498736E-2</v>
      </c>
      <c r="BN99" s="78">
        <f>Table2[[#This Row],[Asset growth F with benefit payments deducted]]/(1+Table2[Compounded discount rate F])</f>
        <v>1.3959789905162496E-2</v>
      </c>
      <c r="BO99" s="18">
        <f>(1+BO98)*(1+Table2[Discount rate A2])-1</f>
        <v>7.3680851246122643</v>
      </c>
      <c r="BP99" s="74">
        <f>Table2[[#This Row],[Annual benefit payments (ongoing scheme)]]/((1+BO98)*(1+Table2[[#This Row],[Discount rate A2]])^0.5)+BP98</f>
        <v>111.28781606925065</v>
      </c>
      <c r="BQ99" s="74">
        <f>(BQ98*((1+Table2[Discount rate A2])^0.5)-Table2[Annual benefit payments (ongoing scheme)])*(1+Table2[Discount rate A2])^0.5</f>
        <v>10.220420318244885</v>
      </c>
      <c r="BR99" s="18">
        <f>(1+BR98)*(1+Table2[Discount rate B])-1</f>
        <v>13.931208101391364</v>
      </c>
      <c r="BS99" s="74">
        <f>Table2[[#This Row],[Annual benefit payments (ongoing scheme)]]/((1+BR98)*(1+Table2[[#This Row],[Discount rate B]])^0.5)+BS98</f>
        <v>92.862068940606989</v>
      </c>
      <c r="BT99" s="18">
        <f>(1+BT98)*(1+Table2[Discount rate E])-1</f>
        <v>26.889354176890027</v>
      </c>
      <c r="BU99" s="74">
        <f>Table2[[#This Row],[Annual benefit payments (ongoing scheme)]]/((1+BT98)*(1+Table2[[#This Row],[Discount rate E]])^0.5)+BU98</f>
        <v>77.809135545990614</v>
      </c>
      <c r="BV99" s="18">
        <f>Table2[CPI]+0.75%+0.75%</f>
        <v>4.2699999999999995E-2</v>
      </c>
      <c r="BW99" s="18">
        <f>(1+BW98)*(1+Table2[Self-sufficiency discount rate, from 2037])-1</f>
        <v>6.5269437197520572</v>
      </c>
      <c r="BX99" s="17">
        <f>(Table2[[#This Row],[Annual benefit payments (ongoing scheme)]]*1.005^(Table2[[#This Row],[Year]]-2038))/((1+BW98)*(1+Table2[[#This Row],[Self-sufficiency discount rate, from 2037]])^0.5)+BX98</f>
        <v>126.20648970013177</v>
      </c>
      <c r="BY99" s="74">
        <f>(BY98*((1+Table2[Self-sufficiency discount rate, from 2037])^0.5)-Table2[Annual benefit payments (ongoing scheme)]*1.005^(Table2[Year]-2038))*(1+Table2[Self-sufficiency discount rate, from 2037])^0.5</f>
        <v>13.879923223627987</v>
      </c>
      <c r="BZ99" s="74">
        <f>(BZ98*((1+Table2[Discount rate B])^0.5)-Table2[Annual benefit payments (ongoing scheme)])*(1+Table2[Discount rate B])^0.5</f>
        <v>9.7183255178193271</v>
      </c>
      <c r="CA99" s="74">
        <f>(CA98*((1+Table2[Discount rate A2])^0.5)+Table2[Net cashflow (ongoing scheme)])*(1+Table2[Discount rate A2])^0.5</f>
        <v>7.450874853408906</v>
      </c>
      <c r="CB99" s="74">
        <f>Table2[[#This Row],[Asset growth, ongoing scheme, with November de-risking, net of contributions and payments]]/(1+Table2[Compounded discount rate A2])</f>
        <v>0.5007610644376812</v>
      </c>
      <c r="CC99" s="74">
        <f>Table2[[#This Row],[Asset growth, ongoing scheme, with November de-risking, net of contributions and payments]]/(1+Table2[Compounded CPI])</f>
        <v>1.395864370605066</v>
      </c>
      <c r="CD99" s="74">
        <f>(CD98*((1+Table2[Discount rate A1])^0.5)+Table2[Net cashflow (ongoing scheme)])*(1+Table2[Discount rate A1])^0.5</f>
        <v>55.505633281507677</v>
      </c>
      <c r="CE99" s="74">
        <f>Table2[[#This Row],[Asset growth, ongoing scheme, with September de-risking, net of contributions and payments]]/(1+Table2[Compounded discount rate A1])</f>
        <v>3.5431980871343804</v>
      </c>
      <c r="CF99" s="74">
        <f>Table2[[#This Row],[Asset growth, ongoing scheme, with September de-risking, net of contributions and payments]]/(1+Table2[Compounded CPI])</f>
        <v>10.39855552399724</v>
      </c>
      <c r="CG99" s="74">
        <f>(CG98*((1+Table2[Discount rate B])^0.5)+Table2[Net cashflow (ongoing scheme)])*(1+Table2[Discount rate B])^0.5</f>
        <v>458.14344691363408</v>
      </c>
      <c r="CH99" s="74">
        <f>Table2[[#This Row],[Asset growth, ongoing scheme, no de-risking, net of contributions and payments]]/(1+Table2[Compounded discount rate B])</f>
        <v>15.637515435200479</v>
      </c>
      <c r="CI99" s="74">
        <f>Table2[[#This Row],[Asset growth, ongoing scheme, no de-risking, net of contributions and payments]]/(1+Table2[Compounded CPI])</f>
        <v>85.829667891999279</v>
      </c>
      <c r="CJ99" s="74">
        <f>(CJ98*((1+Table2[Discount rate E])^0.5)+Table2[Net cashflow (ongoing scheme)])*(1+Table2[Discount rate E])^0.5</f>
        <v>2282.3416310300477</v>
      </c>
      <c r="CK99" s="74">
        <f>Table2[[#This Row],[Asset growth, ongoing scheme, best-estimates, no de-risking, net of contributions and payments ]]/(1+Table2[Compounded discount rate E])</f>
        <v>32.064903424556</v>
      </c>
      <c r="CL99" s="74">
        <f>Table2[[#This Row],[Asset growth, ongoing scheme, best-estimates, no de-risking, net of contributions and payments ]]/(1+Table2[Compounded CPI])</f>
        <v>427.57923424870296</v>
      </c>
      <c r="CM99" s="73">
        <f t="shared" si="24"/>
        <v>2.7699999999999999E-2</v>
      </c>
      <c r="CN99" s="75">
        <f>(1+Table2[[#This Row],[CPI]])*(1+CN98)-1</f>
        <v>4.3378215035169729</v>
      </c>
      <c r="CO99" s="11">
        <f t="shared" si="23"/>
        <v>1.8100000000000002E-2</v>
      </c>
      <c r="CP99" s="75">
        <f>Table2[[#This Row],[CPI]]+2%</f>
        <v>4.7699999999999999E-2</v>
      </c>
      <c r="CQ99" s="76">
        <f>(1+Table2[[#This Row],[Salary growth]])*(1+CQ98)-1</f>
        <v>21.164847010390325</v>
      </c>
      <c r="CR99" s="77">
        <f t="shared" si="25"/>
        <v>53.378215035169703</v>
      </c>
      <c r="CS99" s="74">
        <f t="shared" si="26"/>
        <v>69.391679545720621</v>
      </c>
      <c r="CT99" s="74">
        <f>CT98*(1+Table2[[#This Row],[Salary growth]])</f>
        <v>221.64847010390324</v>
      </c>
      <c r="CU99" s="78">
        <f t="shared" ref="CU99:CU144" si="38">CU98*(1+CP99)</f>
        <v>288.14301113507418</v>
      </c>
      <c r="CV99" s="116">
        <f>('Cash flows as at 31032017'!B84)/1000000000</f>
        <v>2.1167945000000001E-2</v>
      </c>
      <c r="CW99" s="117">
        <v>0</v>
      </c>
      <c r="CX99" s="117">
        <f>Table2[[#This Row],[Annual contributions (closed scheme)]]-Table2[[#This Row],[Annual benefit payments (closed scheme)]]</f>
        <v>-2.1167945000000001E-2</v>
      </c>
      <c r="CY99" s="117">
        <v>1.77</v>
      </c>
      <c r="CZ99" s="117">
        <v>0</v>
      </c>
      <c r="DA99" s="117">
        <v>-1.77</v>
      </c>
    </row>
    <row r="100" spans="1:181" x14ac:dyDescent="0.2">
      <c r="A100" s="7">
        <v>2093</v>
      </c>
      <c r="E100" s="6">
        <v>6.0999999999999999E-2</v>
      </c>
      <c r="F100" s="1">
        <f>F99*(1+Table2[[#This Row],[2008 discount rate]])</f>
        <v>5169.508365173825</v>
      </c>
      <c r="G100" s="1">
        <v>2.0609999999999999</v>
      </c>
      <c r="H100">
        <f>H99*(1+Table2[[#This Row],[2011 discount rate]])</f>
        <v>23807.043573297226</v>
      </c>
      <c r="I100" s="1">
        <v>2.052</v>
      </c>
      <c r="J100" s="1">
        <f>J99*(1+Table2[[#This Row],[2014 discount rate]])</f>
        <v>12944.613833517069</v>
      </c>
      <c r="K100" s="9">
        <f>Table2[CPI]+1.7%</f>
        <v>4.4700000000000004E-2</v>
      </c>
      <c r="L100" s="108">
        <f t="shared" si="21"/>
        <v>15.365648677601538</v>
      </c>
      <c r="M100" s="17">
        <f>Table2[[#This Row],[Annual benefit payments (closed scheme)]]/((1+L99)*(1+Table2[[#This Row],[Discount rate A1]])^0.5)+M99</f>
        <v>64.920244183291274</v>
      </c>
      <c r="N100" s="74">
        <f>N99*(1+Table2[Discount rate A1])</f>
        <v>1062.49995085624</v>
      </c>
      <c r="O100" s="74">
        <f>Table2[[#This Row],[Asset growth A1, under the assumption of full-funding at Year 0]]/(1+Table2[[#This Row],[Compounded CPI]])</f>
        <v>193.6861271008211</v>
      </c>
      <c r="P100" s="74">
        <f>(P99*((1+Table2[Discount rate A1])^0.5)-Table2[Annual benefit payments (closed scheme)])*(1+Table2[Discount rate A1])^0.5</f>
        <v>3.8042488389022654E-2</v>
      </c>
      <c r="Q100" s="74">
        <f>Table2[[#This Row],[Asset growth A1 with benefit payments deducted]]/(1+Table2[Compounded CPI])</f>
        <v>6.9348730184974E-3</v>
      </c>
      <c r="R100" s="74">
        <f>Table2[[#This Row],[Asset growth A1 with benefit payments deducted]]/(1+Table2[Compounded discount rate A1])</f>
        <v>2.3245328760532796E-3</v>
      </c>
      <c r="S100" s="73">
        <f>Table2[CPI]+1.7%</f>
        <v>4.4700000000000004E-2</v>
      </c>
      <c r="T100" s="72">
        <f t="shared" si="32"/>
        <v>14.544197646630291</v>
      </c>
      <c r="U100" s="17">
        <f>Table2[[#This Row],[Annual benefit payments (closed scheme)]]/((1+T99)*(1+Table2[[#This Row],[Discount rate A2]])^0.5)+U99</f>
        <v>67.508858657417036</v>
      </c>
      <c r="V100" s="74">
        <f>V99*(1+Table2[Discount rate A2])</f>
        <v>1049.4090843577076</v>
      </c>
      <c r="W100" s="74">
        <f>Table2[[#This Row],[Asset growth A2, under the assumption of full-funding at Year 0]]/(1+Table2[Compounded CPI])</f>
        <v>191.2997559480965</v>
      </c>
      <c r="X100" s="74">
        <f>(X99*((1+Table2[Discount rate A2])^0.5)-Table2[Annual benefit payments (closed scheme)])*(1+Table2[Discount rate A2])^0.5</f>
        <v>3.8042488389330581E-2</v>
      </c>
      <c r="Y100" s="74">
        <f>Table2[[#This Row],[Asset growth A2 with benefit payments deducted]]/(1+Table2[[#This Row],[Compounded CPI]])</f>
        <v>6.9348730185535331E-3</v>
      </c>
      <c r="Z100" s="78">
        <f>Table2[[#This Row],[Asset growth A2 with benefit payments deducted]]/(1+Table2[Compounded discount rate A2])</f>
        <v>2.4473754936831702E-3</v>
      </c>
      <c r="AA100" s="109">
        <f>Table2[CPI]+2.8%</f>
        <v>5.57E-2</v>
      </c>
      <c r="AB100" s="72">
        <f t="shared" si="33"/>
        <v>29.929596131236227</v>
      </c>
      <c r="AC100" s="74">
        <f>Table2[[#This Row],[Annual benefit payments (closed scheme)]]/((1+AB99)*(1+Table2[[#This Row],[Discount rate B]])^0.5)+AC99</f>
        <v>60.425709994377236</v>
      </c>
      <c r="AD100" s="110">
        <f>AD99*(1+Table2[Discount rate B])</f>
        <v>1855.7757678741739</v>
      </c>
      <c r="AE100" s="71">
        <f>Table2[[#This Row],[Asset growth B]]/(1+Table2[Compounded CPI])</f>
        <v>338.29462387969028</v>
      </c>
      <c r="AF100" s="74">
        <f>(AF99*((1+Table2[Discount rate B])^0.5)-Table2[Annual benefit payments (closed scheme)])*(1+Table2[Discount rate B])^0.5</f>
        <v>-13.167038195118382</v>
      </c>
      <c r="AG100" s="74">
        <f>Table2[[#This Row],[Asset growth B with benefit payments deducted]]/(1+Table2[Compounded CPI])</f>
        <v>-2.4002567071611334</v>
      </c>
      <c r="AH100" s="78">
        <f>Table2[[#This Row],[Asset growth B with benefit payments deducted]]/(1+Table2[Compounded discount rate B])</f>
        <v>-0.42570999437722395</v>
      </c>
      <c r="AI100" s="75">
        <f>Table2[CPI]+2.56%</f>
        <v>5.33E-2</v>
      </c>
      <c r="AJ100" s="72">
        <f t="shared" si="34"/>
        <v>32.075247743238855</v>
      </c>
      <c r="AK100" s="74">
        <f>Table2[[#This Row],[Annual benefit payments (closed scheme)]]/((1+AJ99)*(1+Table2[[#This Row],[Discount rate C]])^0.5)+AK99</f>
        <v>52.352315693896529</v>
      </c>
      <c r="AL100" s="74">
        <f>AL99*(1+Table2[Discount rate C])</f>
        <v>1984.5148645943316</v>
      </c>
      <c r="AM100" s="74">
        <f>Table2[[#This Row],[Asset growth C]]/(1+Table2[Compounded CPI])</f>
        <v>361.76283865945658</v>
      </c>
      <c r="AN100" s="74">
        <f>(AN99*((1+Table2[Discount rate C])^0.5)-Table2[Annual benefit payments (closed scheme)])*(1+Table2[Discount rate C])^0.5</f>
        <v>252.94905308645048</v>
      </c>
      <c r="AO100" s="74">
        <f>Table2[[#This Row],[Asset growth C with benefit payments deducted]]/(1+Table2[Compounded CPI])</f>
        <v>46.110799729122505</v>
      </c>
      <c r="AP100" s="78">
        <f>Table2[[#This Row],[Asset growth C with benefit payments deducted]]/(1+Table2[Compounded discount rate C])</f>
        <v>7.6476843061034243</v>
      </c>
      <c r="AQ100" s="75">
        <f>Table2[CPI]+2.56%</f>
        <v>5.33E-2</v>
      </c>
      <c r="AR100" s="72">
        <f t="shared" si="35"/>
        <v>29.960652036699404</v>
      </c>
      <c r="AS100" s="74">
        <f>Table2[[#This Row],[Annual benefit payments (closed scheme)]]/((1+AR99)*(1+Table2[[#This Row],[Discount rate D]])^0.5)+AS99</f>
        <v>54.851731824007153</v>
      </c>
      <c r="AT100" s="71">
        <f>AT99*(1+Table2[Discount rate D])</f>
        <v>1857.6391222019629</v>
      </c>
      <c r="AU100" s="74">
        <f>Table2[[#This Row],[Asset growth D]]/(1+Table2[Compounded CPI])</f>
        <v>338.63430002073403</v>
      </c>
      <c r="AV100" s="74">
        <f>(AV99*((1+Table2[Discount rate D])^0.5)-Table2[Annual benefit payments (closed scheme)])*(1+Table2[Discount rate D])^0.5</f>
        <v>159.39373958852715</v>
      </c>
      <c r="AW100" s="74">
        <f>Table2[[#This Row],[Asset growth D with benefit payments deducted]]/(1+Table2[Compounded CPI])</f>
        <v>29.056336501605909</v>
      </c>
      <c r="AX100" s="78">
        <f>Table2[[#This Row],[Asset growth D with benefit payments deducted]]/(1+Table2[Compounded discount rate D])</f>
        <v>5.1482681759928308</v>
      </c>
      <c r="AY100" s="75">
        <f>Table2[CPI]+4%</f>
        <v>6.7699999999999996E-2</v>
      </c>
      <c r="AZ100" s="72">
        <f t="shared" si="36"/>
        <v>74.997614188495717</v>
      </c>
      <c r="BA100" s="74">
        <f>Table2[[#This Row],[Annual benefit payments (closed scheme)]]/((1+AZ99)*(1+Table2[[#This Row],[Discount rate E]])^0.5)+BA99</f>
        <v>48.297113824857483</v>
      </c>
      <c r="BB100" s="17">
        <f>BB99*(1+Table2[Discount rate E])</f>
        <v>4559.8568513097498</v>
      </c>
      <c r="BC100" s="71">
        <f>Table2[[#This Row],[Asset growth E]]/(1+Table2[Compounded CPI])</f>
        <v>831.2292277779386</v>
      </c>
      <c r="BD100" s="74">
        <f>(BD99*((1+Table2[Discount rate E])^0.5)-Table2[Annual benefit payments (closed scheme)])*(1+Table2[Discount rate E])^0.5</f>
        <v>889.39142843036029</v>
      </c>
      <c r="BE100" s="74">
        <f>Table2[[#This Row],[Asset growth E with benefit payments deducted]]/(1+Table2[Compounded CPI])</f>
        <v>162.12968396894669</v>
      </c>
      <c r="BF100" s="78">
        <f>Table2[[#This Row],[Asset growth E with benefit payments deducted]]/(1+Table2[Compounded discount rate E])</f>
        <v>11.702886175142503</v>
      </c>
      <c r="BG100" s="75">
        <f>Table2[[#This Row],[Long-dated forward gilt yields]]+0.75%</f>
        <v>2.5600000000000001E-2</v>
      </c>
      <c r="BH100" s="75">
        <f t="shared" si="37"/>
        <v>4.9513026512612761</v>
      </c>
      <c r="BI100" s="17">
        <f>((Table2[[#This Row],[Annual benefit payments (closed scheme)]])*1.005^(Table2[[#This Row],[Year]]-2018))/((1+BH99)*(1+Table2[[#This Row],[Discount rate F]])^0.5)+BI99</f>
        <v>82.333379605655878</v>
      </c>
      <c r="BJ100" s="74">
        <f>BJ99*(1+Table2[Discount rate F])</f>
        <v>490.05105926032508</v>
      </c>
      <c r="BK100" s="74">
        <f>Table2[[#This Row],[Asset growth F, under the assumption of full-funding at Year 0]]/(1+Table2[[#This Row],[Compounded CPI]])</f>
        <v>89.332796366999375</v>
      </c>
      <c r="BL100" s="74">
        <f>(BL99*((1+Table2[Discount rate F])^0.5)-Table2[Annual benefit payments (closed scheme)]*1.005^(Table2[Year]-2018))*(1+Table2[Discount rate F])^0.5</f>
        <v>6.0198925884259978E-2</v>
      </c>
      <c r="BM100" s="74">
        <f>Table2[[#This Row],[Asset growth F with benefit payments deducted]]/(1+Table2[Compounded CPI])</f>
        <v>1.0973832799479616E-2</v>
      </c>
      <c r="BN100" s="78">
        <f>Table2[[#This Row],[Asset growth F with benefit payments deducted]]/(1+Table2[Compounded discount rate F])</f>
        <v>1.0115251972860404E-2</v>
      </c>
      <c r="BO100" s="18">
        <f>(1+BO99)*(1+Table2[Discount rate A2])-1</f>
        <v>7.7421385296824319</v>
      </c>
      <c r="BP100" s="74">
        <f>Table2[[#This Row],[Annual benefit payments (ongoing scheme)]]/((1+BO99)*(1+Table2[[#This Row],[Discount rate A2]])^0.5)+BP99</f>
        <v>111.48891351764811</v>
      </c>
      <c r="BQ100" s="74">
        <f>(BQ99*((1+Table2[Discount rate A2])^0.5)-Table2[Annual benefit payments (ongoing scheme)])*(1+Table2[Discount rate A2])^0.5</f>
        <v>8.9192513546141008</v>
      </c>
      <c r="BR100" s="18">
        <f>(1+BR99)*(1+Table2[Discount rate B])-1</f>
        <v>14.762876392638864</v>
      </c>
      <c r="BS100" s="74">
        <f>Table2[[#This Row],[Annual benefit payments (ongoing scheme)]]/((1+BR99)*(1+Table2[[#This Row],[Discount rate B]])^0.5)+BS99</f>
        <v>92.974183815776996</v>
      </c>
      <c r="BT100" s="18">
        <f>(1+BT99)*(1+Table2[Discount rate E])-1</f>
        <v>28.777463454665483</v>
      </c>
      <c r="BU100" s="74">
        <f>Table2[[#This Row],[Annual benefit payments (ongoing scheme)]]/((1+BT99)*(1+Table2[[#This Row],[Discount rate E]])^0.5)+BU99</f>
        <v>77.868820569319666</v>
      </c>
      <c r="BV100" s="18">
        <f>Table2[CPI]+0.75%+0.75%</f>
        <v>4.2699999999999995E-2</v>
      </c>
      <c r="BW100" s="18">
        <f>(1+BW99)*(1+Table2[Self-sufficiency discount rate, from 2037])-1</f>
        <v>6.8483442165854695</v>
      </c>
      <c r="BX100" s="17">
        <f>(Table2[[#This Row],[Annual benefit payments (ongoing scheme)]]*1.005^(Table2[[#This Row],[Year]]-2038))/((1+BW99)*(1+Table2[[#This Row],[Self-sufficiency discount rate, from 2037]])^0.5)+BX99</f>
        <v>126.50090711020964</v>
      </c>
      <c r="BY100" s="74">
        <f>(BY99*((1+Table2[Self-sufficiency discount rate, from 2037])^0.5)-Table2[Annual benefit payments (ongoing scheme)]*1.005^(Table2[Year]-2038))*(1+Table2[Self-sufficiency discount rate, from 2037])^0.5</f>
        <v>12.161906767630171</v>
      </c>
      <c r="BZ100" s="74">
        <f>(BZ99*((1+Table2[Discount rate B])^0.5)-Table2[Annual benefit payments (ongoing scheme)])*(1+Table2[Discount rate B])^0.5</f>
        <v>8.4923833300809513</v>
      </c>
      <c r="CA100" s="74">
        <f>(CA99*((1+Table2[Discount rate A2])^0.5)+Table2[Net cashflow (ongoing scheme)])*(1+Table2[Discount rate A2])^0.5</f>
        <v>6.0259072074999533</v>
      </c>
      <c r="CB100" s="74">
        <f>Table2[[#This Row],[Asset growth, ongoing scheme, with November de-risking, net of contributions and payments]]/(1+Table2[Compounded discount rate A2])</f>
        <v>0.38766280154744842</v>
      </c>
      <c r="CC100" s="74">
        <f>Table2[[#This Row],[Asset growth, ongoing scheme, with November de-risking, net of contributions and payments]]/(1+Table2[Compounded CPI])</f>
        <v>1.098479701904012</v>
      </c>
      <c r="CD100" s="74">
        <f>(CD99*((1+Table2[Discount rate A1])^0.5)+Table2[Net cashflow (ongoing scheme)])*(1+Table2[Discount rate A1])^0.5</f>
        <v>56.228713337334739</v>
      </c>
      <c r="CE100" s="74">
        <f>Table2[[#This Row],[Asset growth, ongoing scheme, with September de-risking, net of contributions and payments]]/(1+Table2[Compounded discount rate A1])</f>
        <v>3.4357766346463769</v>
      </c>
      <c r="CF100" s="74">
        <f>Table2[[#This Row],[Asset growth, ongoing scheme, with September de-risking, net of contributions and payments]]/(1+Table2[Compounded CPI])</f>
        <v>10.250091502963471</v>
      </c>
      <c r="CG100" s="74">
        <f>(CG99*((1+Table2[Discount rate B])^0.5)+Table2[Net cashflow (ongoing scheme)])*(1+Table2[Discount rate B])^0.5</f>
        <v>481.89478398764248</v>
      </c>
      <c r="CH100" s="74">
        <f>Table2[[#This Row],[Asset growth, ongoing scheme, no de-risking, net of contributions and payments]]/(1+Table2[Compounded discount rate B])</f>
        <v>15.580377511007015</v>
      </c>
      <c r="CI100" s="74">
        <f>Table2[[#This Row],[Asset growth, ongoing scheme, no de-risking, net of contributions and payments]]/(1+Table2[Compounded CPI])</f>
        <v>87.845965833161699</v>
      </c>
      <c r="CJ100" s="74">
        <f>(CJ99*((1+Table2[Discount rate E])^0.5)+Table2[Net cashflow (ongoing scheme)])*(1+Table2[Discount rate E])^0.5</f>
        <v>2435.0788908498103</v>
      </c>
      <c r="CK100" s="74">
        <f>Table2[[#This Row],[Asset growth, ongoing scheme, best-estimates, no de-risking, net of contributions and payments ]]/(1+Table2[Compounded discount rate E])</f>
        <v>32.041517577250801</v>
      </c>
      <c r="CL100" s="74">
        <f>Table2[[#This Row],[Asset growth, ongoing scheme, best-estimates, no de-risking, net of contributions and payments ]]/(1+Table2[Compounded CPI])</f>
        <v>443.89743187618978</v>
      </c>
      <c r="CM100" s="73">
        <f t="shared" si="24"/>
        <v>2.7699999999999999E-2</v>
      </c>
      <c r="CN100" s="75">
        <f>(1+Table2[[#This Row],[CPI]])*(1+CN99)-1</f>
        <v>4.485679159164393</v>
      </c>
      <c r="CO100" s="11">
        <f t="shared" si="23"/>
        <v>1.8100000000000002E-2</v>
      </c>
      <c r="CP100" s="75">
        <f>Table2[[#This Row],[CPI]]+2%</f>
        <v>4.7699999999999999E-2</v>
      </c>
      <c r="CQ100" s="76">
        <f>(1+Table2[[#This Row],[Salary growth]])*(1+CQ99)-1</f>
        <v>22.222110212785946</v>
      </c>
      <c r="CR100" s="77">
        <f t="shared" si="25"/>
        <v>54.856791591643905</v>
      </c>
      <c r="CS100" s="74">
        <f t="shared" si="26"/>
        <v>71.313829069137086</v>
      </c>
      <c r="CT100" s="74">
        <f>CT99*(1+Table2[[#This Row],[Salary growth]])</f>
        <v>232.22110212785944</v>
      </c>
      <c r="CU100" s="78">
        <f t="shared" si="38"/>
        <v>301.88743276621722</v>
      </c>
      <c r="CV100" s="116">
        <f>('Cash flows as at 31032017'!B85)/1000000000</f>
        <v>1.5542202E-2</v>
      </c>
      <c r="CW100" s="117">
        <v>0</v>
      </c>
      <c r="CX100" s="117">
        <f>Table2[[#This Row],[Annual contributions (closed scheme)]]-Table2[[#This Row],[Annual benefit payments (closed scheme)]]</f>
        <v>-1.5542202E-2</v>
      </c>
      <c r="CY100" s="117">
        <v>1.72</v>
      </c>
      <c r="CZ100" s="117">
        <v>0</v>
      </c>
      <c r="DA100" s="117">
        <v>-1.72</v>
      </c>
    </row>
    <row r="101" spans="1:181" x14ac:dyDescent="0.2">
      <c r="A101" s="7">
        <v>2094</v>
      </c>
      <c r="E101" s="6">
        <v>6.0999999999999999E-2</v>
      </c>
      <c r="F101" s="1">
        <f>F100*(1+Table2[[#This Row],[2008 discount rate]])</f>
        <v>5484.8483754494282</v>
      </c>
      <c r="G101" s="1">
        <v>3.0609999999999999</v>
      </c>
      <c r="H101">
        <f>H100*(1+Table2[[#This Row],[2011 discount rate]])</f>
        <v>96680.403951160028</v>
      </c>
      <c r="I101" s="1">
        <v>3.052</v>
      </c>
      <c r="J101" s="1">
        <f>J100*(1+Table2[[#This Row],[2014 discount rate]])</f>
        <v>52451.57525341116</v>
      </c>
      <c r="K101" s="9">
        <f>Table2[CPI]+1.7%</f>
        <v>4.4700000000000004E-2</v>
      </c>
      <c r="L101" s="108">
        <f t="shared" si="21"/>
        <v>16.097193173490325</v>
      </c>
      <c r="M101" s="17">
        <f>Table2[[#This Row],[Annual benefit payments (closed scheme)]]/((1+L100)*(1+Table2[[#This Row],[Discount rate A1]])^0.5)+M100</f>
        <v>64.920919853385342</v>
      </c>
      <c r="N101" s="74">
        <f>N100*(1+Table2[Discount rate A1])</f>
        <v>1109.9936986595139</v>
      </c>
      <c r="O101" s="74">
        <f>Table2[[#This Row],[Asset growth A1, under the assumption of full-funding at Year 0]]/(1+Table2[[#This Row],[Compounded CPI]])</f>
        <v>196.8900427967576</v>
      </c>
      <c r="P101" s="74">
        <f>(P100*((1+Table2[Discount rate A1])^0.5)-Table2[Annual benefit payments (closed scheme)])*(1+Table2[Discount rate A1])^0.5</f>
        <v>2.8190925500102718E-2</v>
      </c>
      <c r="Q101" s="74">
        <f>Table2[[#This Row],[Asset growth A1 with benefit payments deducted]]/(1+Table2[Compounded CPI])</f>
        <v>5.0004901243119815E-3</v>
      </c>
      <c r="R101" s="74">
        <f>Table2[[#This Row],[Asset growth A1 with benefit payments deducted]]/(1+Table2[Compounded discount rate A1])</f>
        <v>1.6488627819807016E-3</v>
      </c>
      <c r="S101" s="73">
        <f>Table2[CPI]+1.7%</f>
        <v>4.4700000000000004E-2</v>
      </c>
      <c r="T101" s="72">
        <f t="shared" si="32"/>
        <v>15.239023281434665</v>
      </c>
      <c r="U101" s="17">
        <f>Table2[[#This Row],[Annual benefit payments (closed scheme)]]/((1+T100)*(1+Table2[[#This Row],[Discount rate A2]])^0.5)+U100</f>
        <v>67.50957003407558</v>
      </c>
      <c r="V101" s="74">
        <f>V100*(1+Table2[Discount rate A2])</f>
        <v>1096.317670428497</v>
      </c>
      <c r="W101" s="74">
        <f>Table2[[#This Row],[Asset growth A2, under the assumption of full-funding at Year 0]]/(1+Table2[Compounded CPI])</f>
        <v>194.46419678795016</v>
      </c>
      <c r="X101" s="74">
        <f>(X100*((1+Table2[Discount rate A2])^0.5)-Table2[Annual benefit payments (closed scheme)])*(1+Table2[Discount rate A2])^0.5</f>
        <v>2.8190925500424412E-2</v>
      </c>
      <c r="Y101" s="74">
        <f>Table2[[#This Row],[Asset growth A2 with benefit payments deducted]]/(1+Table2[[#This Row],[Compounded CPI]])</f>
        <v>5.0004901243690435E-3</v>
      </c>
      <c r="Z101" s="78">
        <f>Table2[[#This Row],[Asset growth A2 with benefit payments deducted]]/(1+Table2[Compounded discount rate A2])</f>
        <v>1.7359988351426166E-3</v>
      </c>
      <c r="AA101" s="109">
        <f>Table2[CPI]+2.8%</f>
        <v>5.57E-2</v>
      </c>
      <c r="AB101" s="72">
        <f t="shared" si="33"/>
        <v>31.652374635746085</v>
      </c>
      <c r="AC101" s="74">
        <f>Table2[[#This Row],[Annual benefit payments (closed scheme)]]/((1+AB100)*(1+Table2[[#This Row],[Discount rate B]])^0.5)+AC100</f>
        <v>60.426065641425289</v>
      </c>
      <c r="AD101" s="110">
        <f>AD100*(1+Table2[Discount rate B])</f>
        <v>1959.1424781447656</v>
      </c>
      <c r="AE101" s="71">
        <f>Table2[[#This Row],[Asset growth B]]/(1+Table2[Compounded CPI])</f>
        <v>347.51156410410533</v>
      </c>
      <c r="AF101" s="74">
        <f>(AF100*((1+Table2[Discount rate B])^0.5)-Table2[Annual benefit payments (closed scheme)])*(1+Table2[Discount rate B])^0.5</f>
        <v>-13.912054943237544</v>
      </c>
      <c r="AG101" s="74">
        <f>Table2[[#This Row],[Asset growth B with benefit payments deducted]]/(1+Table2[Compounded CPI])</f>
        <v>-2.4677122910452711</v>
      </c>
      <c r="AH101" s="78">
        <f>Table2[[#This Row],[Asset growth B with benefit payments deducted]]/(1+Table2[Compounded discount rate B])</f>
        <v>-0.42606564142527525</v>
      </c>
      <c r="AI101" s="75">
        <f>Table2[CPI]+2.56%</f>
        <v>5.33E-2</v>
      </c>
      <c r="AJ101" s="72">
        <f t="shared" si="34"/>
        <v>33.838158447953482</v>
      </c>
      <c r="AK101" s="74">
        <f>Table2[[#This Row],[Annual benefit payments (closed scheme)]]/((1+AJ100)*(1+Table2[[#This Row],[Discount rate C]])^0.5)+AK100</f>
        <v>52.352648648152254</v>
      </c>
      <c r="AL101" s="74">
        <f>AL100*(1+Table2[Discount rate C])</f>
        <v>2090.2895068772091</v>
      </c>
      <c r="AM101" s="74">
        <f>Table2[[#This Row],[Asset growth C]]/(1+Table2[Compounded CPI])</f>
        <v>370.77434850637877</v>
      </c>
      <c r="AN101" s="74">
        <f>(AN100*((1+Table2[Discount rate C])^0.5)-Table2[Annual benefit payments (closed scheme)])*(1+Table2[Discount rate C])^0.5</f>
        <v>266.4196381028413</v>
      </c>
      <c r="AO101" s="74">
        <f>Table2[[#This Row],[Asset growth C with benefit payments deducted]]/(1+Table2[Compounded CPI])</f>
        <v>47.257361921345073</v>
      </c>
      <c r="AP101" s="78">
        <f>Table2[[#This Row],[Asset growth C with benefit payments deducted]]/(1+Table2[Compounded discount rate C])</f>
        <v>7.6473513518476963</v>
      </c>
      <c r="AQ101" s="75">
        <f>Table2[CPI]+2.56%</f>
        <v>5.33E-2</v>
      </c>
      <c r="AR101" s="72">
        <f t="shared" si="35"/>
        <v>31.61085479025548</v>
      </c>
      <c r="AS101" s="74">
        <f>Table2[[#This Row],[Annual benefit payments (closed scheme)]]/((1+AR100)*(1+Table2[[#This Row],[Discount rate D]])^0.5)+AS100</f>
        <v>54.85208751885758</v>
      </c>
      <c r="AT101" s="71">
        <f>AT100*(1+Table2[Discount rate D])</f>
        <v>1956.6512874153273</v>
      </c>
      <c r="AU101" s="74">
        <f>Table2[[#This Row],[Asset growth D]]/(1+Table2[Compounded CPI])</f>
        <v>347.06967812770171</v>
      </c>
      <c r="AV101" s="74">
        <f>(AV100*((1+Table2[Discount rate D])^0.5)-Table2[Annual benefit payments (closed scheme)])*(1+Table2[Discount rate D])^0.5</f>
        <v>167.87782639547873</v>
      </c>
      <c r="AW101" s="74">
        <f>Table2[[#This Row],[Asset growth D with benefit payments deducted]]/(1+Table2[Compounded CPI])</f>
        <v>29.778072130994563</v>
      </c>
      <c r="AX101" s="78">
        <f>Table2[[#This Row],[Asset growth D with benefit payments deducted]]/(1+Table2[Compounded discount rate D])</f>
        <v>5.147912481142404</v>
      </c>
      <c r="AY101" s="75">
        <f>Table2[CPI]+4%</f>
        <v>6.7699999999999996E-2</v>
      </c>
      <c r="AZ101" s="72">
        <f t="shared" si="36"/>
        <v>80.142652669056886</v>
      </c>
      <c r="BA101" s="74">
        <f>Table2[[#This Row],[Annual benefit payments (closed scheme)]]/((1+AZ100)*(1+Table2[[#This Row],[Discount rate E]])^0.5)+BA100</f>
        <v>48.297257750818602</v>
      </c>
      <c r="BB101" s="17">
        <f>BB100*(1+Table2[Discount rate E])</f>
        <v>4868.5591601434207</v>
      </c>
      <c r="BC101" s="71">
        <f>Table2[[#This Row],[Asset growth E]]/(1+Table2[Compounded CPI])</f>
        <v>863.5822190313371</v>
      </c>
      <c r="BD101" s="74">
        <f>(BD100*((1+Table2[Discount rate E])^0.5)-Table2[Annual benefit payments (closed scheme)])*(1+Table2[Discount rate E])^0.5</f>
        <v>949.59154960082242</v>
      </c>
      <c r="BE101" s="74">
        <f>Table2[[#This Row],[Asset growth E with benefit payments deducted]]/(1+Table2[Compounded CPI])</f>
        <v>168.43800200499703</v>
      </c>
      <c r="BF101" s="78">
        <f>Table2[[#This Row],[Asset growth E with benefit payments deducted]]/(1+Table2[Compounded discount rate E])</f>
        <v>11.702742249181382</v>
      </c>
      <c r="BG101" s="75">
        <f>Table2[[#This Row],[Long-dated forward gilt yields]]+0.75%</f>
        <v>2.5600000000000001E-2</v>
      </c>
      <c r="BH101" s="75">
        <f t="shared" si="37"/>
        <v>5.103655999133565</v>
      </c>
      <c r="BI101" s="17">
        <f>((Table2[[#This Row],[Annual benefit payments (closed scheme)]])*1.005^(Table2[[#This Row],[Year]]-2018))/((1+BH100)*(1+Table2[[#This Row],[Discount rate F]])^0.5)+BI100</f>
        <v>82.336119181756928</v>
      </c>
      <c r="BJ101" s="74">
        <f>BJ100*(1+Table2[Discount rate F])</f>
        <v>502.59636637738942</v>
      </c>
      <c r="BK101" s="74">
        <f>Table2[[#This Row],[Asset growth F, under the assumption of full-funding at Year 0]]/(1+Table2[[#This Row],[Compounded CPI]])</f>
        <v>89.150253920399493</v>
      </c>
      <c r="BL101" s="74">
        <f>(BL100*((1+Table2[Discount rate F])^0.5)-Table2[Annual benefit payments (closed scheme)]*1.005^(Table2[Year]-2018))*(1+Table2[Discount rate F])^0.5</f>
        <v>4.5018588282601635E-2</v>
      </c>
      <c r="BM101" s="74">
        <f>Table2[[#This Row],[Asset growth F with benefit payments deducted]]/(1+Table2[Compounded CPI])</f>
        <v>7.9853712541929963E-3</v>
      </c>
      <c r="BN101" s="78">
        <f>Table2[[#This Row],[Asset growth F with benefit payments deducted]]/(1+Table2[Compounded discount rate F])</f>
        <v>7.3756758718040759E-3</v>
      </c>
      <c r="BO101" s="18">
        <f>(1+BO100)*(1+Table2[Discount rate A2])-1</f>
        <v>8.1329121219592366</v>
      </c>
      <c r="BP101" s="74">
        <f>Table2[[#This Row],[Annual benefit payments (ongoing scheme)]]/((1+BO100)*(1+Table2[[#This Row],[Discount rate A2]])^0.5)+BP100</f>
        <v>111.65342789316945</v>
      </c>
      <c r="BQ101" s="74">
        <f>(BQ100*((1+Table2[Discount rate A2])^0.5)-Table2[Annual benefit payments (ongoing scheme)])*(1+Table2[Discount rate A2])^0.5</f>
        <v>7.8154465557299977</v>
      </c>
      <c r="BR101" s="18">
        <f>(1+BR100)*(1+Table2[Discount rate B])-1</f>
        <v>15.64086860770885</v>
      </c>
      <c r="BS101" s="74">
        <f>Table2[[#This Row],[Annual benefit payments (ongoing scheme)]]/((1+BR100)*(1+Table2[[#This Row],[Discount rate B]])^0.5)+BS100</f>
        <v>93.064947392958189</v>
      </c>
      <c r="BT101" s="18">
        <f>(1+BT100)*(1+Table2[Discount rate E])-1</f>
        <v>30.793397730546339</v>
      </c>
      <c r="BU101" s="74">
        <f>Table2[[#This Row],[Annual benefit payments (ongoing scheme)]]/((1+BT100)*(1+Table2[[#This Row],[Discount rate E]])^0.5)+BU100</f>
        <v>77.916596044255854</v>
      </c>
      <c r="BV101" s="18">
        <f>Table2[CPI]+0.75%+0.75%</f>
        <v>4.2699999999999995E-2</v>
      </c>
      <c r="BW101" s="18">
        <f>(1+BW100)*(1+Table2[Self-sufficiency discount rate, from 2037])-1</f>
        <v>7.1834685146336685</v>
      </c>
      <c r="BX101" s="17">
        <f>(Table2[[#This Row],[Annual benefit payments (ongoing scheme)]]*1.005^(Table2[[#This Row],[Year]]-2038))/((1+BW100)*(1+Table2[[#This Row],[Self-sufficiency discount rate, from 2037]])^0.5)+BX100</f>
        <v>126.74343353466368</v>
      </c>
      <c r="BY101" s="74">
        <f>(BY100*((1+Table2[Self-sufficiency discount rate, from 2037])^0.5)-Table2[Annual benefit payments (ongoing scheme)]*1.005^(Table2[Year]-2038))*(1+Table2[Self-sufficiency discount rate, from 2037])^0.5</f>
        <v>10.696512828121701</v>
      </c>
      <c r="BZ101" s="74">
        <f>(BZ100*((1+Table2[Discount rate B])^0.5)-Table2[Annual benefit payments (ongoing scheme)])*(1+Table2[Discount rate B])^0.5</f>
        <v>7.4550243193287047</v>
      </c>
      <c r="CA101" s="74">
        <f>(CA100*((1+Table2[Discount rate A2])^0.5)+Table2[Net cashflow (ongoing scheme)])*(1+Table2[Discount rate A2])^0.5</f>
        <v>4.792769925239849</v>
      </c>
      <c r="CB101" s="74">
        <f>Table2[[#This Row],[Asset growth, ongoing scheme, with November de-risking, net of contributions and payments]]/(1+Table2[Compounded discount rate A2])</f>
        <v>0.29513905129498796</v>
      </c>
      <c r="CC101" s="74">
        <f>Table2[[#This Row],[Asset growth, ongoing scheme, with November de-risking, net of contributions and payments]]/(1+Table2[Compounded CPI])</f>
        <v>0.8501387682065995</v>
      </c>
      <c r="CD101" s="74">
        <f>(CD100*((1+Table2[Discount rate A1])^0.5)+Table2[Net cashflow (ongoing scheme)])*(1+Table2[Discount rate A1])^0.5</f>
        <v>57.239641489078245</v>
      </c>
      <c r="CE101" s="74">
        <f>Table2[[#This Row],[Asset growth, ongoing scheme, with September de-risking, net of contributions and payments]]/(1+Table2[Compounded discount rate A1])</f>
        <v>3.3478969856777372</v>
      </c>
      <c r="CF101" s="74">
        <f>Table2[[#This Row],[Asset growth, ongoing scheme, with September de-risking, net of contributions and payments]]/(1+Table2[Compounded CPI])</f>
        <v>10.153134631363955</v>
      </c>
      <c r="CG101" s="74">
        <f>(CG100*((1+Table2[Discount rate B])^0.5)+Table2[Net cashflow (ongoing scheme)])*(1+Table2[Discount rate B])^0.5</f>
        <v>507.2259386935163</v>
      </c>
      <c r="CH101" s="74">
        <f>Table2[[#This Row],[Asset growth, ongoing scheme, no de-risking, net of contributions and payments]]/(1+Table2[Compounded discount rate B])</f>
        <v>15.534121005038093</v>
      </c>
      <c r="CI101" s="74">
        <f>Table2[[#This Row],[Asset growth, ongoing scheme, no de-risking, net of contributions and payments]]/(1+Table2[Compounded CPI])</f>
        <v>89.971444790720383</v>
      </c>
      <c r="CJ101" s="74">
        <f>(CJ100*((1+Table2[Discount rate E])^0.5)+Table2[Net cashflow (ongoing scheme)])*(1+Table2[Discount rate E])^0.5</f>
        <v>2598.4147870839306</v>
      </c>
      <c r="CK101" s="74">
        <f>Table2[[#This Row],[Asset growth, ongoing scheme, best-estimates, no de-risking, net of contributions and payments ]]/(1+Table2[Compounded discount rate E])</f>
        <v>32.022798141461493</v>
      </c>
      <c r="CL101" s="74">
        <f>Table2[[#This Row],[Asset growth, ongoing scheme, best-estimates, no de-risking, net of contributions and payments ]]/(1+Table2[Compounded CPI])</f>
        <v>460.90531797659753</v>
      </c>
      <c r="CM101" s="73">
        <f t="shared" si="24"/>
        <v>2.7699999999999999E-2</v>
      </c>
      <c r="CN101" s="75">
        <f>(1+Table2[[#This Row],[CPI]])*(1+CN100)-1</f>
        <v>4.6376324718732471</v>
      </c>
      <c r="CO101" s="11">
        <f t="shared" si="23"/>
        <v>1.8100000000000002E-2</v>
      </c>
      <c r="CP101" s="75">
        <f>Table2[[#This Row],[CPI]]+2%</f>
        <v>4.7699999999999999E-2</v>
      </c>
      <c r="CQ101" s="76">
        <f>(1+Table2[[#This Row],[Salary growth]])*(1+CQ100)-1</f>
        <v>23.329804869935838</v>
      </c>
      <c r="CR101" s="77">
        <f t="shared" si="25"/>
        <v>56.376324718732441</v>
      </c>
      <c r="CS101" s="74">
        <f t="shared" si="26"/>
        <v>73.289222134352187</v>
      </c>
      <c r="CT101" s="74">
        <f>CT100*(1+Table2[[#This Row],[Salary growth]])</f>
        <v>243.29804869935836</v>
      </c>
      <c r="CU101" s="78">
        <f t="shared" si="38"/>
        <v>316.28746330916579</v>
      </c>
      <c r="CV101" s="116">
        <f>('Cash flows as at 31032017'!B86)/1000000000</f>
        <v>1.1302219000000001E-2</v>
      </c>
      <c r="CW101" s="117">
        <v>0</v>
      </c>
      <c r="CX101" s="117">
        <f>Table2[[#This Row],[Annual contributions (closed scheme)]]-Table2[[#This Row],[Annual benefit payments (closed scheme)]]</f>
        <v>-1.1302219000000001E-2</v>
      </c>
      <c r="CY101" s="117">
        <v>1.47</v>
      </c>
      <c r="CZ101" s="117">
        <v>0</v>
      </c>
      <c r="DA101" s="117">
        <v>-1.47</v>
      </c>
    </row>
    <row r="102" spans="1:181" x14ac:dyDescent="0.2">
      <c r="A102" s="7">
        <v>2095</v>
      </c>
      <c r="E102" s="6">
        <v>6.0999999999999999E-2</v>
      </c>
      <c r="F102" s="1">
        <f>F101*(1+Table2[[#This Row],[2008 discount rate]])</f>
        <v>5819.4241263518434</v>
      </c>
      <c r="G102" s="1">
        <v>4.0609999999999999</v>
      </c>
      <c r="H102">
        <f>H101*(1+Table2[[#This Row],[2011 discount rate]])</f>
        <v>489299.52439682087</v>
      </c>
      <c r="I102" s="1">
        <v>4.0519999999999996</v>
      </c>
      <c r="J102" s="1">
        <f>J101*(1+Table2[[#This Row],[2014 discount rate]])</f>
        <v>264985.35818023316</v>
      </c>
      <c r="K102" s="9">
        <f>Table2[CPI]+1.7%</f>
        <v>4.4700000000000004E-2</v>
      </c>
      <c r="L102" s="108">
        <f t="shared" si="21"/>
        <v>16.861437708345342</v>
      </c>
      <c r="M102" s="17">
        <f>Table2[[#This Row],[Annual benefit payments (closed scheme)]]/((1+L101)*(1+Table2[[#This Row],[Discount rate A1]])^0.5)+M101</f>
        <v>64.921386803916064</v>
      </c>
      <c r="N102" s="74">
        <f>N101*(1+Table2[Discount rate A1])</f>
        <v>1159.6104169895941</v>
      </c>
      <c r="O102" s="74">
        <f>Table2[[#This Row],[Asset growth A1, under the assumption of full-funding at Year 0]]/(1+Table2[[#This Row],[Compounded CPI]])</f>
        <v>200.14695700084911</v>
      </c>
      <c r="P102" s="74">
        <f>(P101*((1+Table2[Discount rate A1])^0.5)-Table2[Annual benefit payments (closed scheme)])*(1+Table2[Discount rate A1])^0.5</f>
        <v>2.1110652052694839E-2</v>
      </c>
      <c r="Q102" s="74">
        <f>Table2[[#This Row],[Asset growth A1 with benefit payments deducted]]/(1+Table2[Compounded CPI])</f>
        <v>3.643665757694307E-3</v>
      </c>
      <c r="R102" s="74">
        <f>Table2[[#This Row],[Asset growth A1 with benefit payments deducted]]/(1+Table2[Compounded discount rate A1])</f>
        <v>1.1819122512647107E-3</v>
      </c>
      <c r="S102" s="73">
        <f>Table2[CPI]+1.7%</f>
        <v>4.4700000000000004E-2</v>
      </c>
      <c r="T102" s="72">
        <f t="shared" si="32"/>
        <v>15.964907622114794</v>
      </c>
      <c r="U102" s="17">
        <f>Table2[[#This Row],[Annual benefit payments (closed scheme)]]/((1+T101)*(1+Table2[[#This Row],[Discount rate A2]])^0.5)+U101</f>
        <v>67.510061661145002</v>
      </c>
      <c r="V102" s="74">
        <f>V101*(1+Table2[Discount rate A2])</f>
        <v>1145.3230702966507</v>
      </c>
      <c r="W102" s="74">
        <f>Table2[[#This Row],[Asset growth A2, under the assumption of full-funding at Year 0]]/(1+Table2[Compounded CPI])</f>
        <v>197.68098315108639</v>
      </c>
      <c r="X102" s="74">
        <f>(X101*((1+Table2[Discount rate A2])^0.5)-Table2[Annual benefit payments (closed scheme)])*(1+Table2[Discount rate A2])^0.5</f>
        <v>2.1110652053030914E-2</v>
      </c>
      <c r="Y102" s="74">
        <f>Table2[[#This Row],[Asset growth A2 with benefit payments deducted]]/(1+Table2[[#This Row],[Compounded CPI]])</f>
        <v>3.6436657577523131E-3</v>
      </c>
      <c r="Z102" s="78">
        <f>Table2[[#This Row],[Asset growth A2 with benefit payments deducted]]/(1+Table2[Compounded discount rate A2])</f>
        <v>1.24437176572137E-3</v>
      </c>
      <c r="AA102" s="109">
        <f>Table2[CPI]+2.8%</f>
        <v>5.57E-2</v>
      </c>
      <c r="AB102" s="72">
        <f t="shared" si="33"/>
        <v>33.471111902957148</v>
      </c>
      <c r="AC102" s="74">
        <f>Table2[[#This Row],[Annual benefit payments (closed scheme)]]/((1+AB101)*(1+Table2[[#This Row],[Discount rate B]])^0.5)+AC101</f>
        <v>60.426308865442834</v>
      </c>
      <c r="AD102" s="110">
        <f>AD101*(1+Table2[Discount rate B])</f>
        <v>2068.2667141774291</v>
      </c>
      <c r="AE102" s="71">
        <f>Table2[[#This Row],[Asset growth B]]/(1+Table2[Compounded CPI])</f>
        <v>356.97962267656317</v>
      </c>
      <c r="AF102" s="74">
        <f>(AF101*((1+Table2[Discount rate B])^0.5)-Table2[Annual benefit payments (closed scheme)])*(1+Table2[Discount rate B])^0.5</f>
        <v>-14.69534060590205</v>
      </c>
      <c r="AG102" s="74">
        <f>Table2[[#This Row],[Asset growth B with benefit payments deducted]]/(1+Table2[Compounded CPI])</f>
        <v>-2.536392965490843</v>
      </c>
      <c r="AH102" s="78">
        <f>Table2[[#This Row],[Asset growth B with benefit payments deducted]]/(1+Table2[Compounded discount rate B])</f>
        <v>-0.4263088654428171</v>
      </c>
      <c r="AI102" s="75">
        <f>Table2[CPI]+2.56%</f>
        <v>5.33E-2</v>
      </c>
      <c r="AJ102" s="72">
        <f t="shared" si="34"/>
        <v>35.695032293229403</v>
      </c>
      <c r="AK102" s="74">
        <f>Table2[[#This Row],[Annual benefit payments (closed scheme)]]/((1+AJ101)*(1+Table2[[#This Row],[Discount rate C]])^0.5)+AK101</f>
        <v>52.352876871597502</v>
      </c>
      <c r="AL102" s="74">
        <f>AL101*(1+Table2[Discount rate C])</f>
        <v>2201.7019375937643</v>
      </c>
      <c r="AM102" s="74">
        <f>Table2[[#This Row],[Asset growth C]]/(1+Table2[Compounded CPI])</f>
        <v>380.01033500220763</v>
      </c>
      <c r="AN102" s="74">
        <f>(AN101*((1+Table2[Discount rate C])^0.5)-Table2[Annual benefit payments (closed scheme)])*(1+Table2[Discount rate C])^0.5</f>
        <v>280.61143014702918</v>
      </c>
      <c r="AO102" s="74">
        <f>Table2[[#This Row],[Asset growth C with benefit payments deducted]]/(1+Table2[Compounded CPI])</f>
        <v>48.433097030455713</v>
      </c>
      <c r="AP102" s="78">
        <f>Table2[[#This Row],[Asset growth C with benefit payments deducted]]/(1+Table2[Compounded discount rate C])</f>
        <v>7.6471231284024448</v>
      </c>
      <c r="AQ102" s="75">
        <f>Table2[CPI]+2.56%</f>
        <v>5.33E-2</v>
      </c>
      <c r="AR102" s="72">
        <f t="shared" si="35"/>
        <v>33.349013350576094</v>
      </c>
      <c r="AS102" s="74">
        <f>Table2[[#This Row],[Annual benefit payments (closed scheme)]]/((1+AR101)*(1+Table2[[#This Row],[Discount rate D]])^0.5)+AS101</f>
        <v>54.852331329840098</v>
      </c>
      <c r="AT102" s="71">
        <f>AT101*(1+Table2[Discount rate D])</f>
        <v>2060.9408010345642</v>
      </c>
      <c r="AU102" s="74">
        <f>Table2[[#This Row],[Asset growth D]]/(1+Table2[Compounded CPI])</f>
        <v>355.71518144585792</v>
      </c>
      <c r="AV102" s="74">
        <f>(AV101*((1+Table2[Discount rate D])^0.5)-Table2[Annual benefit payments (closed scheme)])*(1+Table2[Discount rate D])^0.5</f>
        <v>176.81733987566423</v>
      </c>
      <c r="AW102" s="74">
        <f>Table2[[#This Row],[Asset growth D with benefit payments deducted]]/(1+Table2[Compounded CPI])</f>
        <v>30.518398250484726</v>
      </c>
      <c r="AX102" s="78">
        <f>Table2[[#This Row],[Asset growth D with benefit payments deducted]]/(1+Table2[Compounded discount rate D])</f>
        <v>5.147668670159887</v>
      </c>
      <c r="AY102" s="75">
        <f>Table2[CPI]+4%</f>
        <v>6.7699999999999996E-2</v>
      </c>
      <c r="AZ102" s="72">
        <f t="shared" si="36"/>
        <v>85.636010254752051</v>
      </c>
      <c r="BA102" s="74">
        <f>Table2[[#This Row],[Annual benefit payments (closed scheme)]]/((1+AZ101)*(1+Table2[[#This Row],[Discount rate E]])^0.5)+BA101</f>
        <v>48.2973550743069</v>
      </c>
      <c r="BB102" s="17">
        <f>BB101*(1+Table2[Discount rate E])</f>
        <v>5198.1606152851309</v>
      </c>
      <c r="BC102" s="71">
        <f>Table2[[#This Row],[Asset growth E]]/(1+Table2[Compounded CPI])</f>
        <v>897.1944490218533</v>
      </c>
      <c r="BD102" s="74">
        <f>(BD101*((1+Table2[Discount rate E])^0.5)-Table2[Annual benefit payments (closed scheme)])*(1+Table2[Discount rate E])^0.5</f>
        <v>1013.870465790068</v>
      </c>
      <c r="BE102" s="74">
        <f>Table2[[#This Row],[Asset growth E with benefit payments deducted]]/(1+Table2[Compounded CPI])</f>
        <v>174.99246777009296</v>
      </c>
      <c r="BF102" s="78">
        <f>Table2[[#This Row],[Asset growth E with benefit payments deducted]]/(1+Table2[Compounded discount rate E])</f>
        <v>11.702644925693082</v>
      </c>
      <c r="BG102" s="75">
        <f>Table2[[#This Row],[Long-dated forward gilt yields]]+0.75%</f>
        <v>2.5600000000000001E-2</v>
      </c>
      <c r="BH102" s="75">
        <f t="shared" si="37"/>
        <v>5.2599095927113844</v>
      </c>
      <c r="BI102" s="17">
        <f>((Table2[[#This Row],[Annual benefit payments (closed scheme)]])*1.005^(Table2[[#This Row],[Year]]-2018))/((1+BH101)*(1+Table2[[#This Row],[Discount rate F]])^0.5)+BI101</f>
        <v>82.33805738443624</v>
      </c>
      <c r="BJ102" s="74">
        <f>BJ101*(1+Table2[Discount rate F])</f>
        <v>515.46283335665066</v>
      </c>
      <c r="BK102" s="74">
        <f>Table2[[#This Row],[Asset growth F, under the assumption of full-funding at Year 0]]/(1+Table2[[#This Row],[Compounded CPI]])</f>
        <v>88.968084480647775</v>
      </c>
      <c r="BL102" s="74">
        <f>(BL101*((1+Table2[Discount rate F])^0.5)-Table2[Annual benefit payments (closed scheme)]*1.005^(Table2[Year]-2018))*(1+Table2[Discount rate F])^0.5</f>
        <v>3.4038090597774205E-2</v>
      </c>
      <c r="BM102" s="74">
        <f>Table2[[#This Row],[Asset growth F with benefit payments deducted]]/(1+Table2[Compounded CPI])</f>
        <v>5.8749215731862935E-3</v>
      </c>
      <c r="BN102" s="78">
        <f>Table2[[#This Row],[Asset growth F with benefit payments deducted]]/(1+Table2[Compounded discount rate F])</f>
        <v>5.4374731924892103E-3</v>
      </c>
      <c r="BO102" s="18">
        <f>(1+BO101)*(1+Table2[Discount rate A2])-1</f>
        <v>8.5411532938108135</v>
      </c>
      <c r="BP102" s="74">
        <f>Table2[[#This Row],[Annual benefit payments (ongoing scheme)]]/((1+BO101)*(1+Table2[[#This Row],[Discount rate A2]])^0.5)+BP101</f>
        <v>111.79483422450447</v>
      </c>
      <c r="BQ102" s="74">
        <f>(BQ101*((1+Table2[Discount rate A2])^0.5)-Table2[Annual benefit payments (ongoing scheme)])*(1+Table2[Discount rate A2])^0.5</f>
        <v>6.8156175327883624</v>
      </c>
      <c r="BR102" s="18">
        <f>(1+BR101)*(1+Table2[Discount rate B])-1</f>
        <v>16.567764989158235</v>
      </c>
      <c r="BS102" s="74">
        <f>Table2[[#This Row],[Annual benefit payments (ongoing scheme)]]/((1+BR101)*(1+Table2[[#This Row],[Discount rate B]])^0.5)+BS101</f>
        <v>93.142149237869532</v>
      </c>
      <c r="BT102" s="18">
        <f>(1+BT101)*(1+Table2[Discount rate E])-1</f>
        <v>32.945810756904329</v>
      </c>
      <c r="BU102" s="74">
        <f>Table2[[#This Row],[Annual benefit payments (ongoing scheme)]]/((1+BT101)*(1+Table2[[#This Row],[Discount rate E]])^0.5)+BU101</f>
        <v>77.956776269481395</v>
      </c>
      <c r="BV102" s="18">
        <f>Table2[CPI]+0.75%+0.75%</f>
        <v>4.2699999999999995E-2</v>
      </c>
      <c r="BW102" s="18">
        <f>(1+BW101)*(1+Table2[Self-sufficiency discount rate, from 2037])-1</f>
        <v>7.5329026202085263</v>
      </c>
      <c r="BX102" s="17">
        <f>(Table2[[#This Row],[Annual benefit payments (ongoing scheme)]]*1.005^(Table2[[#This Row],[Year]]-2038))/((1+BW101)*(1+Table2[[#This Row],[Self-sufficiency discount rate, from 2037]])^0.5)+BX101</f>
        <v>126.95333832441395</v>
      </c>
      <c r="BY102" s="74">
        <f>(BY101*((1+Table2[Self-sufficiency discount rate, from 2037])^0.5)-Table2[Annual benefit payments (ongoing scheme)]*1.005^(Table2[Year]-2038))*(1+Table2[Self-sufficiency discount rate, from 2037])^0.5</f>
        <v>9.362156795428147</v>
      </c>
      <c r="BZ102" s="74">
        <f>(BZ101*((1+Table2[Discount rate B])^0.5)-Table2[Annual benefit payments (ongoing scheme)])*(1+Table2[Discount rate B])^0.5</f>
        <v>6.5140053057834502</v>
      </c>
      <c r="CA102" s="74">
        <f>(CA101*((1+Table2[Discount rate A2])^0.5)+Table2[Net cashflow (ongoing scheme)])*(1+Table2[Discount rate A2])^0.5</f>
        <v>3.6578272569153043</v>
      </c>
      <c r="CB102" s="74">
        <f>Table2[[#This Row],[Asset growth, ongoing scheme, with November de-risking, net of contributions and payments]]/(1+Table2[Compounded discount rate A2])</f>
        <v>0.2156113866571901</v>
      </c>
      <c r="CC102" s="74">
        <f>Table2[[#This Row],[Asset growth, ongoing scheme, with November de-risking, net of contributions and payments]]/(1+Table2[Compounded CPI])</f>
        <v>0.63133530363321222</v>
      </c>
      <c r="CD102" s="74">
        <f>(CD101*((1+Table2[Discount rate A1])^0.5)+Table2[Net cashflow (ongoing scheme)])*(1+Table2[Discount rate A1])^0.5</f>
        <v>58.449073979657271</v>
      </c>
      <c r="CE102" s="74">
        <f>Table2[[#This Row],[Asset growth, ongoing scheme, with September de-risking, net of contributions and payments]]/(1+Table2[Compounded discount rate A1])</f>
        <v>3.272361101836069</v>
      </c>
      <c r="CF102" s="74">
        <f>Table2[[#This Row],[Asset growth, ongoing scheme, with September de-risking, net of contributions and payments]]/(1+Table2[Compounded CPI])</f>
        <v>10.088219392609069</v>
      </c>
      <c r="CG102" s="74">
        <f>(CG101*((1+Table2[Discount rate B])^0.5)+Table2[Net cashflow (ongoing scheme)])*(1+Table2[Discount rate B])^0.5</f>
        <v>534.12215961061315</v>
      </c>
      <c r="CH102" s="74">
        <f>Table2[[#This Row],[Asset growth, ongoing scheme, no de-risking, net of contributions and payments]]/(1+Table2[Compounded discount rate B])</f>
        <v>15.494776063918982</v>
      </c>
      <c r="CI102" s="74">
        <f>Table2[[#This Row],[Asset growth, ongoing scheme, no de-risking, net of contributions and payments]]/(1+Table2[Compounded CPI])</f>
        <v>92.188655212594014</v>
      </c>
      <c r="CJ102" s="74">
        <f>(CJ101*((1+Table2[Discount rate E])^0.5)+Table2[Net cashflow (ongoing scheme)])*(1+Table2[Discount rate E])^0.5</f>
        <v>2772.9635178478366</v>
      </c>
      <c r="CK102" s="74">
        <f>Table2[[#This Row],[Asset growth, ongoing scheme, best-estimates, no de-risking, net of contributions and payments ]]/(1+Table2[Compounded discount rate E])</f>
        <v>32.007054684235499</v>
      </c>
      <c r="CL102" s="74">
        <f>Table2[[#This Row],[Asset growth, ongoing scheme, best-estimates, no de-risking, net of contributions and payments ]]/(1+Table2[Compounded CPI])</f>
        <v>478.60919653724926</v>
      </c>
      <c r="CM102" s="73">
        <f t="shared" si="24"/>
        <v>2.7699999999999999E-2</v>
      </c>
      <c r="CN102" s="75">
        <f>(1+Table2[[#This Row],[CPI]])*(1+CN101)-1</f>
        <v>4.7937948913441364</v>
      </c>
      <c r="CO102" s="11">
        <f t="shared" si="23"/>
        <v>1.8100000000000002E-2</v>
      </c>
      <c r="CP102" s="75">
        <f>Table2[[#This Row],[CPI]]+2%</f>
        <v>4.7699999999999999E-2</v>
      </c>
      <c r="CQ102" s="76">
        <f>(1+Table2[[#This Row],[Salary growth]])*(1+CQ101)-1</f>
        <v>24.490336562231779</v>
      </c>
      <c r="CR102" s="77">
        <f t="shared" si="25"/>
        <v>57.937948913441332</v>
      </c>
      <c r="CS102" s="74">
        <f t="shared" si="26"/>
        <v>75.31933358747375</v>
      </c>
      <c r="CT102" s="74">
        <f>CT101*(1+Table2[[#This Row],[Salary growth]])</f>
        <v>254.90336562231778</v>
      </c>
      <c r="CU102" s="78">
        <f t="shared" si="38"/>
        <v>331.37437530901303</v>
      </c>
      <c r="CV102" s="116">
        <f>('Cash flows as at 31032017'!B87)/1000000000</f>
        <v>8.1600249999999996E-3</v>
      </c>
      <c r="CW102" s="117">
        <v>0</v>
      </c>
      <c r="CX102" s="117">
        <f>Table2[[#This Row],[Annual contributions (closed scheme)]]-Table2[[#This Row],[Annual benefit payments (closed scheme)]]</f>
        <v>-8.1600249999999996E-3</v>
      </c>
      <c r="CY102" s="117">
        <v>1.32</v>
      </c>
      <c r="CZ102" s="117">
        <v>0</v>
      </c>
      <c r="DA102" s="117">
        <v>-1.32</v>
      </c>
    </row>
    <row r="103" spans="1:181" x14ac:dyDescent="0.2">
      <c r="A103" s="7">
        <v>2096</v>
      </c>
      <c r="E103" s="6">
        <v>6.0999999999999999E-2</v>
      </c>
      <c r="F103" s="1">
        <f>F102*(1+Table2[[#This Row],[2008 discount rate]])</f>
        <v>6174.4089980593053</v>
      </c>
      <c r="G103" s="1">
        <v>5.0609999999999999</v>
      </c>
      <c r="H103">
        <f>H102*(1+Table2[[#This Row],[2011 discount rate]])</f>
        <v>2965644.4173691315</v>
      </c>
      <c r="I103" s="1">
        <v>5.0519999999999996</v>
      </c>
      <c r="J103" s="1">
        <f>J102*(1+Table2[[#This Row],[2014 discount rate]])</f>
        <v>1603691.387706771</v>
      </c>
      <c r="K103" s="9">
        <f>Table2[CPI]+1.7%</f>
        <v>4.4700000000000004E-2</v>
      </c>
      <c r="L103" s="108">
        <f t="shared" si="21"/>
        <v>17.659843973908377</v>
      </c>
      <c r="M103" s="17">
        <f>Table2[[#This Row],[Annual benefit payments (closed scheme)]]/((1+L102)*(1+Table2[[#This Row],[Discount rate A1]])^0.5)+M102</f>
        <v>64.921708604197704</v>
      </c>
      <c r="N103" s="74">
        <f>N102*(1+Table2[Discount rate A1])</f>
        <v>1211.445002629029</v>
      </c>
      <c r="O103" s="74">
        <f>Table2[[#This Row],[Asset growth A1, under the assumption of full-funding at Year 0]]/(1+Table2[[#This Row],[Compounded CPI]])</f>
        <v>203.45774640341253</v>
      </c>
      <c r="P103" s="74">
        <f>(P102*((1+Table2[Discount rate A1])^0.5)-Table2[Annual benefit payments (closed scheme)])*(1+Table2[Discount rate A1])^0.5</f>
        <v>1.6049555153266018E-2</v>
      </c>
      <c r="Q103" s="74">
        <f>Table2[[#This Row],[Asset growth A1 with benefit payments deducted]]/(1+Table2[Compounded CPI])</f>
        <v>2.695463941965444E-3</v>
      </c>
      <c r="R103" s="74">
        <f>Table2[[#This Row],[Asset growth A1 with benefit payments deducted]]/(1+Table2[Compounded discount rate A1])</f>
        <v>8.601119696235261E-4</v>
      </c>
      <c r="S103" s="73">
        <f>Table2[CPI]+1.7%</f>
        <v>4.4700000000000004E-2</v>
      </c>
      <c r="T103" s="72">
        <f t="shared" si="32"/>
        <v>16.723238992823326</v>
      </c>
      <c r="U103" s="17">
        <f>Table2[[#This Row],[Annual benefit payments (closed scheme)]]/((1+T102)*(1+Table2[[#This Row],[Discount rate A2]])^0.5)+U102</f>
        <v>67.510400467333227</v>
      </c>
      <c r="V103" s="74">
        <f>V102*(1+Table2[Discount rate A2])</f>
        <v>1196.5190115389109</v>
      </c>
      <c r="W103" s="74">
        <f>Table2[[#This Row],[Asset growth A2, under the assumption of full-funding at Year 0]]/(1+Table2[Compounded CPI])</f>
        <v>200.95098092628194</v>
      </c>
      <c r="X103" s="74">
        <f>(X102*((1+Table2[Discount rate A2])^0.5)-Table2[Annual benefit payments (closed scheme)])*(1+Table2[Discount rate A2])^0.5</f>
        <v>1.6049555153617112E-2</v>
      </c>
      <c r="Y103" s="74">
        <f>Table2[[#This Row],[Asset growth A2 with benefit payments deducted]]/(1+Table2[[#This Row],[Compounded CPI]])</f>
        <v>2.6954639420244089E-3</v>
      </c>
      <c r="Z103" s="78">
        <f>Table2[[#This Row],[Asset growth A2 with benefit payments deducted]]/(1+Table2[Compounded discount rate A2])</f>
        <v>9.0556557749495235E-4</v>
      </c>
      <c r="AA103" s="109">
        <f>Table2[CPI]+2.8%</f>
        <v>5.57E-2</v>
      </c>
      <c r="AB103" s="72">
        <f t="shared" si="33"/>
        <v>35.391152835951864</v>
      </c>
      <c r="AC103" s="74">
        <f>Table2[[#This Row],[Annual benefit payments (closed scheme)]]/((1+AB102)*(1+Table2[[#This Row],[Discount rate B]])^0.5)+AC102</f>
        <v>60.426474737441417</v>
      </c>
      <c r="AD103" s="110">
        <f>AD102*(1+Table2[Discount rate B])</f>
        <v>2183.4691701571119</v>
      </c>
      <c r="AE103" s="71">
        <f>Table2[[#This Row],[Asset growth B]]/(1+Table2[Compounded CPI])</f>
        <v>366.70564139305998</v>
      </c>
      <c r="AF103" s="74">
        <f>(AF102*((1+Table2[Discount rate B])^0.5)-Table2[Annual benefit payments (closed scheme)])*(1+Table2[Discount rate B])^0.5</f>
        <v>-15.519907350902528</v>
      </c>
      <c r="AG103" s="74">
        <f>Table2[[#This Row],[Asset growth B with benefit payments deducted]]/(1+Table2[Compounded CPI])</f>
        <v>-2.606511535523107</v>
      </c>
      <c r="AH103" s="78">
        <f>Table2[[#This Row],[Asset growth B with benefit payments deducted]]/(1+Table2[Compounded discount rate B])</f>
        <v>-0.42647473744140268</v>
      </c>
      <c r="AI103" s="75">
        <f>Table2[CPI]+2.56%</f>
        <v>5.33E-2</v>
      </c>
      <c r="AJ103" s="72">
        <f t="shared" si="34"/>
        <v>37.650877514458529</v>
      </c>
      <c r="AK103" s="74">
        <f>Table2[[#This Row],[Annual benefit payments (closed scheme)]]/((1+AJ102)*(1+Table2[[#This Row],[Discount rate C]])^0.5)+AK102</f>
        <v>52.353032868262645</v>
      </c>
      <c r="AL103" s="74">
        <f>AL102*(1+Table2[Discount rate C])</f>
        <v>2319.0526508675116</v>
      </c>
      <c r="AM103" s="74">
        <f>Table2[[#This Row],[Asset growth C]]/(1+Table2[Compounded CPI])</f>
        <v>389.47638985873817</v>
      </c>
      <c r="AN103" s="74">
        <f>(AN102*((1+Table2[Discount rate C])^0.5)-Table2[Annual benefit payments (closed scheme)])*(1+Table2[Discount rate C])^0.5</f>
        <v>295.56198996586869</v>
      </c>
      <c r="AO103" s="74">
        <f>Table2[[#This Row],[Asset growth C with benefit payments deducted]]/(1+Table2[Compounded CPI])</f>
        <v>49.638552530624565</v>
      </c>
      <c r="AP103" s="78">
        <f>Table2[[#This Row],[Asset growth C with benefit payments deducted]]/(1+Table2[Compounded discount rate C])</f>
        <v>7.6469671317373011</v>
      </c>
      <c r="AQ103" s="75">
        <f>Table2[CPI]+2.56%</f>
        <v>5.33E-2</v>
      </c>
      <c r="AR103" s="72">
        <f t="shared" si="35"/>
        <v>35.179815762161795</v>
      </c>
      <c r="AS103" s="74">
        <f>Table2[[#This Row],[Annual benefit payments (closed scheme)]]/((1+AR102)*(1+Table2[[#This Row],[Discount rate D]])^0.5)+AS102</f>
        <v>54.85249798099268</v>
      </c>
      <c r="AT103" s="71">
        <f>AT102*(1+Table2[Discount rate D])</f>
        <v>2170.788945729706</v>
      </c>
      <c r="AU103" s="74">
        <f>Table2[[#This Row],[Asset growth D]]/(1+Table2[Compounded CPI])</f>
        <v>364.57604419278204</v>
      </c>
      <c r="AV103" s="74">
        <f>(AV102*((1+Table2[Discount rate D])^0.5)-Table2[Annual benefit payments (closed scheme)])*(1+Table2[Discount rate D])^0.5</f>
        <v>186.23567468304009</v>
      </c>
      <c r="AW103" s="74">
        <f>Table2[[#This Row],[Asset growth D with benefit payments deducted]]/(1+Table2[Compounded CPI])</f>
        <v>31.277598726067378</v>
      </c>
      <c r="AX103" s="78">
        <f>Table2[[#This Row],[Asset growth D with benefit payments deducted]]/(1+Table2[Compounded discount rate D])</f>
        <v>5.1475020190073035</v>
      </c>
      <c r="AY103" s="75">
        <f>Table2[CPI]+4%</f>
        <v>6.7699999999999996E-2</v>
      </c>
      <c r="AZ103" s="72">
        <f t="shared" si="36"/>
        <v>91.501268148998776</v>
      </c>
      <c r="BA103" s="74">
        <f>Table2[[#This Row],[Annual benefit payments (closed scheme)]]/((1+AZ102)*(1+Table2[[#This Row],[Discount rate E]])^0.5)+BA102</f>
        <v>48.297420700251138</v>
      </c>
      <c r="BB103" s="17">
        <f>BB102*(1+Table2[Discount rate E])</f>
        <v>5550.0760889399344</v>
      </c>
      <c r="BC103" s="71">
        <f>Table2[[#This Row],[Asset growth E]]/(1+Table2[Compounded CPI])</f>
        <v>932.11492966880678</v>
      </c>
      <c r="BD103" s="74">
        <f>(BD102*((1+Table2[Discount rate E])^0.5)-Table2[Annual benefit payments (closed scheme)])*(1+Table2[Discount rate E])^0.5</f>
        <v>1082.5034258409905</v>
      </c>
      <c r="BE103" s="74">
        <f>Table2[[#This Row],[Asset growth E with benefit payments deducted]]/(1+Table2[Compounded CPI])</f>
        <v>181.80248134881694</v>
      </c>
      <c r="BF103" s="78">
        <f>Table2[[#This Row],[Asset growth E with benefit payments deducted]]/(1+Table2[Compounded discount rate E])</f>
        <v>11.702579299748848</v>
      </c>
      <c r="BG103" s="75">
        <f>Table2[[#This Row],[Long-dated forward gilt yields]]+0.75%</f>
        <v>2.5600000000000001E-2</v>
      </c>
      <c r="BH103" s="75">
        <f t="shared" si="37"/>
        <v>5.4201632782847966</v>
      </c>
      <c r="BI103" s="17">
        <f>((Table2[[#This Row],[Annual benefit payments (closed scheme)]])*1.005^(Table2[[#This Row],[Year]]-2018))/((1+BH102)*(1+Table2[[#This Row],[Discount rate F]])^0.5)+BI102</f>
        <v>82.339424780673198</v>
      </c>
      <c r="BJ103" s="74">
        <f>BJ102*(1+Table2[Discount rate F])</f>
        <v>528.65868189058097</v>
      </c>
      <c r="BK103" s="74">
        <f>Table2[[#This Row],[Asset growth F, under the assumption of full-funding at Year 0]]/(1+Table2[[#This Row],[Compounded CPI]])</f>
        <v>88.786287285542841</v>
      </c>
      <c r="BL103" s="74">
        <f>(BL102*((1+Table2[Discount rate F])^0.5)-Table2[Annual benefit payments (closed scheme)]*1.005^(Table2[Year]-2018))*(1+Table2[Discount rate F])^0.5</f>
        <v>2.6130558609667235E-2</v>
      </c>
      <c r="BM103" s="74">
        <f>Table2[[#This Row],[Asset growth F with benefit payments deducted]]/(1+Table2[Compounded CPI])</f>
        <v>4.3885315102605632E-3</v>
      </c>
      <c r="BN103" s="78">
        <f>Table2[[#This Row],[Asset growth F with benefit payments deducted]]/(1+Table2[Compounded discount rate F])</f>
        <v>4.0700769555269386E-3</v>
      </c>
      <c r="BO103" s="18">
        <f>(1+BO102)*(1+Table2[Discount rate A2])-1</f>
        <v>8.9676428460441571</v>
      </c>
      <c r="BP103" s="74">
        <f>Table2[[#This Row],[Annual benefit payments (ongoing scheme)]]/((1+BO102)*(1+Table2[[#This Row],[Discount rate A2]])^0.5)+BP102</f>
        <v>111.92608845154719</v>
      </c>
      <c r="BQ103" s="74">
        <f>(BQ102*((1+Table2[Discount rate A2])^0.5)-Table2[Annual benefit payments (ongoing scheme)])*(1+Table2[Discount rate A2])^0.5</f>
        <v>5.8119803793085927</v>
      </c>
      <c r="BR103" s="18">
        <f>(1+BR102)*(1+Table2[Discount rate B])-1</f>
        <v>17.54628949905435</v>
      </c>
      <c r="BS103" s="74">
        <f>Table2[[#This Row],[Annual benefit payments (ongoing scheme)]]/((1+BR102)*(1+Table2[[#This Row],[Discount rate B]])^0.5)+BS102</f>
        <v>93.213061803054288</v>
      </c>
      <c r="BT103" s="18">
        <f>(1+BT102)*(1+Table2[Discount rate E])-1</f>
        <v>35.243942145146754</v>
      </c>
      <c r="BU103" s="74">
        <f>Table2[[#This Row],[Annual benefit payments (ongoing scheme)]]/((1+BT102)*(1+Table2[[#This Row],[Discount rate E]])^0.5)+BU102</f>
        <v>77.993268395212354</v>
      </c>
      <c r="BV103" s="18">
        <f>Table2[CPI]+0.75%+0.75%</f>
        <v>4.2699999999999995E-2</v>
      </c>
      <c r="BW103" s="18">
        <f>(1+BW102)*(1+Table2[Self-sufficiency discount rate, from 2037])-1</f>
        <v>7.8972575620914292</v>
      </c>
      <c r="BX103" s="17">
        <f>(Table2[[#This Row],[Annual benefit payments (ongoing scheme)]]*1.005^(Table2[[#This Row],[Year]]-2038))/((1+BW102)*(1+Table2[[#This Row],[Self-sufficiency discount rate, from 2037]])^0.5)+BX102</f>
        <v>127.14952299760704</v>
      </c>
      <c r="BY103" s="74">
        <f>(BY102*((1+Table2[Self-sufficiency discount rate, from 2037])^0.5)-Table2[Annual benefit payments (ongoing scheme)]*1.005^(Table2[Year]-2038))*(1+Table2[Self-sufficiency discount rate, from 2037])^0.5</f>
        <v>8.0164153234592348</v>
      </c>
      <c r="BZ103" s="74">
        <f>(BZ102*((1+Table2[Discount rate B])^0.5)-Table2[Annual benefit payments (ongoing scheme)])*(1+Table2[Discount rate B])^0.5</f>
        <v>5.5616704382786306</v>
      </c>
      <c r="CA103" s="74">
        <f>(CA102*((1+Table2[Discount rate A2])^0.5)+Table2[Net cashflow (ongoing scheme)])*(1+Table2[Discount rate A2])^0.5</f>
        <v>2.5130368781040091</v>
      </c>
      <c r="CB103" s="74">
        <f>Table2[[#This Row],[Asset growth, ongoing scheme, with November de-risking, net of contributions and payments]]/(1+Table2[Compounded discount rate A2])</f>
        <v>0.14179331888046048</v>
      </c>
      <c r="CC103" s="74">
        <f>Table2[[#This Row],[Asset growth, ongoing scheme, with November de-risking, net of contributions and payments]]/(1+Table2[Compounded CPI])</f>
        <v>0.42205532957593067</v>
      </c>
      <c r="CD103" s="74">
        <f>(CD102*((1+Table2[Discount rate A1])^0.5)+Table2[Net cashflow (ongoing scheme)])*(1+Table2[Discount rate A1])^0.5</f>
        <v>59.753452329352534</v>
      </c>
      <c r="CE103" s="74">
        <f>Table2[[#This Row],[Asset growth, ongoing scheme, with September de-risking, net of contributions and payments]]/(1+Table2[Compounded discount rate A1])</f>
        <v>3.2022482295620684</v>
      </c>
      <c r="CF103" s="74">
        <f>Table2[[#This Row],[Asset growth, ongoing scheme, with September de-risking, net of contributions and payments]]/(1+Table2[Compounded CPI])</f>
        <v>10.035373231447174</v>
      </c>
      <c r="CG103" s="74">
        <f>(CG102*((1+Table2[Discount rate B])^0.5)+Table2[Net cashflow (ongoing scheme)])*(1+Table2[Discount rate B])^0.5</f>
        <v>562.55759893788741</v>
      </c>
      <c r="CH103" s="74">
        <f>Table2[[#This Row],[Asset growth, ongoing scheme, no de-risking, net of contributions and payments]]/(1+Table2[Compounded discount rate B])</f>
        <v>15.458636374446501</v>
      </c>
      <c r="CI103" s="74">
        <f>Table2[[#This Row],[Asset growth, ongoing scheme, no de-risking, net of contributions and payments]]/(1+Table2[Compounded CPI])</f>
        <v>94.479486112558178</v>
      </c>
      <c r="CJ103" s="74">
        <f>(CJ102*((1+Table2[Discount rate E])^0.5)+Table2[Net cashflow (ongoing scheme)])*(1+Table2[Discount rate E])^0.5</f>
        <v>2959.3705295123882</v>
      </c>
      <c r="CK103" s="74">
        <f>Table2[[#This Row],[Asset growth, ongoing scheme, best-estimates, no de-risking, net of contributions and payments ]]/(1+Table2[Compounded discount rate E])</f>
        <v>31.992756301951523</v>
      </c>
      <c r="CL103" s="74">
        <f>Table2[[#This Row],[Asset growth, ongoing scheme, best-estimates, no de-risking, net of contributions and payments ]]/(1+Table2[Compounded CPI])</f>
        <v>497.01542983841296</v>
      </c>
      <c r="CM103" s="73">
        <f t="shared" si="24"/>
        <v>2.7699999999999999E-2</v>
      </c>
      <c r="CN103" s="75">
        <f>(1+Table2[[#This Row],[CPI]])*(1+CN102)-1</f>
        <v>4.9542830098343691</v>
      </c>
      <c r="CO103" s="11">
        <f t="shared" si="23"/>
        <v>1.8100000000000002E-2</v>
      </c>
      <c r="CP103" s="75">
        <f>Table2[[#This Row],[CPI]]+2%</f>
        <v>4.7699999999999999E-2</v>
      </c>
      <c r="CQ103" s="76">
        <f>(1+Table2[[#This Row],[Salary growth]])*(1+CQ102)-1</f>
        <v>25.706225616250236</v>
      </c>
      <c r="CR103" s="77">
        <f t="shared" si="25"/>
        <v>59.542830098343657</v>
      </c>
      <c r="CS103" s="74">
        <f t="shared" si="26"/>
        <v>77.405679127846781</v>
      </c>
      <c r="CT103" s="74">
        <f>CT102*(1+Table2[[#This Row],[Salary growth]])</f>
        <v>267.06225616250236</v>
      </c>
      <c r="CU103" s="78">
        <f t="shared" si="38"/>
        <v>347.18093301125299</v>
      </c>
      <c r="CV103" s="116">
        <f>('Cash flows as at 31032017'!B88)/1000000000</f>
        <v>5.8748749999999999E-3</v>
      </c>
      <c r="CW103" s="117">
        <v>0</v>
      </c>
      <c r="CX103" s="117">
        <f>Table2[[#This Row],[Annual contributions (closed scheme)]]-Table2[[#This Row],[Annual benefit payments (closed scheme)]]</f>
        <v>-5.8748749999999999E-3</v>
      </c>
      <c r="CY103" s="117">
        <v>1.28</v>
      </c>
      <c r="CZ103" s="117">
        <v>0</v>
      </c>
      <c r="DA103" s="117">
        <v>-1.28</v>
      </c>
    </row>
    <row r="104" spans="1:181" x14ac:dyDescent="0.2">
      <c r="A104" s="7">
        <v>2097</v>
      </c>
      <c r="E104" s="6">
        <v>6.0999999999999999E-2</v>
      </c>
      <c r="F104" s="1">
        <f>F103*(1+Table2[[#This Row],[2008 discount rate]])</f>
        <v>6551.0479469409229</v>
      </c>
      <c r="G104" s="1">
        <v>6.0609999999999999</v>
      </c>
      <c r="H104">
        <f>H103*(1+Table2[[#This Row],[2011 discount rate]])</f>
        <v>20940415.231043436</v>
      </c>
      <c r="I104" s="1">
        <v>6.0519999999999996</v>
      </c>
      <c r="J104" s="1">
        <f>J103*(1+Table2[[#This Row],[2014 discount rate]])</f>
        <v>11309231.666108148</v>
      </c>
      <c r="K104" s="9">
        <f>Table2[CPI]+1.7%</f>
        <v>4.4700000000000004E-2</v>
      </c>
      <c r="L104" s="108">
        <f t="shared" si="21"/>
        <v>18.493938999542081</v>
      </c>
      <c r="M104" s="17">
        <f>Table2[[#This Row],[Annual benefit payments (closed scheme)]]/((1+L103)*(1+Table2[[#This Row],[Discount rate A1]])^0.5)+M103</f>
        <v>64.921930836850152</v>
      </c>
      <c r="N104" s="74">
        <f>N103*(1+Table2[Discount rate A1])</f>
        <v>1265.5965942465466</v>
      </c>
      <c r="O104" s="74">
        <f>Table2[[#This Row],[Asset growth A1, under the assumption of full-funding at Year 0]]/(1+Table2[[#This Row],[Compounded CPI]])</f>
        <v>206.82330219679389</v>
      </c>
      <c r="P104" s="74">
        <f>(P103*((1+Table2[Discount rate A1])^0.5)-Table2[Annual benefit payments (closed scheme)])*(1+Table2[Discount rate A1])^0.5</f>
        <v>1.2434780498190091E-2</v>
      </c>
      <c r="Q104" s="74">
        <f>Table2[[#This Row],[Asset growth A1 with benefit payments deducted]]/(1+Table2[Compounded CPI])</f>
        <v>2.0320869828660145E-3</v>
      </c>
      <c r="R104" s="74">
        <f>Table2[[#This Row],[Asset growth A1 with benefit payments deducted]]/(1+Table2[Compounded discount rate A1])</f>
        <v>6.3787931718069842E-4</v>
      </c>
      <c r="S104" s="73">
        <f>Table2[CPI]+1.7%</f>
        <v>4.4700000000000004E-2</v>
      </c>
      <c r="T104" s="72">
        <f t="shared" si="32"/>
        <v>17.515467775802527</v>
      </c>
      <c r="U104" s="17">
        <f>Table2[[#This Row],[Annual benefit payments (closed scheme)]]/((1+T103)*(1+Table2[[#This Row],[Discount rate A2]])^0.5)+U103</f>
        <v>67.510634444126197</v>
      </c>
      <c r="V104" s="74">
        <f>V103*(1+Table2[Discount rate A2])</f>
        <v>1250.0034113547001</v>
      </c>
      <c r="W104" s="74">
        <f>Table2[[#This Row],[Asset growth A2, under the assumption of full-funding at Year 0]]/(1+Table2[Compounded CPI])</f>
        <v>204.27507032566578</v>
      </c>
      <c r="X104" s="74">
        <f>(X103*((1+Table2[Discount rate A2])^0.5)-Table2[Annual benefit payments (closed scheme)])*(1+Table2[Discount rate A2])^0.5</f>
        <v>1.2434780498556879E-2</v>
      </c>
      <c r="Y104" s="74">
        <f>Table2[[#This Row],[Asset growth A2 with benefit payments deducted]]/(1+Table2[[#This Row],[Compounded CPI]])</f>
        <v>2.0320869829259548E-3</v>
      </c>
      <c r="Z104" s="78">
        <f>Table2[[#This Row],[Asset growth A2 with benefit payments deducted]]/(1+Table2[Compounded discount rate A2])</f>
        <v>6.7158878453006904E-4</v>
      </c>
      <c r="AA104" s="109">
        <f>Table2[CPI]+2.8%</f>
        <v>5.57E-2</v>
      </c>
      <c r="AB104" s="72">
        <f t="shared" si="33"/>
        <v>37.418140048914388</v>
      </c>
      <c r="AC104" s="74">
        <f>Table2[[#This Row],[Annual benefit payments (closed scheme)]]/((1+AB103)*(1+Table2[[#This Row],[Discount rate B]])^0.5)+AC103</f>
        <v>60.426588093725407</v>
      </c>
      <c r="AD104" s="110">
        <f>AD103*(1+Table2[Discount rate B])</f>
        <v>2305.0884029348631</v>
      </c>
      <c r="AE104" s="71">
        <f>Table2[[#This Row],[Asset growth B]]/(1+Table2[Compounded CPI])</f>
        <v>376.6966484564108</v>
      </c>
      <c r="AF104" s="74">
        <f>(AF103*((1+Table2[Discount rate B])^0.5)-Table2[Annual benefit payments (closed scheme)])*(1+Table2[Discount rate B])^0.5</f>
        <v>-16.388721127941555</v>
      </c>
      <c r="AG104" s="74">
        <f>Table2[[#This Row],[Asset growth B with benefit payments deducted]]/(1+Table2[Compounded CPI])</f>
        <v>-2.6782384196294116</v>
      </c>
      <c r="AH104" s="78">
        <f>Table2[[#This Row],[Asset growth B with benefit payments deducted]]/(1+Table2[Compounded discount rate B])</f>
        <v>-0.42658809372539269</v>
      </c>
      <c r="AI104" s="75">
        <f>Table2[CPI]+2.56%</f>
        <v>5.33E-2</v>
      </c>
      <c r="AJ104" s="72">
        <f t="shared" si="34"/>
        <v>39.710969285979168</v>
      </c>
      <c r="AK104" s="74">
        <f>Table2[[#This Row],[Annual benefit payments (closed scheme)]]/((1+AJ103)*(1+Table2[[#This Row],[Discount rate C]])^0.5)+AK103</f>
        <v>52.353139718692745</v>
      </c>
      <c r="AL104" s="74">
        <f>AL103*(1+Table2[Discount rate C])</f>
        <v>2442.6581571587499</v>
      </c>
      <c r="AM104" s="74">
        <f>Table2[[#This Row],[Asset growth C]]/(1+Table2[Compounded CPI])</f>
        <v>399.17824407726852</v>
      </c>
      <c r="AN104" s="74">
        <f>(AN103*((1+Table2[Discount rate C])^0.5)-Table2[Annual benefit payments (closed scheme)])*(1+Table2[Discount rate C])^0.5</f>
        <v>311.31109404647134</v>
      </c>
      <c r="AO104" s="74">
        <f>Table2[[#This Row],[Asset growth C with benefit payments deducted]]/(1+Table2[Compounded CPI])</f>
        <v>50.874337663273586</v>
      </c>
      <c r="AP104" s="78">
        <f>Table2[[#This Row],[Asset growth C with benefit payments deducted]]/(1+Table2[Compounded discount rate C])</f>
        <v>7.6468602813071973</v>
      </c>
      <c r="AQ104" s="75">
        <f>Table2[CPI]+2.56%</f>
        <v>5.33E-2</v>
      </c>
      <c r="AR104" s="72">
        <f t="shared" si="35"/>
        <v>37.108199942285012</v>
      </c>
      <c r="AS104" s="74">
        <f>Table2[[#This Row],[Annual benefit payments (closed scheme)]]/((1+AR103)*(1+Table2[[#This Row],[Discount rate D]])^0.5)+AS103</f>
        <v>54.852612129249081</v>
      </c>
      <c r="AT104" s="71">
        <f>AT103*(1+Table2[Discount rate D])</f>
        <v>2286.4919965370991</v>
      </c>
      <c r="AU104" s="74">
        <f>Table2[[#This Row],[Asset growth D]]/(1+Table2[Compounded CPI])</f>
        <v>373.65763097037774</v>
      </c>
      <c r="AV104" s="74">
        <f>(AV103*((1+Table2[Discount rate D])^0.5)-Table2[Annual benefit payments (closed scheme)])*(1+Table2[Discount rate D])^0.5</f>
        <v>196.15768615906796</v>
      </c>
      <c r="AW104" s="74">
        <f>Table2[[#This Row],[Asset growth D with benefit payments deducted]]/(1+Table2[Compounded CPI])</f>
        <v>32.056012624507318</v>
      </c>
      <c r="AX104" s="78">
        <f>Table2[[#This Row],[Asset growth D with benefit payments deducted]]/(1+Table2[Compounded discount rate D])</f>
        <v>5.1473878707508982</v>
      </c>
      <c r="AY104" s="75">
        <f>Table2[CPI]+4%</f>
        <v>6.7699999999999996E-2</v>
      </c>
      <c r="AZ104" s="72">
        <f t="shared" si="36"/>
        <v>97.763604002685994</v>
      </c>
      <c r="BA104" s="74">
        <f>Table2[[#This Row],[Annual benefit payments (closed scheme)]]/((1+AZ103)*(1+Table2[[#This Row],[Discount rate E]])^0.5)+BA103</f>
        <v>48.297465044710769</v>
      </c>
      <c r="BB104" s="17">
        <f>BB103*(1+Table2[Discount rate E])</f>
        <v>5925.816240161168</v>
      </c>
      <c r="BC104" s="71">
        <f>Table2[[#This Row],[Asset growth E]]/(1+Table2[Compounded CPI])</f>
        <v>968.39458052679288</v>
      </c>
      <c r="BD104" s="74">
        <f>(BD103*((1+Table2[Discount rate E])^0.5)-Table2[Annual benefit payments (closed scheme)])*(1+Table2[Discount rate E])^0.5</f>
        <v>1155.784528151775</v>
      </c>
      <c r="BE104" s="74">
        <f>Table2[[#This Row],[Asset growth E with benefit payments deducted]]/(1+Table2[Compounded CPI])</f>
        <v>188.87785715212362</v>
      </c>
      <c r="BF104" s="78">
        <f>Table2[[#This Row],[Asset growth E with benefit payments deducted]]/(1+Table2[Compounded discount rate E])</f>
        <v>11.702534955289218</v>
      </c>
      <c r="BG104" s="75">
        <f>Table2[[#This Row],[Long-dated forward gilt yields]]+0.75%</f>
        <v>2.5600000000000001E-2</v>
      </c>
      <c r="BH104" s="75">
        <f t="shared" si="37"/>
        <v>5.584519458208888</v>
      </c>
      <c r="BI104" s="17">
        <f>((Table2[[#This Row],[Annual benefit payments (closed scheme)]])*1.005^(Table2[[#This Row],[Year]]-2018))/((1+BH103)*(1+Table2[[#This Row],[Discount rate F]])^0.5)+BI103</f>
        <v>82.340391489033806</v>
      </c>
      <c r="BJ104" s="74">
        <f>BJ103*(1+Table2[Discount rate F])</f>
        <v>542.19234414697985</v>
      </c>
      <c r="BK104" s="74">
        <f>Table2[[#This Row],[Asset growth F, under the assumption of full-funding at Year 0]]/(1+Table2[[#This Row],[Compounded CPI]])</f>
        <v>88.604861574440719</v>
      </c>
      <c r="BL104" s="74">
        <f>(BL103*((1+Table2[Discount rate F])^0.5)-Table2[Annual benefit payments (closed scheme)]*1.005^(Table2[Year]-2018))*(1+Table2[Discount rate F])^0.5</f>
        <v>2.0434190899287628E-2</v>
      </c>
      <c r="BM104" s="74">
        <f>Table2[[#This Row],[Asset growth F with benefit payments deducted]]/(1+Table2[Compounded CPI])</f>
        <v>3.3393475130409807E-3</v>
      </c>
      <c r="BN104" s="78">
        <f>Table2[[#This Row],[Asset growth F with benefit payments deducted]]/(1+Table2[Compounded discount rate F])</f>
        <v>3.1033685949264562E-3</v>
      </c>
      <c r="BO104" s="18">
        <f>(1+BO103)*(1+Table2[Discount rate A2])-1</f>
        <v>9.4131964812623306</v>
      </c>
      <c r="BP104" s="74">
        <f>Table2[[#This Row],[Annual benefit payments (ongoing scheme)]]/((1+BO103)*(1+Table2[[#This Row],[Discount rate A2]])^0.5)+BP103</f>
        <v>112.02816948866044</v>
      </c>
      <c r="BQ104" s="74">
        <f>(BQ103*((1+Table2[Discount rate A2])^0.5)-Table2[Annual benefit payments (ongoing scheme)])*(1+Table2[Discount rate A2])^0.5</f>
        <v>5.008786005792417</v>
      </c>
      <c r="BR104" s="18">
        <f>(1+BR103)*(1+Table2[Discount rate B])-1</f>
        <v>18.57931782415168</v>
      </c>
      <c r="BS104" s="74">
        <f>Table2[[#This Row],[Annual benefit payments (ongoing scheme)]]/((1+BR103)*(1+Table2[[#This Row],[Discount rate B]])^0.5)+BS103</f>
        <v>93.267638348675774</v>
      </c>
      <c r="BT104" s="18">
        <f>(1+BT103)*(1+Table2[Discount rate E])-1</f>
        <v>37.697657028373193</v>
      </c>
      <c r="BU104" s="74">
        <f>Table2[[#This Row],[Annual benefit payments (ongoing scheme)]]/((1+BT103)*(1+Table2[[#This Row],[Discount rate E]])^0.5)+BU103</f>
        <v>78.021038229581933</v>
      </c>
      <c r="BV104" s="18">
        <f>Table2[CPI]+0.75%+0.75%</f>
        <v>4.2699999999999995E-2</v>
      </c>
      <c r="BW104" s="18">
        <f>(1+BW103)*(1+Table2[Self-sufficiency discount rate, from 2037])-1</f>
        <v>8.2771704599927336</v>
      </c>
      <c r="BX104" s="17">
        <f>(Table2[[#This Row],[Annual benefit payments (ongoing scheme)]]*1.005^(Table2[[#This Row],[Year]]-2038))/((1+BW103)*(1+Table2[[#This Row],[Self-sufficiency discount rate, from 2037]])^0.5)+BX103</f>
        <v>127.30315975525951</v>
      </c>
      <c r="BY104" s="74">
        <f>(BY103*((1+Table2[Self-sufficiency discount rate, from 2037])^0.5)-Table2[Annual benefit payments (ongoing scheme)]*1.005^(Table2[Year]-2038))*(1+Table2[Self-sufficiency discount rate, from 2037])^0.5</f>
        <v>6.9334018681083371</v>
      </c>
      <c r="BZ104" s="74">
        <f>(BZ103*((1+Table2[Discount rate B])^0.5)-Table2[Annual benefit payments (ongoing scheme)])*(1+Table2[Discount rate B])^0.5</f>
        <v>4.8028839492232231</v>
      </c>
      <c r="CA104" s="74">
        <f>(CA103*((1+Table2[Discount rate A2])^0.5)+Table2[Net cashflow (ongoing scheme)])*(1+Table2[Discount rate A2])^0.5</f>
        <v>1.5623797300839888</v>
      </c>
      <c r="CB104" s="74">
        <f>Table2[[#This Row],[Asset growth, ongoing scheme, with November de-risking, net of contributions and payments]]/(1+Table2[Compounded discount rate A2])</f>
        <v>8.4382406591197751E-2</v>
      </c>
      <c r="CC104" s="74">
        <f>Table2[[#This Row],[Asset growth, ongoing scheme, with November de-risking, net of contributions and payments]]/(1+Table2[Compounded CPI])</f>
        <v>0.25532348659146037</v>
      </c>
      <c r="CD104" s="74">
        <f>(CD103*((1+Table2[Discount rate A1])^0.5)+Table2[Net cashflow (ongoing scheme)])*(1+Table2[Discount rate A1])^0.5</f>
        <v>61.361441752003316</v>
      </c>
      <c r="CE104" s="74">
        <f>Table2[[#This Row],[Asset growth, ongoing scheme, with September de-risking, net of contributions and payments]]/(1+Table2[Compounded discount rate A1])</f>
        <v>3.1477189783678257</v>
      </c>
      <c r="CF104" s="74">
        <f>Table2[[#This Row],[Asset growth, ongoing scheme, with September de-risking, net of contributions and payments]]/(1+Table2[Compounded CPI])</f>
        <v>10.027662897007813</v>
      </c>
      <c r="CG104" s="74">
        <f>(CG103*((1+Table2[Discount rate B])^0.5)+Table2[Net cashflow (ongoing scheme)])*(1+Table2[Discount rate B])^0.5</f>
        <v>592.82348566626024</v>
      </c>
      <c r="CH104" s="74">
        <f>Table2[[#This Row],[Asset growth, ongoing scheme, no de-risking, net of contributions and payments]]/(1+Table2[Compounded discount rate B])</f>
        <v>15.430822130157031</v>
      </c>
      <c r="CI104" s="74">
        <f>Table2[[#This Row],[Asset growth, ongoing scheme, no de-risking, net of contributions and payments]]/(1+Table2[Compounded CPI])</f>
        <v>96.878982989286129</v>
      </c>
      <c r="CJ104" s="74">
        <f>(CJ103*((1+Table2[Discount rate E])^0.5)+Table2[Net cashflow (ongoing scheme)])*(1+Table2[Discount rate E])^0.5</f>
        <v>3158.645286834208</v>
      </c>
      <c r="CK104" s="74">
        <f>Table2[[#This Row],[Asset growth, ongoing scheme, best-estimates, no de-risking, net of contributions and payments ]]/(1+Table2[Compounded discount rate E])</f>
        <v>31.981875496851096</v>
      </c>
      <c r="CL104" s="74">
        <f>Table2[[#This Row],[Asset growth, ongoing scheme, best-estimates, no de-risking, net of contributions and payments ]]/(1+Table2[Compounded CPI])</f>
        <v>516.18458177055311</v>
      </c>
      <c r="CM104" s="73">
        <f t="shared" si="24"/>
        <v>2.7699999999999999E-2</v>
      </c>
      <c r="CN104" s="75">
        <f>(1+Table2[[#This Row],[CPI]])*(1+CN103)-1</f>
        <v>5.1192166492067814</v>
      </c>
      <c r="CO104" s="11">
        <f t="shared" si="23"/>
        <v>1.8100000000000002E-2</v>
      </c>
      <c r="CP104" s="75">
        <f>Table2[[#This Row],[CPI]]+2%</f>
        <v>4.7699999999999999E-2</v>
      </c>
      <c r="CQ104" s="76">
        <f>(1+Table2[[#This Row],[Salary growth]])*(1+CQ103)-1</f>
        <v>26.980112578145373</v>
      </c>
      <c r="CR104" s="77">
        <f t="shared" si="25"/>
        <v>61.192166492067777</v>
      </c>
      <c r="CS104" s="74">
        <f t="shared" si="26"/>
        <v>79.549816439688144</v>
      </c>
      <c r="CT104" s="74">
        <f>CT103*(1+Table2[[#This Row],[Salary growth]])</f>
        <v>279.80112578145372</v>
      </c>
      <c r="CU104" s="78">
        <f t="shared" si="38"/>
        <v>363.74146351588979</v>
      </c>
      <c r="CV104" s="116">
        <f>('Cash flows as at 31032017'!B89)/1000000000</f>
        <v>4.2384950000000001E-3</v>
      </c>
      <c r="CW104" s="117">
        <v>0</v>
      </c>
      <c r="CX104" s="117">
        <f>Table2[[#This Row],[Annual contributions (closed scheme)]]-Table2[[#This Row],[Annual benefit payments (closed scheme)]]</f>
        <v>-4.2384950000000001E-3</v>
      </c>
      <c r="CY104" s="117">
        <v>1.04</v>
      </c>
      <c r="CZ104" s="117">
        <v>0</v>
      </c>
      <c r="DA104" s="117">
        <v>-1.04</v>
      </c>
    </row>
    <row r="105" spans="1:181" x14ac:dyDescent="0.2">
      <c r="A105" s="7">
        <v>2098</v>
      </c>
      <c r="E105" s="6">
        <v>6.0999999999999999E-2</v>
      </c>
      <c r="F105" s="1">
        <f>F104*(1+Table2[[#This Row],[2008 discount rate]])</f>
        <v>6950.6618717043184</v>
      </c>
      <c r="G105" s="1">
        <v>7.0609999999999999</v>
      </c>
      <c r="H105">
        <f>H104*(1+Table2[[#This Row],[2011 discount rate]])</f>
        <v>168800687.17744112</v>
      </c>
      <c r="I105" s="1">
        <v>7.0519999999999996</v>
      </c>
      <c r="J105" s="1">
        <f>J104*(1+Table2[[#This Row],[2014 discount rate]])</f>
        <v>91061933.37550281</v>
      </c>
      <c r="K105" s="9">
        <f>Table2[CPI]+1.7%</f>
        <v>4.4700000000000004E-2</v>
      </c>
      <c r="L105" s="108">
        <f t="shared" si="21"/>
        <v>19.365318072821612</v>
      </c>
      <c r="M105" s="17">
        <f>Table2[[#This Row],[Annual benefit payments (closed scheme)]]/((1+L104)*(1+Table2[[#This Row],[Discount rate A1]])^0.5)+M104</f>
        <v>64.922085764470026</v>
      </c>
      <c r="N105" s="74">
        <f>N104*(1+Table2[Discount rate A1])</f>
        <v>1322.1687620093671</v>
      </c>
      <c r="O105" s="74">
        <f>Table2[[#This Row],[Asset growth A1, under the assumption of full-funding at Year 0]]/(1+Table2[[#This Row],[Compounded CPI]])</f>
        <v>210.24453031525789</v>
      </c>
      <c r="P105" s="74">
        <f>(P104*((1+Table2[Discount rate A1])^0.5)-Table2[Annual benefit payments (closed scheme)])*(1+Table2[Discount rate A1])^0.5</f>
        <v>9.8354649294438799E-3</v>
      </c>
      <c r="Q105" s="74">
        <f>Table2[[#This Row],[Asset growth A1 with benefit payments deducted]]/(1+Table2[Compounded CPI])</f>
        <v>1.5639854487111756E-3</v>
      </c>
      <c r="R105" s="74">
        <f>Table2[[#This Row],[Asset growth A1 with benefit payments deducted]]/(1+Table2[Compounded discount rate A1])</f>
        <v>4.8295169730590797E-4</v>
      </c>
      <c r="S105" s="73">
        <f>Table2[CPI]+1.7%</f>
        <v>4.4700000000000004E-2</v>
      </c>
      <c r="T105" s="72">
        <f t="shared" si="32"/>
        <v>18.3431091853809</v>
      </c>
      <c r="U105" s="17">
        <f>Table2[[#This Row],[Annual benefit payments (closed scheme)]]/((1+T104)*(1+Table2[[#This Row],[Discount rate A2]])^0.5)+U104</f>
        <v>67.510797559074618</v>
      </c>
      <c r="V105" s="74">
        <f>V104*(1+Table2[Discount rate A2])</f>
        <v>1305.8785638422551</v>
      </c>
      <c r="W105" s="74">
        <f>Table2[[#This Row],[Asset growth A2, under the assumption of full-funding at Year 0]]/(1+Table2[Compounded CPI])</f>
        <v>207.65414612165318</v>
      </c>
      <c r="X105" s="74">
        <f>(X104*((1+Table2[Discount rate A2])^0.5)-Table2[Annual benefit payments (closed scheme)])*(1+Table2[Discount rate A2])^0.5</f>
        <v>9.8354649298270647E-3</v>
      </c>
      <c r="Y105" s="74">
        <f>Table2[[#This Row],[Asset growth A2 with benefit payments deducted]]/(1+Table2[[#This Row],[Compounded CPI]])</f>
        <v>1.5639854487721077E-3</v>
      </c>
      <c r="Z105" s="78">
        <f>Table2[[#This Row],[Asset growth A2 with benefit payments deducted]]/(1+Table2[Compounded discount rate A2])</f>
        <v>5.0847383611216416E-4</v>
      </c>
      <c r="AA105" s="109">
        <f>Table2[CPI]+2.8%</f>
        <v>5.57E-2</v>
      </c>
      <c r="AB105" s="72">
        <f t="shared" si="33"/>
        <v>39.55803044963892</v>
      </c>
      <c r="AC105" s="74">
        <f>Table2[[#This Row],[Annual benefit payments (closed scheme)]]/((1+AB104)*(1+Table2[[#This Row],[Discount rate B]])^0.5)+AC104</f>
        <v>60.426666295688072</v>
      </c>
      <c r="AD105" s="110">
        <f>AD104*(1+Table2[Discount rate B])</f>
        <v>2433.481826978335</v>
      </c>
      <c r="AE105" s="71">
        <f>Table2[[#This Row],[Asset growth B]]/(1+Table2[Compounded CPI])</f>
        <v>386.95986355496046</v>
      </c>
      <c r="AF105" s="74">
        <f>(AF104*((1+Table2[Discount rate B])^0.5)-Table2[Annual benefit payments (closed scheme)])*(1+Table2[Discount rate B])^0.5</f>
        <v>-17.304744612351005</v>
      </c>
      <c r="AG105" s="74">
        <f>Table2[[#This Row],[Asset growth B with benefit payments deducted]]/(1+Table2[Compounded CPI])</f>
        <v>-2.7517121927158725</v>
      </c>
      <c r="AH105" s="78">
        <f>Table2[[#This Row],[Asset growth B with benefit payments deducted]]/(1+Table2[Compounded discount rate B])</f>
        <v>-0.42666629568806058</v>
      </c>
      <c r="AI105" s="75">
        <f>Table2[CPI]+2.56%</f>
        <v>5.33E-2</v>
      </c>
      <c r="AJ105" s="72">
        <f t="shared" si="34"/>
        <v>41.880863948921856</v>
      </c>
      <c r="AK105" s="74">
        <f>Table2[[#This Row],[Annual benefit payments (closed scheme)]]/((1+AJ104)*(1+Table2[[#This Row],[Discount rate C]])^0.5)+AK104</f>
        <v>52.353213600373088</v>
      </c>
      <c r="AL105" s="74">
        <f>AL104*(1+Table2[Discount rate C])</f>
        <v>2572.851836935311</v>
      </c>
      <c r="AM105" s="74">
        <f>Table2[[#This Row],[Asset growth C]]/(1+Table2[Compounded CPI])</f>
        <v>409.12177141829994</v>
      </c>
      <c r="AN105" s="74">
        <f>(AN104*((1+Table2[Discount rate C])^0.5)-Table2[Annual benefit payments (closed scheme)])*(1+Table2[Discount rate C])^0.5</f>
        <v>327.90080724886519</v>
      </c>
      <c r="AO105" s="74">
        <f>Table2[[#This Row],[Asset growth C with benefit payments deducted]]/(1+Table2[Compounded CPI])</f>
        <v>52.141113291211731</v>
      </c>
      <c r="AP105" s="78">
        <f>Table2[[#This Row],[Asset growth C with benefit payments deducted]]/(1+Table2[Compounded discount rate C])</f>
        <v>7.6467863996268557</v>
      </c>
      <c r="AQ105" s="75">
        <f>Table2[CPI]+2.56%</f>
        <v>5.33E-2</v>
      </c>
      <c r="AR105" s="72">
        <f t="shared" si="35"/>
        <v>39.139366999208796</v>
      </c>
      <c r="AS105" s="74">
        <f>Table2[[#This Row],[Annual benefit payments (closed scheme)]]/((1+AR104)*(1+Table2[[#This Row],[Discount rate D]])^0.5)+AS104</f>
        <v>54.85269105700803</v>
      </c>
      <c r="AT105" s="71">
        <f>AT104*(1+Table2[Discount rate D])</f>
        <v>2408.3620199525262</v>
      </c>
      <c r="AU105" s="74">
        <f>Table2[[#This Row],[Asset growth D]]/(1+Table2[Compounded CPI])</f>
        <v>382.96544001274577</v>
      </c>
      <c r="AV105" s="74">
        <f>(AV104*((1+Table2[Discount rate D])^0.5)-Table2[Annual benefit payments (closed scheme)])*(1+Table2[Discount rate D])^0.5</f>
        <v>206.60972272106326</v>
      </c>
      <c r="AW105" s="74">
        <f>Table2[[#This Row],[Asset growth D with benefit payments deducted]]/(1+Table2[Compounded CPI])</f>
        <v>32.85402390390756</v>
      </c>
      <c r="AX105" s="78">
        <f>Table2[[#This Row],[Asset growth D with benefit payments deducted]]/(1+Table2[Compounded discount rate D])</f>
        <v>5.1473089429919465</v>
      </c>
      <c r="AY105" s="75">
        <f>Table2[CPI]+4%</f>
        <v>6.7699999999999996E-2</v>
      </c>
      <c r="AZ105" s="72">
        <f t="shared" si="36"/>
        <v>104.44989999366784</v>
      </c>
      <c r="BA105" s="74">
        <f>Table2[[#This Row],[Annual benefit payments (closed scheme)]]/((1+AZ104)*(1+Table2[[#This Row],[Discount rate E]])^0.5)+BA104</f>
        <v>48.297495293131021</v>
      </c>
      <c r="BB105" s="17">
        <f>BB104*(1+Table2[Discount rate E])</f>
        <v>6326.9939996200801</v>
      </c>
      <c r="BC105" s="71">
        <f>Table2[[#This Row],[Asset growth E]]/(1+Table2[Compounded CPI])</f>
        <v>1006.0863030344038</v>
      </c>
      <c r="BD105" s="74">
        <f>(BD104*((1+Table2[Discount rate E])^0.5)-Table2[Annual benefit payments (closed scheme)])*(1+Table2[Discount rate E])^0.5</f>
        <v>1234.0279510147598</v>
      </c>
      <c r="BE105" s="74">
        <f>Table2[[#This Row],[Asset growth E with benefit payments deducted]]/(1+Table2[Compounded CPI])</f>
        <v>196.22882827960817</v>
      </c>
      <c r="BF105" s="78">
        <f>Table2[[#This Row],[Asset growth E with benefit payments deducted]]/(1+Table2[Compounded discount rate E])</f>
        <v>11.702504706868966</v>
      </c>
      <c r="BG105" s="75">
        <f>Table2[[#This Row],[Long-dated forward gilt yields]]+0.75%</f>
        <v>2.5600000000000001E-2</v>
      </c>
      <c r="BH105" s="75">
        <f t="shared" si="37"/>
        <v>5.7530831563390361</v>
      </c>
      <c r="BI105" s="17">
        <f>((Table2[[#This Row],[Annual benefit payments (closed scheme)]])*1.005^(Table2[[#This Row],[Year]]-2018))/((1+BH104)*(1+Table2[[#This Row],[Discount rate F]])^0.5)+BI104</f>
        <v>82.341081404845028</v>
      </c>
      <c r="BJ105" s="74">
        <f>BJ104*(1+Table2[Discount rate F])</f>
        <v>556.07246815714257</v>
      </c>
      <c r="BK105" s="74">
        <f>Table2[[#This Row],[Asset growth F, under the assumption of full-funding at Year 0]]/(1+Table2[[#This Row],[Compounded CPI]])</f>
        <v>88.423806588251821</v>
      </c>
      <c r="BL105" s="74">
        <f>(BL104*((1+Table2[Discount rate F])^0.5)-Table2[Annual benefit payments (closed scheme)]*1.005^(Table2[Year]-2018))*(1+Table2[Discount rate F])^0.5</f>
        <v>1.6298247342238822E-2</v>
      </c>
      <c r="BM105" s="74">
        <f>Table2[[#This Row],[Asset growth F with benefit payments deducted]]/(1+Table2[Compounded CPI])</f>
        <v>2.5916641323633274E-3</v>
      </c>
      <c r="BN105" s="78">
        <f>Table2[[#This Row],[Asset growth F with benefit payments deducted]]/(1+Table2[Compounded discount rate F])</f>
        <v>2.4134527837021908E-3</v>
      </c>
      <c r="BO105" s="18">
        <f>(1+BO104)*(1+Table2[Discount rate A2])-1</f>
        <v>9.8786663639747569</v>
      </c>
      <c r="BP105" s="74">
        <f>Table2[[#This Row],[Annual benefit payments (ongoing scheme)]]/((1+BO104)*(1+Table2[[#This Row],[Discount rate A2]])^0.5)+BP104</f>
        <v>112.12212454119047</v>
      </c>
      <c r="BQ105" s="74">
        <f>(BQ104*((1+Table2[Discount rate A2])^0.5)-Table2[Annual benefit payments (ongoing scheme)])*(1+Table2[Discount rate A2])^0.5</f>
        <v>4.2105730705674249</v>
      </c>
      <c r="BR105" s="18">
        <f>(1+BR104)*(1+Table2[Discount rate B])-1</f>
        <v>19.669885826956929</v>
      </c>
      <c r="BS105" s="74">
        <f>Table2[[#This Row],[Annual benefit payments (ongoing scheme)]]/((1+BR104)*(1+Table2[[#This Row],[Discount rate B]])^0.5)+BS104</f>
        <v>93.317347023216811</v>
      </c>
      <c r="BT105" s="18">
        <f>(1+BT104)*(1+Table2[Discount rate E])-1</f>
        <v>40.317488409194063</v>
      </c>
      <c r="BU105" s="74">
        <f>Table2[[#This Row],[Annual benefit payments (ongoing scheme)]]/((1+BT104)*(1+Table2[[#This Row],[Discount rate E]])^0.5)+BU104</f>
        <v>78.046046906005003</v>
      </c>
      <c r="BV105" s="18">
        <f>Table2[CPI]+0.75%+0.75%</f>
        <v>4.2699999999999995E-2</v>
      </c>
      <c r="BW105" s="18">
        <f>(1+BW104)*(1+Table2[Self-sufficiency discount rate, from 2037])-1</f>
        <v>8.6733056386344227</v>
      </c>
      <c r="BX105" s="17">
        <f>(Table2[[#This Row],[Annual benefit payments (ongoing scheme)]]*1.005^(Table2[[#This Row],[Year]]-2038))/((1+BW104)*(1+Table2[[#This Row],[Self-sufficiency discount rate, from 2037]])^0.5)+BX104</f>
        <v>127.44554614621268</v>
      </c>
      <c r="BY105" s="74">
        <f>(BY104*((1+Table2[Self-sufficiency discount rate, from 2037])^0.5)-Table2[Annual benefit payments (ongoing scheme)]*1.005^(Table2[Year]-2038))*(1+Table2[Self-sufficiency discount rate, from 2037])^0.5</f>
        <v>5.8521110494045248</v>
      </c>
      <c r="BZ105" s="74">
        <f>(BZ104*((1+Table2[Discount rate B])^0.5)-Table2[Annual benefit payments (ongoing scheme)])*(1+Table2[Discount rate B])^0.5</f>
        <v>4.0429319578223337</v>
      </c>
      <c r="CA105" s="74">
        <f>(CA104*((1+Table2[Discount rate A2])^0.5)+Table2[Net cashflow (ongoing scheme)])*(1+Table2[Discount rate A2])^0.5</f>
        <v>0.6101124343348302</v>
      </c>
      <c r="CB105" s="74">
        <f>Table2[[#This Row],[Asset growth, ongoing scheme, with November de-risking, net of contributions and payments]]/(1+Table2[Compounded discount rate A2])</f>
        <v>3.154159077982871E-2</v>
      </c>
      <c r="CC105" s="74">
        <f>Table2[[#This Row],[Asset growth, ongoing scheme, with November de-risking, net of contributions and payments]]/(1+Table2[Compounded CPI])</f>
        <v>9.7016966276893643E-2</v>
      </c>
      <c r="CD105" s="74">
        <f>(CD104*((1+Table2[Discount rate A1])^0.5)+Table2[Net cashflow (ongoing scheme)])*(1+Table2[Discount rate A1])^0.5</f>
        <v>63.082192528633939</v>
      </c>
      <c r="CE105" s="74">
        <f>Table2[[#This Row],[Asset growth, ongoing scheme, with September de-risking, net of contributions and payments]]/(1+Table2[Compounded discount rate A1])</f>
        <v>3.0975304339989576</v>
      </c>
      <c r="CF105" s="74">
        <f>Table2[[#This Row],[Asset growth, ongoing scheme, with September de-risking, net of contributions and payments]]/(1+Table2[Compounded CPI])</f>
        <v>10.031008386012187</v>
      </c>
      <c r="CG105" s="74">
        <f>(CG104*((1+Table2[Discount rate B])^0.5)+Table2[Net cashflow (ongoing scheme)])*(1+Table2[Discount rate B])^0.5</f>
        <v>624.81628119049822</v>
      </c>
      <c r="CH105" s="74">
        <f>Table2[[#This Row],[Asset growth, ongoing scheme, no de-risking, net of contributions and payments]]/(1+Table2[Compounded discount rate B])</f>
        <v>15.4054887346252</v>
      </c>
      <c r="CI105" s="74">
        <f>Table2[[#This Row],[Asset growth, ongoing scheme, no de-risking, net of contributions and payments]]/(1+Table2[Compounded CPI])</f>
        <v>99.355096979134146</v>
      </c>
      <c r="CJ105" s="74">
        <f>(CJ104*((1+Table2[Discount rate E])^0.5)+Table2[Net cashflow (ongoing scheme)])*(1+Table2[Discount rate E])^0.5</f>
        <v>3371.4522770546446</v>
      </c>
      <c r="CK105" s="74">
        <f>Table2[[#This Row],[Asset growth, ongoing scheme, best-estimates, no de-risking, net of contributions and payments ]]/(1+Table2[Compounded discount rate E])</f>
        <v>31.97207657150075</v>
      </c>
      <c r="CL105" s="74">
        <f>Table2[[#This Row],[Asset growth, ongoing scheme, best-estimates, no de-risking, net of contributions and payments ]]/(1+Table2[Compounded CPI])</f>
        <v>536.11113863590026</v>
      </c>
      <c r="CM105" s="73">
        <f t="shared" si="24"/>
        <v>2.7699999999999999E-2</v>
      </c>
      <c r="CN105" s="75">
        <f>(1+Table2[[#This Row],[CPI]])*(1+CN104)-1</f>
        <v>5.2887189503898098</v>
      </c>
      <c r="CO105" s="11">
        <f t="shared" si="23"/>
        <v>1.8100000000000002E-2</v>
      </c>
      <c r="CP105" s="75">
        <f>Table2[[#This Row],[CPI]]+2%</f>
        <v>4.7699999999999999E-2</v>
      </c>
      <c r="CQ105" s="76">
        <f>(1+Table2[[#This Row],[Salary growth]])*(1+CQ104)-1</f>
        <v>28.314763948122909</v>
      </c>
      <c r="CR105" s="77">
        <f t="shared" si="25"/>
        <v>62.887189503898057</v>
      </c>
      <c r="CS105" s="74">
        <f t="shared" si="26"/>
        <v>81.753346355067507</v>
      </c>
      <c r="CT105" s="74">
        <f>CT104*(1+Table2[[#This Row],[Salary growth]])</f>
        <v>293.14763948122908</v>
      </c>
      <c r="CU105" s="78">
        <f t="shared" si="38"/>
        <v>381.09193132559778</v>
      </c>
      <c r="CV105" s="116">
        <f>('Cash flows as at 31032017'!B90)/1000000000</f>
        <v>3.0869119999999998E-3</v>
      </c>
      <c r="CW105" s="117">
        <v>0</v>
      </c>
      <c r="CX105" s="117">
        <f>Table2[[#This Row],[Annual contributions (closed scheme)]]-Table2[[#This Row],[Annual benefit payments (closed scheme)]]</f>
        <v>-3.0869119999999998E-3</v>
      </c>
      <c r="CY105" s="117">
        <v>1</v>
      </c>
      <c r="CZ105" s="117">
        <v>0</v>
      </c>
      <c r="DA105" s="117">
        <v>-1</v>
      </c>
    </row>
    <row r="106" spans="1:181" x14ac:dyDescent="0.2">
      <c r="A106" s="7">
        <v>2099</v>
      </c>
      <c r="E106" s="6">
        <v>6.0999999999999999E-2</v>
      </c>
      <c r="F106" s="1">
        <f>F105*(1+Table2[[#This Row],[2008 discount rate]])</f>
        <v>7374.6522458782811</v>
      </c>
      <c r="G106" s="1">
        <v>8.0609999999999999</v>
      </c>
      <c r="H106">
        <f>H105*(1+Table2[[#This Row],[2011 discount rate]])</f>
        <v>1529503026.5147939</v>
      </c>
      <c r="I106" s="1">
        <v>8.0519999999999996</v>
      </c>
      <c r="J106" s="1">
        <f>J105*(1+Table2[[#This Row],[2014 discount rate]])</f>
        <v>824292620.91505134</v>
      </c>
      <c r="K106" s="9">
        <f>Table2[CPI]+1.7%</f>
        <v>4.4700000000000004E-2</v>
      </c>
      <c r="L106" s="108">
        <f t="shared" si="21"/>
        <v>20.275647790676736</v>
      </c>
      <c r="M106" s="17">
        <f>Table2[[#This Row],[Annual benefit payments (closed scheme)]]/((1+L105)*(1+Table2[[#This Row],[Discount rate A1]])^0.5)+M105</f>
        <v>64.922195516924901</v>
      </c>
      <c r="N106" s="74">
        <f>N105*(1+Table2[Discount rate A1])</f>
        <v>1381.2697056711859</v>
      </c>
      <c r="O106" s="74">
        <f>Table2[[#This Row],[Asset growth A1, under the assumption of full-funding at Year 0]]/(1+Table2[[#This Row],[Compounded CPI]])</f>
        <v>213.72235167884588</v>
      </c>
      <c r="P106" s="74">
        <f>(P105*((1+Table2[Discount rate A1])^0.5)-Table2[Annual benefit payments (closed scheme)])*(1+Table2[Discount rate A1])^0.5</f>
        <v>7.9400556377966277E-3</v>
      </c>
      <c r="Q106" s="74">
        <f>Table2[[#This Row],[Asset growth A1 with benefit payments deducted]]/(1+Table2[Compounded CPI])</f>
        <v>1.2285561294824636E-3</v>
      </c>
      <c r="R106" s="74">
        <f>Table2[[#This Row],[Asset growth A1 with benefit payments deducted]]/(1+Table2[Compounded discount rate A1])</f>
        <v>3.7319924243510287E-4</v>
      </c>
      <c r="S106" s="73">
        <f>Table2[CPI]+1.7%</f>
        <v>4.4700000000000004E-2</v>
      </c>
      <c r="T106" s="72">
        <f t="shared" si="32"/>
        <v>19.207746165967425</v>
      </c>
      <c r="U106" s="17">
        <f>Table2[[#This Row],[Annual benefit payments (closed scheme)]]/((1+T105)*(1+Table2[[#This Row],[Discount rate A2]])^0.5)+U105</f>
        <v>67.510913111524403</v>
      </c>
      <c r="V106" s="74">
        <f>V105*(1+Table2[Discount rate A2])</f>
        <v>1364.2513356460038</v>
      </c>
      <c r="W106" s="74">
        <f>Table2[[#This Row],[Asset growth A2, under the assumption of full-funding at Year 0]]/(1+Table2[Compounded CPI])</f>
        <v>211.08911788779903</v>
      </c>
      <c r="X106" s="74">
        <f>(X105*((1+Table2[Discount rate A2])^0.5)-Table2[Annual benefit payments (closed scheme)])*(1+Table2[Discount rate A2])^0.5</f>
        <v>7.9400556381969412E-3</v>
      </c>
      <c r="Y106" s="74">
        <f>Table2[[#This Row],[Asset growth A2 with benefit payments deducted]]/(1+Table2[[#This Row],[Compounded CPI]])</f>
        <v>1.2285561295444036E-3</v>
      </c>
      <c r="Z106" s="78">
        <f>Table2[[#This Row],[Asset growth A2 with benefit payments deducted]]/(1+Table2[Compounded discount rate A2])</f>
        <v>3.9292138633298293E-4</v>
      </c>
      <c r="AA106" s="109">
        <f>Table2[CPI]+2.8%</f>
        <v>5.57E-2</v>
      </c>
      <c r="AB106" s="72">
        <f t="shared" si="33"/>
        <v>41.817112745683815</v>
      </c>
      <c r="AC106" s="74">
        <f>Table2[[#This Row],[Annual benefit payments (closed scheme)]]/((1+AB105)*(1+Table2[[#This Row],[Discount rate B]])^0.5)+AC105</f>
        <v>60.426721117592741</v>
      </c>
      <c r="AD106" s="110">
        <f>AD105*(1+Table2[Discount rate B])</f>
        <v>2569.0267647410283</v>
      </c>
      <c r="AE106" s="71">
        <f>Table2[[#This Row],[Asset growth B]]/(1+Table2[Compounded CPI])</f>
        <v>397.50270307966503</v>
      </c>
      <c r="AF106" s="74">
        <f>(AF105*((1+Table2[Discount rate B])^0.5)-Table2[Annual benefit payments (closed scheme)])*(1+Table2[Discount rate B])^0.5</f>
        <v>-18.270966202932236</v>
      </c>
      <c r="AG106" s="74">
        <f>Table2[[#This Row],[Asset growth B with benefit payments deducted]]/(1+Table2[Compounded CPI])</f>
        <v>-2.8270466284047813</v>
      </c>
      <c r="AH106" s="78">
        <f>Table2[[#This Row],[Asset growth B with benefit payments deducted]]/(1+Table2[Compounded discount rate B])</f>
        <v>-0.42672111759273268</v>
      </c>
      <c r="AI106" s="75">
        <f>Table2[CPI]+2.56%</f>
        <v>5.33E-2</v>
      </c>
      <c r="AJ106" s="72">
        <f t="shared" si="34"/>
        <v>44.166413997399388</v>
      </c>
      <c r="AK106" s="74">
        <f>Table2[[#This Row],[Annual benefit payments (closed scheme)]]/((1+AJ105)*(1+Table2[[#This Row],[Discount rate C]])^0.5)+AK105</f>
        <v>52.353265511644885</v>
      </c>
      <c r="AL106" s="74">
        <f>AL105*(1+Table2[Discount rate C])</f>
        <v>2709.9848398439626</v>
      </c>
      <c r="AM106" s="74">
        <f>Table2[[#This Row],[Asset growth C]]/(1+Table2[Compounded CPI])</f>
        <v>419.3129919576678</v>
      </c>
      <c r="AN106" s="74">
        <f>(AN105*((1+Table2[Discount rate C])^0.5)-Table2[Annual benefit payments (closed scheme)])*(1+Table2[Discount rate C])^0.5</f>
        <v>345.37557562923672</v>
      </c>
      <c r="AO106" s="74">
        <f>Table2[[#This Row],[Asset growth C with benefit payments deducted]]/(1+Table2[Compounded CPI])</f>
        <v>53.439585283634138</v>
      </c>
      <c r="AP106" s="78">
        <f>Table2[[#This Row],[Asset growth C with benefit payments deducted]]/(1+Table2[Compounded discount rate C])</f>
        <v>7.6467344883550616</v>
      </c>
      <c r="AQ106" s="75">
        <f>Table2[CPI]+2.56%</f>
        <v>5.33E-2</v>
      </c>
      <c r="AR106" s="72">
        <f t="shared" si="35"/>
        <v>41.278795260266619</v>
      </c>
      <c r="AS106" s="74">
        <f>Table2[[#This Row],[Annual benefit payments (closed scheme)]]/((1+AR105)*(1+Table2[[#This Row],[Discount rate D]])^0.5)+AS105</f>
        <v>54.852746513791473</v>
      </c>
      <c r="AT106" s="71">
        <f>AT105*(1+Table2[Discount rate D])</f>
        <v>2536.7277156159957</v>
      </c>
      <c r="AU106" s="74">
        <f>Table2[[#This Row],[Asset growth D]]/(1+Table2[Compounded CPI])</f>
        <v>392.50510651496063</v>
      </c>
      <c r="AV106" s="74">
        <f>(AV105*((1+Table2[Discount rate D])^0.5)-Table2[Annual benefit payments (closed scheme)])*(1+Table2[Discount rate D])^0.5</f>
        <v>217.61967629610294</v>
      </c>
      <c r="AW106" s="74">
        <f>Table2[[#This Row],[Asset growth D with benefit payments deducted]]/(1+Table2[Compounded CPI])</f>
        <v>33.672054631062878</v>
      </c>
      <c r="AX106" s="78">
        <f>Table2[[#This Row],[Asset growth D with benefit payments deducted]]/(1+Table2[Compounded discount rate D])</f>
        <v>5.1472534862085038</v>
      </c>
      <c r="AY106" s="75">
        <f>Table2[CPI]+4%</f>
        <v>6.7699999999999996E-2</v>
      </c>
      <c r="AZ106" s="72">
        <f t="shared" si="36"/>
        <v>111.58885822323917</v>
      </c>
      <c r="BA106" s="74">
        <f>Table2[[#This Row],[Annual benefit payments (closed scheme)]]/((1+AZ105)*(1+Table2[[#This Row],[Discount rate E]])^0.5)+BA105</f>
        <v>48.29751625984855</v>
      </c>
      <c r="BB106" s="17">
        <f>BB105*(1+Table2[Discount rate E])</f>
        <v>6755.3314933943602</v>
      </c>
      <c r="BC106" s="71">
        <f>Table2[[#This Row],[Asset growth E]]/(1+Table2[Compounded CPI])</f>
        <v>1045.245057652849</v>
      </c>
      <c r="BD106" s="74">
        <f>(BD105*((1+Table2[Discount rate E])^0.5)-Table2[Annual benefit payments (closed scheme)])*(1+Table2[Discount rate E])^0.5</f>
        <v>1317.5692826796717</v>
      </c>
      <c r="BE106" s="74">
        <f>Table2[[#This Row],[Asset growth E with benefit payments deducted]]/(1+Table2[Compounded CPI])</f>
        <v>203.86605486093498</v>
      </c>
      <c r="BF106" s="78">
        <f>Table2[[#This Row],[Asset growth E with benefit payments deducted]]/(1+Table2[Compounded discount rate E])</f>
        <v>11.702483740151436</v>
      </c>
      <c r="BG106" s="75">
        <f>Table2[[#This Row],[Long-dated forward gilt yields]]+0.75%</f>
        <v>2.5600000000000001E-2</v>
      </c>
      <c r="BH106" s="75">
        <f t="shared" si="37"/>
        <v>5.9259620851413155</v>
      </c>
      <c r="BI106" s="17">
        <f>((Table2[[#This Row],[Annual benefit payments (closed scheme)]])*1.005^(Table2[[#This Row],[Year]]-2018))/((1+BH105)*(1+Table2[[#This Row],[Discount rate F]])^0.5)+BI105</f>
        <v>82.341581740135609</v>
      </c>
      <c r="BJ106" s="74">
        <f>BJ105*(1+Table2[Discount rate F])</f>
        <v>570.30792334196542</v>
      </c>
      <c r="BK106" s="74">
        <f>Table2[[#This Row],[Asset growth F, under the assumption of full-funding at Year 0]]/(1+Table2[[#This Row],[Compounded CPI]])</f>
        <v>88.243121569437648</v>
      </c>
      <c r="BL106" s="74">
        <f>(BL105*((1+Table2[Discount rate F])^0.5)-Table2[Annual benefit payments (closed scheme)]*1.005^(Table2[Year]-2018))*(1+Table2[Discount rate F])^0.5</f>
        <v>1.3250179221728107E-2</v>
      </c>
      <c r="BM106" s="74">
        <f>Table2[[#This Row],[Asset growth F with benefit payments deducted]]/(1+Table2[Compounded CPI])</f>
        <v>2.0501857470752644E-3</v>
      </c>
      <c r="BN106" s="78">
        <f>Table2[[#This Row],[Asset growth F with benefit payments deducted]]/(1+Table2[Compounded discount rate F])</f>
        <v>1.9131174931139915E-3</v>
      </c>
      <c r="BO106" s="18">
        <f>(1+BO105)*(1+Table2[Discount rate A2])-1</f>
        <v>10.364942750444428</v>
      </c>
      <c r="BP106" s="74">
        <f>Table2[[#This Row],[Annual benefit payments (ongoing scheme)]]/((1+BO105)*(1+Table2[[#This Row],[Discount rate A2]])^0.5)+BP105</f>
        <v>112.20036795623894</v>
      </c>
      <c r="BQ106" s="74">
        <f>(BQ105*((1+Table2[Discount rate A2])^0.5)-Table2[Annual benefit payments (ongoing scheme)])*(1+Table2[Discount rate A2])^0.5</f>
        <v>3.5095537541967845</v>
      </c>
      <c r="BR106" s="18">
        <f>(1+BR105)*(1+Table2[Discount rate B])-1</f>
        <v>20.821198467518432</v>
      </c>
      <c r="BS106" s="74">
        <f>Table2[[#This Row],[Annual benefit payments (ongoing scheme)]]/((1+BR105)*(1+Table2[[#This Row],[Discount rate B]])^0.5)+BS105</f>
        <v>93.358311830312303</v>
      </c>
      <c r="BT106" s="18">
        <f>(1+BT105)*(1+Table2[Discount rate E])-1</f>
        <v>43.114682374496503</v>
      </c>
      <c r="BU106" s="74">
        <f>Table2[[#This Row],[Annual benefit payments (ongoing scheme)]]/((1+BT105)*(1+Table2[[#This Row],[Discount rate E]])^0.5)+BU105</f>
        <v>78.066424866563281</v>
      </c>
      <c r="BV106" s="18">
        <f>Table2[CPI]+0.75%+0.75%</f>
        <v>4.2699999999999995E-2</v>
      </c>
      <c r="BW106" s="18">
        <f>(1+BW105)*(1+Table2[Self-sufficiency discount rate, from 2037])-1</f>
        <v>9.0863557894041129</v>
      </c>
      <c r="BX106" s="17">
        <f>(Table2[[#This Row],[Annual benefit payments (ongoing scheme)]]*1.005^(Table2[[#This Row],[Year]]-2038))/((1+BW105)*(1+Table2[[#This Row],[Self-sufficiency discount rate, from 2037]])^0.5)+BX105</f>
        <v>127.5649434234064</v>
      </c>
      <c r="BY106" s="74">
        <f>(BY105*((1+Table2[Self-sufficiency discount rate, from 2037])^0.5)-Table2[Annual benefit payments (ongoing scheme)]*1.005^(Table2[Year]-2038))*(1+Table2[Self-sufficiency discount rate, from 2037])^0.5</f>
        <v>4.8977127731520715</v>
      </c>
      <c r="BZ106" s="74">
        <f>(BZ105*((1+Table2[Discount rate B])^0.5)-Table2[Annual benefit payments (ongoing scheme)])*(1+Table2[Discount rate B])^0.5</f>
        <v>3.3742220820588558</v>
      </c>
      <c r="CA106" s="74">
        <f>(CA105*((1+Table2[Discount rate A2])^0.5)+Table2[Net cashflow (ongoing scheme)])*(1+Table2[Discount rate A2])^0.5</f>
        <v>-0.25184747247540706</v>
      </c>
      <c r="CB106" s="74">
        <f>Table2[[#This Row],[Asset growth, ongoing scheme, with November de-risking, net of contributions and payments]]/(1+Table2[Compounded discount rate A2])</f>
        <v>-1.246291745783863E-2</v>
      </c>
      <c r="CC106" s="74">
        <f>Table2[[#This Row],[Asset growth, ongoing scheme, with November de-risking, net of contributions and payments]]/(1+Table2[Compounded CPI])</f>
        <v>-3.8968084119142085E-2</v>
      </c>
      <c r="CD106" s="74">
        <f>(CD105*((1+Table2[Discount rate A1])^0.5)+Table2[Net cashflow (ongoing scheme)])*(1+Table2[Discount rate A1])^0.5</f>
        <v>65.012734602038861</v>
      </c>
      <c r="CE106" s="74">
        <f>Table2[[#This Row],[Asset growth, ongoing scheme, with September de-risking, net of contributions and payments]]/(1+Table2[Compounded discount rate A1])</f>
        <v>3.0557346710039206</v>
      </c>
      <c r="CF106" s="74">
        <f>Table2[[#This Row],[Asset growth, ongoing scheme, with September de-risking, net of contributions and payments]]/(1+Table2[Compounded CPI])</f>
        <v>10.059349358906506</v>
      </c>
      <c r="CG106" s="74">
        <f>(CG105*((1+Table2[Discount rate B])^0.5)+Table2[Net cashflow (ongoing scheme)])*(1+Table2[Discount rate B])^0.5</f>
        <v>658.7246468669947</v>
      </c>
      <c r="CH106" s="74">
        <f>Table2[[#This Row],[Asset growth, ongoing scheme, no de-risking, net of contributions and payments]]/(1+Table2[Compounded discount rate B])</f>
        <v>15.384611540239773</v>
      </c>
      <c r="CI106" s="74">
        <f>Table2[[#This Row],[Asset growth, ongoing scheme, no de-risking, net of contributions and payments]]/(1+Table2[Compounded CPI])</f>
        <v>101.92374455126533</v>
      </c>
      <c r="CJ106" s="74">
        <f>(CJ105*((1+Table2[Discount rate E])^0.5)+Table2[Net cashflow (ongoing scheme)])*(1+Table2[Discount rate E])^0.5</f>
        <v>3598.8006289537757</v>
      </c>
      <c r="CK106" s="74">
        <f>Table2[[#This Row],[Asset growth, ongoing scheme, best-estimates, no de-risking, net of contributions and payments ]]/(1+Table2[Compounded discount rate E])</f>
        <v>31.964092058009314</v>
      </c>
      <c r="CL106" s="74">
        <f>Table2[[#This Row],[Asset growth, ongoing scheme, best-estimates, no de-risking, net of contributions and payments ]]/(1+Table2[Compounded CPI])</f>
        <v>556.83848743324779</v>
      </c>
      <c r="CM106" s="73">
        <f t="shared" si="24"/>
        <v>2.7699999999999999E-2</v>
      </c>
      <c r="CN106" s="75">
        <f>(1+Table2[[#This Row],[CPI]])*(1+CN105)-1</f>
        <v>5.4629164653156081</v>
      </c>
      <c r="CO106" s="11">
        <f t="shared" si="23"/>
        <v>1.8100000000000002E-2</v>
      </c>
      <c r="CP106" s="75">
        <f>Table2[[#This Row],[CPI]]+2%</f>
        <v>4.7699999999999999E-2</v>
      </c>
      <c r="CQ106" s="76">
        <f>(1+Table2[[#This Row],[Salary growth]])*(1+CQ105)-1</f>
        <v>29.713078188448375</v>
      </c>
      <c r="CR106" s="77">
        <f t="shared" si="25"/>
        <v>64.629164653156039</v>
      </c>
      <c r="CS106" s="74">
        <f t="shared" si="26"/>
        <v>84.017914049102885</v>
      </c>
      <c r="CT106" s="74">
        <f>CT105*(1+Table2[[#This Row],[Salary growth]])</f>
        <v>307.13078188448372</v>
      </c>
      <c r="CU106" s="78">
        <f t="shared" si="38"/>
        <v>399.2700164498288</v>
      </c>
      <c r="CV106" s="116">
        <f>('Cash flows as at 31032017'!B91)/1000000000</f>
        <v>2.2845529999999999E-3</v>
      </c>
      <c r="CW106" s="117">
        <v>0</v>
      </c>
      <c r="CX106" s="117">
        <f>Table2[[#This Row],[Annual contributions (closed scheme)]]-Table2[[#This Row],[Annual benefit payments (closed scheme)]]</f>
        <v>-2.2845529999999999E-3</v>
      </c>
      <c r="CY106" s="117">
        <v>0.87</v>
      </c>
      <c r="CZ106" s="117">
        <v>0</v>
      </c>
      <c r="DA106" s="117">
        <v>-0.87</v>
      </c>
    </row>
    <row r="107" spans="1:181" x14ac:dyDescent="0.2">
      <c r="A107" s="7">
        <v>2100</v>
      </c>
      <c r="E107" s="6">
        <v>6.0999999999999999E-2</v>
      </c>
      <c r="F107" s="1">
        <f>F106*(1+Table2[[#This Row],[2008 discount rate]])</f>
        <v>7824.5060328768559</v>
      </c>
      <c r="G107" s="1">
        <v>9.0609999999999999</v>
      </c>
      <c r="H107">
        <f>H106*(1+Table2[[#This Row],[2011 discount rate]])</f>
        <v>15388329949.765341</v>
      </c>
      <c r="I107" s="1">
        <v>9.0519999999999996</v>
      </c>
      <c r="J107" s="1">
        <f>J106*(1+Table2[[#This Row],[2014 discount rate]])</f>
        <v>8285789425.438096</v>
      </c>
      <c r="K107" s="9">
        <f>Table2[CPI]+1.7%</f>
        <v>4.4700000000000004E-2</v>
      </c>
      <c r="L107" s="108">
        <f t="shared" si="21"/>
        <v>21.226669246919986</v>
      </c>
      <c r="M107" s="17">
        <f>Table2[[#This Row],[Annual benefit payments (closed scheme)]]/((1+L106)*(1+Table2[[#This Row],[Discount rate A1]])^0.5)+M106</f>
        <v>64.922275053858726</v>
      </c>
      <c r="N107" s="74">
        <f>N106*(1+Table2[Discount rate A1])</f>
        <v>1443.0124615146879</v>
      </c>
      <c r="O107" s="74">
        <f>Table2[[#This Row],[Asset growth A1, under the assumption of full-funding at Year 0]]/(1+Table2[[#This Row],[Compounded CPI]])</f>
        <v>217.25770244126718</v>
      </c>
      <c r="P107" s="74">
        <f>(P106*((1+Table2[Discount rate A1])^0.5)-Table2[Annual benefit payments (closed scheme)])*(1+Table2[Discount rate A1])^0.5</f>
        <v>6.5271350037811524E-3</v>
      </c>
      <c r="Q107" s="74">
        <f>Table2[[#This Row],[Asset growth A1 with benefit payments deducted]]/(1+Table2[Compounded CPI])</f>
        <v>9.8271525178442198E-4</v>
      </c>
      <c r="R107" s="74">
        <f>Table2[[#This Row],[Asset growth A1 with benefit payments deducted]]/(1+Table2[Compounded discount rate A1])</f>
        <v>2.9366230861088807E-4</v>
      </c>
      <c r="S107" s="73">
        <f>Table2[CPI]+1.7%</f>
        <v>4.4700000000000004E-2</v>
      </c>
      <c r="T107" s="72">
        <f t="shared" si="32"/>
        <v>20.111032419586166</v>
      </c>
      <c r="U107" s="17">
        <f>Table2[[#This Row],[Annual benefit payments (closed scheme)]]/((1+T106)*(1+Table2[[#This Row],[Discount rate A2]])^0.5)+U106</f>
        <v>67.510996851679124</v>
      </c>
      <c r="V107" s="74">
        <f>V106*(1+Table2[Discount rate A2])</f>
        <v>1425.23337034938</v>
      </c>
      <c r="W107" s="74">
        <f>Table2[[#This Row],[Asset growth A2, under the assumption of full-funding at Year 0]]/(1+Table2[Compounded CPI])</f>
        <v>214.58091024363495</v>
      </c>
      <c r="X107" s="74">
        <f>(X106*((1+Table2[Discount rate A2])^0.5)-Table2[Annual benefit payments (closed scheme)])*(1+Table2[Discount rate A2])^0.5</f>
        <v>6.5271350041993595E-3</v>
      </c>
      <c r="Y107" s="74">
        <f>Table2[[#This Row],[Asset growth A2 with benefit payments deducted]]/(1+Table2[[#This Row],[Compounded CPI]])</f>
        <v>9.8271525184738659E-4</v>
      </c>
      <c r="Z107" s="78">
        <f>Table2[[#This Row],[Asset growth A2 with benefit payments deducted]]/(1+Table2[Compounded discount rate A2])</f>
        <v>3.0918123161725072E-4</v>
      </c>
      <c r="AA107" s="109">
        <f>Table2[CPI]+2.8%</f>
        <v>5.57E-2</v>
      </c>
      <c r="AB107" s="72">
        <f t="shared" si="33"/>
        <v>44.202025925618408</v>
      </c>
      <c r="AC107" s="74">
        <f>Table2[[#This Row],[Annual benefit payments (closed scheme)]]/((1+AB106)*(1+Table2[[#This Row],[Discount rate B]])^0.5)+AC106</f>
        <v>60.426760432729886</v>
      </c>
      <c r="AD107" s="110">
        <f>AD106*(1+Table2[Discount rate B])</f>
        <v>2712.1215555371036</v>
      </c>
      <c r="AE107" s="71">
        <f>Table2[[#This Row],[Asset growth B]]/(1+Table2[Compounded CPI])</f>
        <v>408.33278548331452</v>
      </c>
      <c r="AF107" s="74">
        <f>(AF106*((1+Table2[Discount rate B])^0.5)-Table2[Annual benefit payments (closed scheme)])*(1+Table2[Discount rate B])^0.5</f>
        <v>-19.290436144284175</v>
      </c>
      <c r="AG107" s="74">
        <f>Table2[[#This Row],[Asset growth B with benefit payments deducted]]/(1+Table2[Compounded CPI])</f>
        <v>-2.9043379371776119</v>
      </c>
      <c r="AH107" s="78">
        <f>Table2[[#This Row],[Asset growth B with benefit payments deducted]]/(1+Table2[Compounded discount rate B])</f>
        <v>-0.42676043272988018</v>
      </c>
      <c r="AI107" s="75">
        <f>Table2[CPI]+2.56%</f>
        <v>5.33E-2</v>
      </c>
      <c r="AJ107" s="72">
        <f t="shared" si="34"/>
        <v>46.573783863460768</v>
      </c>
      <c r="AK107" s="74">
        <f>Table2[[#This Row],[Annual benefit payments (closed scheme)]]/((1+AJ106)*(1+Table2[[#This Row],[Discount rate C]])^0.5)+AK106</f>
        <v>52.353302824267978</v>
      </c>
      <c r="AL107" s="74">
        <f>AL106*(1+Table2[Discount rate C])</f>
        <v>2854.4270318076456</v>
      </c>
      <c r="AM107" s="74">
        <f>Table2[[#This Row],[Asset growth C]]/(1+Table2[Compounded CPI])</f>
        <v>429.7580757312557</v>
      </c>
      <c r="AN107" s="74">
        <f>(AN106*((1+Table2[Discount rate C])^0.5)-Table2[Annual benefit payments (closed scheme)])*(1+Table2[Discount rate C])^0.5</f>
        <v>363.78231870760857</v>
      </c>
      <c r="AO107" s="74">
        <f>Table2[[#This Row],[Asset growth C with benefit payments deducted]]/(1+Table2[Compounded CPI])</f>
        <v>54.770497732369989</v>
      </c>
      <c r="AP107" s="78">
        <f>Table2[[#This Row],[Asset growth C with benefit payments deducted]]/(1+Table2[Compounded discount rate C])</f>
        <v>7.6466971757319691</v>
      </c>
      <c r="AQ107" s="75">
        <f>Table2[CPI]+2.56%</f>
        <v>5.33E-2</v>
      </c>
      <c r="AR107" s="72">
        <f t="shared" si="35"/>
        <v>43.532255047638827</v>
      </c>
      <c r="AS107" s="74">
        <f>Table2[[#This Row],[Annual benefit payments (closed scheme)]]/((1+AR106)*(1+Table2[[#This Row],[Discount rate D]])^0.5)+AS106</f>
        <v>54.852786374846445</v>
      </c>
      <c r="AT107" s="71">
        <f>AT106*(1+Table2[Discount rate D])</f>
        <v>2671.9353028583282</v>
      </c>
      <c r="AU107" s="74">
        <f>Table2[[#This Row],[Asset growth D]]/(1+Table2[Compounded CPI])</f>
        <v>402.28240604476798</v>
      </c>
      <c r="AV107" s="74">
        <f>(AV106*((1+Table2[Discount rate D])^0.5)-Table2[Annual benefit payments (closed scheme)])*(1+Table2[Discount rate D])^0.5</f>
        <v>229.21702994001876</v>
      </c>
      <c r="AW107" s="74">
        <f>Table2[[#This Row],[Asset growth D with benefit payments deducted]]/(1+Table2[Compounded CPI])</f>
        <v>34.510558025886276</v>
      </c>
      <c r="AX107" s="78">
        <f>Table2[[#This Row],[Asset growth D with benefit payments deducted]]/(1+Table2[Compounded discount rate D])</f>
        <v>5.1472136251535332</v>
      </c>
      <c r="AY107" s="75">
        <f>Table2[CPI]+4%</f>
        <v>6.7699999999999996E-2</v>
      </c>
      <c r="AZ107" s="72">
        <f t="shared" si="36"/>
        <v>119.21112392495247</v>
      </c>
      <c r="BA107" s="74">
        <f>Table2[[#This Row],[Annual benefit payments (closed scheme)]]/((1+AZ106)*(1+Table2[[#This Row],[Discount rate E]])^0.5)+BA106</f>
        <v>48.297531126987415</v>
      </c>
      <c r="BB107" s="17">
        <f>BB106*(1+Table2[Discount rate E])</f>
        <v>7212.6674354971592</v>
      </c>
      <c r="BC107" s="71">
        <f>Table2[[#This Row],[Asset growth E]]/(1+Table2[Compounded CPI])</f>
        <v>1085.9279440069545</v>
      </c>
      <c r="BD107" s="74">
        <f>(BD106*((1+Table2[Discount rate E])^0.5)-Table2[Annual benefit payments (closed scheme)])*(1+Table2[Discount rate E])^0.5</f>
        <v>1406.7669359216127</v>
      </c>
      <c r="BE107" s="74">
        <f>Table2[[#This Row],[Asset growth E with benefit payments deducted]]/(1+Table2[Compounded CPI])</f>
        <v>211.80063271793165</v>
      </c>
      <c r="BF107" s="78">
        <f>Table2[[#This Row],[Asset growth E with benefit payments deducted]]/(1+Table2[Compounded discount rate E])</f>
        <v>11.702468873012567</v>
      </c>
      <c r="BG107" s="75">
        <f>Table2[[#This Row],[Long-dated forward gilt yields]]+0.75%</f>
        <v>2.5600000000000001E-2</v>
      </c>
      <c r="BH107" s="75">
        <f t="shared" si="37"/>
        <v>6.1032667145209336</v>
      </c>
      <c r="BI107" s="17">
        <f>((Table2[[#This Row],[Annual benefit payments (closed scheme)]])*1.005^(Table2[[#This Row],[Year]]-2018))/((1+BH106)*(1+Table2[[#This Row],[Discount rate F]])^0.5)+BI106</f>
        <v>82.341952929379048</v>
      </c>
      <c r="BJ107" s="74">
        <f>BJ106*(1+Table2[Discount rate F])</f>
        <v>584.90780617951975</v>
      </c>
      <c r="BK107" s="74">
        <f>Table2[[#This Row],[Asset growth F, under the assumption of full-funding at Year 0]]/(1+Table2[[#This Row],[Compounded CPI]])</f>
        <v>88.062805762007642</v>
      </c>
      <c r="BL107" s="74">
        <f>(BL106*((1+Table2[Discount rate F])^0.5)-Table2[Annual benefit payments (closed scheme)]*1.005^(Table2[Year]-2018))*(1+Table2[Discount rate F])^0.5</f>
        <v>1.0952727612109928E-2</v>
      </c>
      <c r="BM107" s="74">
        <f>Table2[[#This Row],[Asset growth F with benefit payments deducted]]/(1+Table2[Compounded CPI])</f>
        <v>1.6490255627967831E-3</v>
      </c>
      <c r="BN107" s="78">
        <f>Table2[[#This Row],[Asset growth F with benefit payments deducted]]/(1+Table2[Compounded discount rate F])</f>
        <v>1.5419282496769676E-3</v>
      </c>
      <c r="BO107" s="18">
        <f>(1+BO106)*(1+Table2[Discount rate A2])-1</f>
        <v>10.872955691389294</v>
      </c>
      <c r="BP107" s="74">
        <f>Table2[[#This Row],[Annual benefit payments (ongoing scheme)]]/((1+BO106)*(1+Table2[[#This Row],[Discount rate A2]])^0.5)+BP106</f>
        <v>112.26407224481088</v>
      </c>
      <c r="BQ107" s="74">
        <f>(BQ106*((1+Table2[Discount rate A2])^0.5)-Table2[Annual benefit payments (ongoing scheme)])*(1+Table2[Discount rate A2])^0.5</f>
        <v>2.9100726114432844</v>
      </c>
      <c r="BR107" s="18">
        <f>(1+BR106)*(1+Table2[Discount rate B])-1</f>
        <v>22.036639222159209</v>
      </c>
      <c r="BS107" s="74">
        <f>Table2[[#This Row],[Annual benefit payments (ongoing scheme)]]/((1+BR106)*(1+Table2[[#This Row],[Discount rate B]])^0.5)+BS106</f>
        <v>93.391317067618118</v>
      </c>
      <c r="BT107" s="18">
        <f>(1+BT106)*(1+Table2[Discount rate E])-1</f>
        <v>46.101246371249921</v>
      </c>
      <c r="BU107" s="74">
        <f>Table2[[#This Row],[Annual benefit payments (ongoing scheme)]]/((1+BT106)*(1+Table2[[#This Row],[Discount rate E]])^0.5)+BU106</f>
        <v>78.082658806758204</v>
      </c>
      <c r="BV107" s="18">
        <f>Table2[CPI]+0.75%+0.75%</f>
        <v>4.2699999999999995E-2</v>
      </c>
      <c r="BW107" s="18">
        <f>(1+BW106)*(1+Table2[Self-sufficiency discount rate, from 2037])-1</f>
        <v>9.517043181611669</v>
      </c>
      <c r="BX107" s="17">
        <f>(Table2[[#This Row],[Annual benefit payments (ongoing scheme)]]*1.005^(Table2[[#This Row],[Year]]-2038))/((1+BW106)*(1+Table2[[#This Row],[Self-sufficiency discount rate, from 2037]])^0.5)+BX106</f>
        <v>127.66282784487296</v>
      </c>
      <c r="BY107" s="74">
        <f>(BY106*((1+Table2[Self-sufficiency discount rate, from 2037])^0.5)-Table2[Annual benefit payments (ongoing scheme)]*1.005^(Table2[Year]-2038))*(1+Table2[Self-sufficiency discount rate, from 2037])^0.5</f>
        <v>4.0773904211947114</v>
      </c>
      <c r="BZ107" s="74">
        <f>(BZ106*((1+Table2[Discount rate B])^0.5)-Table2[Annual benefit payments (ongoing scheme)])*(1+Table2[Discount rate B])^0.5</f>
        <v>2.8018365077737926</v>
      </c>
      <c r="CA107" s="74">
        <f>(CA106*((1+Table2[Discount rate A2])^0.5)+Table2[Net cashflow (ongoing scheme)])*(1+Table2[Discount rate A2])^0.5</f>
        <v>-1.0194632500611531</v>
      </c>
      <c r="CB107" s="74">
        <f>Table2[[#This Row],[Asset growth, ongoing scheme, with November de-risking, net of contributions and payments]]/(1+Table2[Compounded discount rate A2])</f>
        <v>-4.8290544479261302E-2</v>
      </c>
      <c r="CC107" s="74">
        <f>Table2[[#This Row],[Asset growth, ongoing scheme, with November de-risking, net of contributions and payments]]/(1+Table2[Compounded CPI])</f>
        <v>-0.15348879468380025</v>
      </c>
      <c r="CD107" s="74">
        <f>(CD106*((1+Table2[Discount rate A1])^0.5)+Table2[Net cashflow (ongoing scheme)])*(1+Table2[Discount rate A1])^0.5</f>
        <v>67.162445643183901</v>
      </c>
      <c r="CE107" s="74">
        <f>Table2[[#This Row],[Asset growth, ongoing scheme, with September de-risking, net of contributions and payments]]/(1+Table2[Compounded discount rate A1])</f>
        <v>3.021705362016434</v>
      </c>
      <c r="CF107" s="74">
        <f>Table2[[#This Row],[Asset growth, ongoing scheme, with September de-risking, net of contributions and payments]]/(1+Table2[Compounded CPI])</f>
        <v>10.111872918587478</v>
      </c>
      <c r="CG107" s="74">
        <f>(CG106*((1+Table2[Discount rate B])^0.5)+Table2[Net cashflow (ongoing scheme)])*(1+Table2[Discount rate B])^0.5</f>
        <v>694.65527995323043</v>
      </c>
      <c r="CH107" s="74">
        <f>Table2[[#This Row],[Asset growth, ongoing scheme, no de-risking, net of contributions and payments]]/(1+Table2[Compounded discount rate B])</f>
        <v>15.367790839647567</v>
      </c>
      <c r="CI107" s="74">
        <f>Table2[[#This Row],[Asset growth, ongoing scheme, no de-risking, net of contributions and payments]]/(1+Table2[Compounded CPI])</f>
        <v>104.58621400463764</v>
      </c>
      <c r="CJ107" s="74">
        <f>(CJ106*((1+Table2[Discount rate E])^0.5)+Table2[Net cashflow (ongoing scheme)])*(1+Table2[Discount rate E])^0.5</f>
        <v>3841.6747927172491</v>
      </c>
      <c r="CK107" s="74">
        <f>Table2[[#This Row],[Asset growth, ongoing scheme, best-estimates, no de-risking, net of contributions and payments ]]/(1+Table2[Compounded discount rate E])</f>
        <v>31.957731258844213</v>
      </c>
      <c r="CL107" s="74">
        <f>Table2[[#This Row],[Asset growth, ongoing scheme, best-estimates, no de-risking, net of contributions and payments ]]/(1+Table2[Compounded CPI])</f>
        <v>578.39655668405703</v>
      </c>
      <c r="CM107" s="73">
        <f t="shared" si="24"/>
        <v>2.7699999999999999E-2</v>
      </c>
      <c r="CN107" s="75">
        <f>(1+Table2[[#This Row],[CPI]])*(1+CN106)-1</f>
        <v>5.6419392514048505</v>
      </c>
      <c r="CO107" s="11">
        <f t="shared" si="23"/>
        <v>1.8100000000000002E-2</v>
      </c>
      <c r="CP107" s="75">
        <f>Table2[[#This Row],[CPI]]+2%</f>
        <v>4.7699999999999999E-2</v>
      </c>
      <c r="CQ107" s="76">
        <f>(1+Table2[[#This Row],[Salary growth]])*(1+CQ106)-1</f>
        <v>31.178092018037361</v>
      </c>
      <c r="CR107" s="77">
        <f t="shared" si="25"/>
        <v>66.419392514048468</v>
      </c>
      <c r="CS107" s="74">
        <f t="shared" si="26"/>
        <v>86.345210268263045</v>
      </c>
      <c r="CT107" s="74">
        <f>CT106*(1+Table2[[#This Row],[Salary growth]])</f>
        <v>321.78092018037364</v>
      </c>
      <c r="CU107" s="78">
        <f t="shared" si="38"/>
        <v>418.31519623448565</v>
      </c>
      <c r="CV107" s="116">
        <f>('Cash flows as at 31032017'!B92)/1000000000</f>
        <v>1.729607E-3</v>
      </c>
      <c r="CW107" s="117">
        <v>0</v>
      </c>
      <c r="CX107" s="117">
        <f>Table2[[#This Row],[Annual contributions (closed scheme)]]-Table2[[#This Row],[Annual benefit payments (closed scheme)]]</f>
        <v>-1.729607E-3</v>
      </c>
      <c r="CY107" s="117">
        <v>0.74</v>
      </c>
      <c r="CZ107" s="117">
        <v>0</v>
      </c>
      <c r="DA107" s="117">
        <v>-0.74</v>
      </c>
    </row>
    <row r="108" spans="1:181" x14ac:dyDescent="0.2">
      <c r="A108" s="7">
        <v>2101</v>
      </c>
      <c r="E108" s="6">
        <v>6.0999999999999999E-2</v>
      </c>
      <c r="F108" s="1">
        <f>F107*(1+Table2[[#This Row],[2008 discount rate]])</f>
        <v>8301.8009008823428</v>
      </c>
      <c r="G108" s="1">
        <v>10.061</v>
      </c>
      <c r="H108">
        <f>H107*(1+Table2[[#This Row],[2011 discount rate]])</f>
        <v>170210317574.35443</v>
      </c>
      <c r="I108" s="1">
        <v>10.052</v>
      </c>
      <c r="J108" s="1">
        <f>J107*(1+Table2[[#This Row],[2014 discount rate]])</f>
        <v>91574544729.941833</v>
      </c>
      <c r="K108" s="9">
        <f>Table2[CPI]+1.7%</f>
        <v>4.4700000000000004E-2</v>
      </c>
      <c r="L108" s="108">
        <f t="shared" si="21"/>
        <v>22.22020136225731</v>
      </c>
      <c r="M108" s="17">
        <f>Table2[[#This Row],[Annual benefit payments (closed scheme)]]/((1+L107)*(1+Table2[[#This Row],[Discount rate A1]])^0.5)+M107</f>
        <v>64.922334289606781</v>
      </c>
      <c r="N108" s="74">
        <f>N107*(1+Table2[Discount rate A1])</f>
        <v>1507.5151185443945</v>
      </c>
      <c r="O108" s="74">
        <f>Table2[[#This Row],[Asset growth A1, under the assumption of full-funding at Year 0]]/(1+Table2[[#This Row],[Compounded CPI]])</f>
        <v>220.85153424189141</v>
      </c>
      <c r="P108" s="74">
        <f>(P107*((1+Table2[Discount rate A1])^0.5)-Table2[Annual benefit payments (closed scheme)])*(1+Table2[Discount rate A1])^0.5</f>
        <v>5.4434319408544736E-3</v>
      </c>
      <c r="Q108" s="74">
        <f>Table2[[#This Row],[Asset growth A1 with benefit payments deducted]]/(1+Table2[Compounded CPI])</f>
        <v>7.9746483527131816E-4</v>
      </c>
      <c r="R108" s="74">
        <f>Table2[[#This Row],[Asset growth A1 with benefit payments deducted]]/(1+Table2[Compounded discount rate A1])</f>
        <v>2.3442656055956356E-4</v>
      </c>
      <c r="S108" s="73">
        <f>Table2[CPI]+1.7%</f>
        <v>4.4700000000000004E-2</v>
      </c>
      <c r="T108" s="72">
        <f t="shared" si="32"/>
        <v>21.054695568741668</v>
      </c>
      <c r="U108" s="17">
        <f>Table2[[#This Row],[Annual benefit payments (closed scheme)]]/((1+T107)*(1+Table2[[#This Row],[Discount rate A2]])^0.5)+U107</f>
        <v>67.511059217808523</v>
      </c>
      <c r="V108" s="74">
        <f>V107*(1+Table2[Discount rate A2])</f>
        <v>1488.9413020039972</v>
      </c>
      <c r="W108" s="74">
        <f>Table2[[#This Row],[Asset growth A2, under the assumption of full-funding at Year 0]]/(1+Table2[Compounded CPI])</f>
        <v>218.13046310355685</v>
      </c>
      <c r="X108" s="74">
        <f>(X107*((1+Table2[Discount rate A2])^0.5)-Table2[Annual benefit payments (closed scheme)])*(1+Table2[Discount rate A2])^0.5</f>
        <v>5.4434319412913742E-3</v>
      </c>
      <c r="Y108" s="74">
        <f>Table2[[#This Row],[Asset growth A2 with benefit payments deducted]]/(1+Table2[[#This Row],[Compounded CPI]])</f>
        <v>7.9746483533532425E-4</v>
      </c>
      <c r="Z108" s="78">
        <f>Table2[[#This Row],[Asset growth A2 with benefit payments deducted]]/(1+Table2[Compounded discount rate A2])</f>
        <v>2.4681510222278482E-4</v>
      </c>
      <c r="AA108" s="109">
        <f>Table2[CPI]+2.8%</f>
        <v>5.57E-2</v>
      </c>
      <c r="AB108" s="72">
        <f t="shared" si="33"/>
        <v>46.719778769675358</v>
      </c>
      <c r="AC108" s="74">
        <f>Table2[[#This Row],[Annual benefit payments (closed scheme)]]/((1+AB107)*(1+Table2[[#This Row],[Discount rate B]])^0.5)+AC107</f>
        <v>60.426789407893743</v>
      </c>
      <c r="AD108" s="110">
        <f>AD107*(1+Table2[Discount rate B])</f>
        <v>2863.1867261805205</v>
      </c>
      <c r="AE108" s="71">
        <f>Table2[[#This Row],[Asset growth B]]/(1+Table2[Compounded CPI])</f>
        <v>419.45793678576933</v>
      </c>
      <c r="AF108" s="74">
        <f>(AF107*((1+Table2[Discount rate B])^0.5)-Table2[Annual benefit payments (closed scheme)])*(1+Table2[Discount rate B])^0.5</f>
        <v>-20.366296125929967</v>
      </c>
      <c r="AG108" s="74">
        <f>Table2[[#This Row],[Asset growth B with benefit payments deducted]]/(1+Table2[Compounded CPI])</f>
        <v>-2.9836700746188001</v>
      </c>
      <c r="AH108" s="78">
        <f>Table2[[#This Row],[Asset growth B with benefit payments deducted]]/(1+Table2[Compounded discount rate B])</f>
        <v>-0.42678940789373909</v>
      </c>
      <c r="AI108" s="75">
        <f>Table2[CPI]+2.56%</f>
        <v>5.33E-2</v>
      </c>
      <c r="AJ108" s="72">
        <f t="shared" si="34"/>
        <v>49.10946654338322</v>
      </c>
      <c r="AK108" s="74">
        <f>Table2[[#This Row],[Annual benefit payments (closed scheme)]]/((1+AJ107)*(1+Table2[[#This Row],[Discount rate C]])^0.5)+AK107</f>
        <v>52.353330386242327</v>
      </c>
      <c r="AL108" s="74">
        <f>AL107*(1+Table2[Discount rate C])</f>
        <v>3006.5679926029929</v>
      </c>
      <c r="AM108" s="74">
        <f>Table2[[#This Row],[Asset growth C]]/(1+Table2[Compounded CPI])</f>
        <v>440.46334647049872</v>
      </c>
      <c r="AN108" s="74">
        <f>(AN107*((1+Table2[Discount rate C])^0.5)-Table2[Annual benefit payments (closed scheme)])*(1+Table2[Discount rate C])^0.5</f>
        <v>383.17053517889252</v>
      </c>
      <c r="AO108" s="74">
        <f>Table2[[#This Row],[Asset growth C with benefit payments deducted]]/(1+Table2[Compounded CPI])</f>
        <v>56.134628123832627</v>
      </c>
      <c r="AP108" s="78">
        <f>Table2[[#This Row],[Asset growth C with benefit payments deducted]]/(1+Table2[Compounded discount rate C])</f>
        <v>7.6466696137576191</v>
      </c>
      <c r="AQ108" s="75">
        <f>Table2[CPI]+2.56%</f>
        <v>5.33E-2</v>
      </c>
      <c r="AR108" s="72">
        <f t="shared" si="35"/>
        <v>45.905824241677969</v>
      </c>
      <c r="AS108" s="74">
        <f>Table2[[#This Row],[Annual benefit payments (closed scheme)]]/((1+AR107)*(1+Table2[[#This Row],[Discount rate D]])^0.5)+AS107</f>
        <v>54.852815819288665</v>
      </c>
      <c r="AT108" s="71">
        <f>AT107*(1+Table2[Discount rate D])</f>
        <v>2814.349454500677</v>
      </c>
      <c r="AU108" s="74">
        <f>Table2[[#This Row],[Asset growth D]]/(1+Table2[Compounded CPI])</f>
        <v>412.30325803926632</v>
      </c>
      <c r="AV108" s="74">
        <f>(AV107*((1+Table2[Discount rate D])^0.5)-Table2[Annual benefit payments (closed scheme)])*(1+Table2[Discount rate D])^0.5</f>
        <v>241.43291651999013</v>
      </c>
      <c r="AW108" s="74">
        <f>Table2[[#This Row],[Asset growth D with benefit payments deducted]]/(1+Table2[Compounded CPI])</f>
        <v>35.370013457257464</v>
      </c>
      <c r="AX108" s="78">
        <f>Table2[[#This Row],[Asset growth D with benefit payments deducted]]/(1+Table2[Compounded discount rate D])</f>
        <v>5.1471841807113146</v>
      </c>
      <c r="AY108" s="75">
        <f>Table2[CPI]+4%</f>
        <v>6.7699999999999996E-2</v>
      </c>
      <c r="AZ108" s="72">
        <f t="shared" si="36"/>
        <v>127.34941701467176</v>
      </c>
      <c r="BA108" s="74">
        <f>Table2[[#This Row],[Annual benefit payments (closed scheme)]]/((1+AZ107)*(1+Table2[[#This Row],[Discount rate E]])^0.5)+BA107</f>
        <v>48.297541960886413</v>
      </c>
      <c r="BB108" s="17">
        <f>BB107*(1+Table2[Discount rate E])</f>
        <v>7700.9650208803178</v>
      </c>
      <c r="BC108" s="71">
        <f>Table2[[#This Row],[Asset growth E]]/(1+Table2[Compounded CPI])</f>
        <v>1128.1942841453977</v>
      </c>
      <c r="BD108" s="74">
        <f>(BD107*((1+Table2[Discount rate E])^0.5)-Table2[Annual benefit payments (closed scheme)])*(1+Table2[Discount rate E])^0.5</f>
        <v>1502.0036669588853</v>
      </c>
      <c r="BE108" s="74">
        <f>Table2[[#This Row],[Asset growth E with benefit payments deducted]]/(1+Table2[Compounded CPI])</f>
        <v>220.04410450298775</v>
      </c>
      <c r="BF108" s="78">
        <f>Table2[[#This Row],[Asset growth E with benefit payments deducted]]/(1+Table2[Compounded discount rate E])</f>
        <v>11.702458039113568</v>
      </c>
      <c r="BG108" s="75">
        <f>Table2[[#This Row],[Long-dated forward gilt yields]]+0.75%</f>
        <v>2.5600000000000001E-2</v>
      </c>
      <c r="BH108" s="75">
        <f t="shared" si="37"/>
        <v>6.2851103424126702</v>
      </c>
      <c r="BI108" s="17">
        <f>((Table2[[#This Row],[Annual benefit payments (closed scheme)]])*1.005^(Table2[[#This Row],[Year]]-2018))/((1+BH107)*(1+Table2[[#This Row],[Discount rate F]])^0.5)+BI107</f>
        <v>82.342235931740376</v>
      </c>
      <c r="BJ108" s="74">
        <f>BJ107*(1+Table2[Discount rate F])</f>
        <v>599.88144601771546</v>
      </c>
      <c r="BK108" s="74">
        <f>Table2[[#This Row],[Asset growth F, under the assumption of full-funding at Year 0]]/(1+Table2[[#This Row],[Compounded CPI]])</f>
        <v>87.882858411516025</v>
      </c>
      <c r="BL108" s="74">
        <f>(BL107*((1+Table2[Discount rate F])^0.5)-Table2[Annual benefit payments (closed scheme)]*1.005^(Table2[Year]-2018))*(1+Table2[Discount rate F])^0.5</f>
        <v>9.1714140094874708E-3</v>
      </c>
      <c r="BM108" s="74">
        <f>Table2[[#This Row],[Asset growth F with benefit payments deducted]]/(1+Table2[Compounded CPI])</f>
        <v>1.3436156163519335E-3</v>
      </c>
      <c r="BN108" s="78">
        <f>Table2[[#This Row],[Asset growth F with benefit payments deducted]]/(1+Table2[Compounded discount rate F])</f>
        <v>1.2589258883414659E-3</v>
      </c>
      <c r="BO108" s="18">
        <f>(1+BO107)*(1+Table2[Discount rate A2])-1</f>
        <v>11.403676810794394</v>
      </c>
      <c r="BP108" s="74">
        <f>Table2[[#This Row],[Annual benefit payments (ongoing scheme)]]/((1+BO107)*(1+Table2[[#This Row],[Discount rate A2]])^0.5)+BP107</f>
        <v>112.31516237920171</v>
      </c>
      <c r="BQ108" s="74">
        <f>(BQ107*((1+Table2[Discount rate A2])^0.5)-Table2[Annual benefit payments (ongoing scheme)])*(1+Table2[Discount rate A2])^0.5</f>
        <v>2.406447341970773</v>
      </c>
      <c r="BR108" s="18">
        <f>(1+BR107)*(1+Table2[Discount rate B])-1</f>
        <v>23.319780026833481</v>
      </c>
      <c r="BS108" s="74">
        <f>Table2[[#This Row],[Annual benefit payments (ongoing scheme)]]/((1+BR107)*(1+Table2[[#This Row],[Discount rate B]])^0.5)+BS107</f>
        <v>93.417511096851442</v>
      </c>
      <c r="BT108" s="18">
        <f>(1+BT107)*(1+Table2[Discount rate E])-1</f>
        <v>49.290000750583545</v>
      </c>
      <c r="BU108" s="74">
        <f>Table2[[#This Row],[Annual benefit payments (ongoing scheme)]]/((1+BT107)*(1+Table2[[#This Row],[Discount rate E]])^0.5)+BU107</f>
        <v>78.095397787138936</v>
      </c>
      <c r="BV108" s="18">
        <f>Table2[CPI]+0.75%+0.75%</f>
        <v>4.2699999999999995E-2</v>
      </c>
      <c r="BW108" s="18">
        <f>(1+BW107)*(1+Table2[Self-sufficiency discount rate, from 2037])-1</f>
        <v>9.9661209254664875</v>
      </c>
      <c r="BX108" s="17">
        <f>(Table2[[#This Row],[Annual benefit payments (ongoing scheme)]]*1.005^(Table2[[#This Row],[Year]]-2038))/((1+BW107)*(1+Table2[[#This Row],[Self-sufficiency discount rate, from 2037]])^0.5)+BX107</f>
        <v>127.74187390644364</v>
      </c>
      <c r="BY108" s="74">
        <f>(BY107*((1+Table2[Self-sufficiency discount rate, from 2037])^0.5)-Table2[Annual benefit payments (ongoing scheme)]*1.005^(Table2[Year]-2038))*(1+Table2[Self-sufficiency discount rate, from 2037])^0.5</f>
        <v>3.3846663223137239</v>
      </c>
      <c r="BZ108" s="74">
        <f>(BZ107*((1+Table2[Discount rate B])^0.5)-Table2[Annual benefit payments (ongoing scheme)])*(1+Table2[Discount rate B])^0.5</f>
        <v>2.3208657722857668</v>
      </c>
      <c r="CA108" s="74">
        <f>(CA107*((1+Table2[Discount rate A2])^0.5)+Table2[Net cashflow (ongoing scheme)])*(1+Table2[Discount rate A2])^0.5</f>
        <v>-1.6987387725429124</v>
      </c>
      <c r="CB108" s="74">
        <f>Table2[[#This Row],[Asset growth, ongoing scheme, with November de-risking, net of contributions and payments]]/(1+Table2[Compounded discount rate A2])</f>
        <v>-7.7023904830069434E-2</v>
      </c>
      <c r="CC108" s="74">
        <f>Table2[[#This Row],[Asset growth, ongoing scheme, with November de-risking, net of contributions and payments]]/(1+Table2[Compounded CPI])</f>
        <v>-0.24886587177615846</v>
      </c>
      <c r="CD108" s="74">
        <f>(CD107*((1+Table2[Discount rate A1])^0.5)+Table2[Net cashflow (ongoing scheme)])*(1+Table2[Discount rate A1])^0.5</f>
        <v>69.530901448230182</v>
      </c>
      <c r="CE108" s="74">
        <f>Table2[[#This Row],[Asset growth, ongoing scheme, with September de-risking, net of contributions and payments]]/(1+Table2[Compounded discount rate A1])</f>
        <v>2.9944142328260526</v>
      </c>
      <c r="CF108" s="74">
        <f>Table2[[#This Row],[Asset growth, ongoing scheme, with September de-risking, net of contributions and payments]]/(1+Table2[Compounded CPI])</f>
        <v>10.186303323372719</v>
      </c>
      <c r="CG108" s="74">
        <f>(CG107*((1+Table2[Discount rate B])^0.5)+Table2[Net cashflow (ongoing scheme)])*(1+Table2[Discount rate B])^0.5</f>
        <v>732.71054601765422</v>
      </c>
      <c r="CH108" s="74">
        <f>Table2[[#This Row],[Asset growth, ongoing scheme, no de-risking, net of contributions and payments]]/(1+Table2[Compounded discount rate B])</f>
        <v>15.354441384863925</v>
      </c>
      <c r="CI108" s="74">
        <f>Table2[[#This Row],[Asset growth, ongoing scheme, no de-risking, net of contributions and payments]]/(1+Table2[Compounded CPI])</f>
        <v>107.34237172988425</v>
      </c>
      <c r="CJ108" s="74">
        <f>(CJ107*((1+Table2[Discount rate E])^0.5)+Table2[Net cashflow (ongoing scheme)])*(1+Table2[Discount rate E])^0.5</f>
        <v>4101.1155328512987</v>
      </c>
      <c r="CK108" s="74">
        <f>Table2[[#This Row],[Asset growth, ongoing scheme, best-estimates, no de-risking, net of contributions and payments ]]/(1+Table2[Compounded discount rate E])</f>
        <v>31.952739858432672</v>
      </c>
      <c r="CL108" s="74">
        <f>Table2[[#This Row],[Asset growth, ongoing scheme, best-estimates, no de-risking, net of contributions and payments ]]/(1+Table2[Compounded CPI])</f>
        <v>600.81497451780842</v>
      </c>
      <c r="CM108" s="73">
        <f t="shared" si="24"/>
        <v>2.7699999999999999E-2</v>
      </c>
      <c r="CN108" s="75">
        <f>(1+Table2[[#This Row],[CPI]])*(1+CN107)-1</f>
        <v>5.8259209686687656</v>
      </c>
      <c r="CO108" s="11">
        <f t="shared" si="23"/>
        <v>1.8100000000000002E-2</v>
      </c>
      <c r="CP108" s="75">
        <f>Table2[[#This Row],[CPI]]+2%</f>
        <v>4.7699999999999999E-2</v>
      </c>
      <c r="CQ108" s="76">
        <f>(1+Table2[[#This Row],[Salary growth]])*(1+CQ107)-1</f>
        <v>32.712987007297748</v>
      </c>
      <c r="CR108" s="77">
        <f t="shared" si="25"/>
        <v>68.259209686687612</v>
      </c>
      <c r="CS108" s="74">
        <f t="shared" si="26"/>
        <v>88.736972592693931</v>
      </c>
      <c r="CT108" s="74">
        <f>CT107*(1+Table2[[#This Row],[Salary growth]])</f>
        <v>337.1298700729775</v>
      </c>
      <c r="CU108" s="78">
        <f t="shared" si="38"/>
        <v>438.26883109487068</v>
      </c>
      <c r="CV108" s="116">
        <f>('Cash flows as at 31032017'!B93)/1000000000</f>
        <v>1.3457180000000001E-3</v>
      </c>
      <c r="CW108" s="117">
        <v>0</v>
      </c>
      <c r="CX108" s="117">
        <f>Table2[[#This Row],[Annual contributions (closed scheme)]]-Table2[[#This Row],[Annual benefit payments (closed scheme)]]</f>
        <v>-1.3457180000000001E-3</v>
      </c>
      <c r="CY108" s="117">
        <v>0.62</v>
      </c>
      <c r="CZ108" s="117">
        <v>0</v>
      </c>
      <c r="DA108" s="117">
        <v>-0.62</v>
      </c>
    </row>
    <row r="109" spans="1:181" x14ac:dyDescent="0.2">
      <c r="A109" s="7">
        <v>2102</v>
      </c>
      <c r="E109" s="6">
        <v>6.0999999999999999E-2</v>
      </c>
      <c r="F109" s="1">
        <f>F108*(1+Table2[[#This Row],[2008 discount rate]])</f>
        <v>8808.2107558361658</v>
      </c>
      <c r="G109" s="1">
        <v>11.061</v>
      </c>
      <c r="H109">
        <f>H108*(1+Table2[[#This Row],[2011 discount rate]])</f>
        <v>2052906640264.2888</v>
      </c>
      <c r="I109" s="1">
        <v>11.052</v>
      </c>
      <c r="J109" s="1">
        <f>J108*(1+Table2[[#This Row],[2014 discount rate]])</f>
        <v>1103656413085.259</v>
      </c>
      <c r="K109" s="9">
        <f>Table2[CPI]+1.7%</f>
        <v>4.4700000000000004E-2</v>
      </c>
      <c r="L109" s="108">
        <f t="shared" si="21"/>
        <v>23.258144363150212</v>
      </c>
      <c r="M109" s="17">
        <f>Table2[[#This Row],[Annual benefit payments (closed scheme)]]/((1+L108)*(1+Table2[[#This Row],[Discount rate A1]])^0.5)+M108</f>
        <v>64.922379696943423</v>
      </c>
      <c r="N109" s="74">
        <f>N108*(1+Table2[Discount rate A1])</f>
        <v>1574.9010443433287</v>
      </c>
      <c r="O109" s="74">
        <f>Table2[[#This Row],[Asset growth A1, under the assumption of full-funding at Year 0]]/(1+Table2[[#This Row],[Compounded CPI]])</f>
        <v>224.50481446190906</v>
      </c>
      <c r="P109" s="74">
        <f>(P108*((1+Table2[Discount rate A1])^0.5)-Table2[Annual benefit payments (closed scheme)])*(1+Table2[Discount rate A1])^0.5</f>
        <v>4.5852556210340565E-3</v>
      </c>
      <c r="Q109" s="74">
        <f>Table2[[#This Row],[Asset growth A1 with benefit payments deducted]]/(1+Table2[Compounded CPI])</f>
        <v>6.5363596408681056E-4</v>
      </c>
      <c r="R109" s="74">
        <f>Table2[[#This Row],[Asset growth A1 with benefit payments deducted]]/(1+Table2[Compounded discount rate A1])</f>
        <v>1.8901922391060443E-4</v>
      </c>
      <c r="S109" s="73">
        <f>Table2[CPI]+1.7%</f>
        <v>4.4700000000000004E-2</v>
      </c>
      <c r="T109" s="72">
        <f t="shared" si="32"/>
        <v>22.04054046066442</v>
      </c>
      <c r="U109" s="17">
        <f>Table2[[#This Row],[Annual benefit payments (closed scheme)]]/((1+T108)*(1+Table2[[#This Row],[Discount rate A2]])^0.5)+U108</f>
        <v>67.511107024748185</v>
      </c>
      <c r="V109" s="74">
        <f>V108*(1+Table2[Discount rate A2])</f>
        <v>1555.4969782035757</v>
      </c>
      <c r="W109" s="74">
        <f>Table2[[#This Row],[Asset growth A2, under the assumption of full-funding at Year 0]]/(1+Table2[Compounded CPI])</f>
        <v>221.73873192982953</v>
      </c>
      <c r="X109" s="74">
        <f>(X108*((1+Table2[Discount rate A2])^0.5)-Table2[Annual benefit payments (closed scheme)])*(1+Table2[Discount rate A2])^0.5</f>
        <v>4.5852556214904866E-3</v>
      </c>
      <c r="Y109" s="74">
        <f>Table2[[#This Row],[Asset growth A2 with benefit payments deducted]]/(1+Table2[[#This Row],[Compounded CPI]])</f>
        <v>6.5363596415187537E-4</v>
      </c>
      <c r="Z109" s="78">
        <f>Table2[[#This Row],[Asset growth A2 with benefit payments deducted]]/(1+Table2[Compounded discount rate A2])</f>
        <v>1.9900816256105571E-4</v>
      </c>
      <c r="AA109" s="109">
        <f>Table2[CPI]+2.8%</f>
        <v>5.57E-2</v>
      </c>
      <c r="AB109" s="72">
        <f t="shared" si="33"/>
        <v>49.377770447146283</v>
      </c>
      <c r="AC109" s="74">
        <f>Table2[[#This Row],[Annual benefit payments (closed scheme)]]/((1+AB108)*(1+Table2[[#This Row],[Discount rate B]])^0.5)+AC108</f>
        <v>60.426811387460404</v>
      </c>
      <c r="AD109" s="110">
        <f>AD108*(1+Table2[Discount rate B])</f>
        <v>3022.666226828776</v>
      </c>
      <c r="AE109" s="71">
        <f>Table2[[#This Row],[Asset growth B]]/(1+Table2[Compounded CPI])</f>
        <v>430.88619622918822</v>
      </c>
      <c r="AF109" s="74">
        <f>(AF108*((1+Table2[Discount rate B])^0.5)-Table2[Annual benefit payments (closed scheme)])*(1+Table2[Discount rate B])^0.5</f>
        <v>-21.50180610170797</v>
      </c>
      <c r="AG109" s="74">
        <f>Table2[[#This Row],[Asset growth B with benefit payments deducted]]/(1+Table2[Compounded CPI])</f>
        <v>-3.0651189208352245</v>
      </c>
      <c r="AH109" s="78">
        <f>Table2[[#This Row],[Asset growth B with benefit payments deducted]]/(1+Table2[Compounded discount rate B])</f>
        <v>-0.42681138746039859</v>
      </c>
      <c r="AI109" s="75">
        <f>Table2[CPI]+2.56%</f>
        <v>5.33E-2</v>
      </c>
      <c r="AJ109" s="72">
        <f t="shared" si="34"/>
        <v>51.780301110145544</v>
      </c>
      <c r="AK109" s="74">
        <f>Table2[[#This Row],[Annual benefit payments (closed scheme)]]/((1+AJ108)*(1+Table2[[#This Row],[Discount rate C]])^0.5)+AK108</f>
        <v>52.353351341450846</v>
      </c>
      <c r="AL109" s="74">
        <f>AL108*(1+Table2[Discount rate C])</f>
        <v>3166.8180666087324</v>
      </c>
      <c r="AM109" s="74">
        <f>Table2[[#This Row],[Asset growth C]]/(1+Table2[Compounded CPI])</f>
        <v>451.4352854309393</v>
      </c>
      <c r="AN109" s="74">
        <f>(AN108*((1+Table2[Discount rate C])^0.5)-Table2[Annual benefit payments (closed scheme)])*(1+Table2[Discount rate C])^0.5</f>
        <v>403.59241868171193</v>
      </c>
      <c r="AO109" s="74">
        <f>Table2[[#This Row],[Asset growth C with benefit payments deducted]]/(1+Table2[Compounded CPI])</f>
        <v>57.532783662703693</v>
      </c>
      <c r="AP109" s="78">
        <f>Table2[[#This Row],[Asset growth C with benefit payments deducted]]/(1+Table2[Compounded discount rate C])</f>
        <v>7.6466486585490987</v>
      </c>
      <c r="AQ109" s="75">
        <f>Table2[CPI]+2.56%</f>
        <v>5.33E-2</v>
      </c>
      <c r="AR109" s="72">
        <f t="shared" si="35"/>
        <v>48.405904673759402</v>
      </c>
      <c r="AS109" s="74">
        <f>Table2[[#This Row],[Annual benefit payments (closed scheme)]]/((1+AR108)*(1+Table2[[#This Row],[Discount rate D]])^0.5)+AS108</f>
        <v>54.852838205726535</v>
      </c>
      <c r="AT109" s="71">
        <f>AT108*(1+Table2[Discount rate D])</f>
        <v>2964.3542804255626</v>
      </c>
      <c r="AU109" s="74">
        <f>Table2[[#This Row],[Asset growth D]]/(1+Table2[Compounded CPI])</f>
        <v>422.57372938869241</v>
      </c>
      <c r="AV109" s="74">
        <f>(AV108*((1+Table2[Discount rate D])^0.5)-Table2[Annual benefit payments (closed scheme)])*(1+Table2[Discount rate D])^0.5</f>
        <v>254.30018494829008</v>
      </c>
      <c r="AW109" s="74">
        <f>Table2[[#This Row],[Asset growth D with benefit payments deducted]]/(1+Table2[Compounded CPI])</f>
        <v>36.250922586218714</v>
      </c>
      <c r="AX109" s="78">
        <f>Table2[[#This Row],[Asset growth D with benefit payments deducted]]/(1+Table2[Compounded discount rate D])</f>
        <v>5.1471617942734422</v>
      </c>
      <c r="AY109" s="75">
        <f>Table2[CPI]+4%</f>
        <v>6.7699999999999996E-2</v>
      </c>
      <c r="AZ109" s="72">
        <f t="shared" si="36"/>
        <v>136.03867254656504</v>
      </c>
      <c r="BA109" s="74">
        <f>Table2[[#This Row],[Annual benefit payments (closed scheme)]]/((1+AZ108)*(1+Table2[[#This Row],[Discount rate E]])^0.5)+BA108</f>
        <v>48.297550086745495</v>
      </c>
      <c r="BB109" s="17">
        <f>BB108*(1+Table2[Discount rate E])</f>
        <v>8222.3203527939168</v>
      </c>
      <c r="BC109" s="71">
        <f>Table2[[#This Row],[Asset growth E]]/(1+Table2[Compounded CPI])</f>
        <v>1172.1057090415893</v>
      </c>
      <c r="BD109" s="74">
        <f>(BD108*((1+Table2[Discount rate E])^0.5)-Table2[Annual benefit payments (closed scheme)])*(1+Table2[Discount rate E])^0.5</f>
        <v>1603.6882016550601</v>
      </c>
      <c r="BE109" s="74">
        <f>Table2[[#This Row],[Asset growth E with benefit payments deducted]]/(1+Table2[Compounded CPI])</f>
        <v>228.60847255164686</v>
      </c>
      <c r="BF109" s="78">
        <f>Table2[[#This Row],[Asset growth E with benefit payments deducted]]/(1+Table2[Compounded discount rate E])</f>
        <v>11.702449913254487</v>
      </c>
      <c r="BG109" s="75">
        <f>Table2[[#This Row],[Long-dated forward gilt yields]]+0.75%</f>
        <v>2.5600000000000001E-2</v>
      </c>
      <c r="BH109" s="75">
        <f t="shared" si="37"/>
        <v>6.4716091671784346</v>
      </c>
      <c r="BI109" s="17">
        <f>((Table2[[#This Row],[Annual benefit payments (closed scheme)]])*1.005^(Table2[[#This Row],[Year]]-2018))/((1+BH108)*(1+Table2[[#This Row],[Discount rate F]])^0.5)+BI108</f>
        <v>82.342458012971093</v>
      </c>
      <c r="BJ109" s="74">
        <f>BJ108*(1+Table2[Discount rate F])</f>
        <v>615.23841103576899</v>
      </c>
      <c r="BK109" s="74">
        <f>Table2[[#This Row],[Asset growth F, under the assumption of full-funding at Year 0]]/(1+Table2[[#This Row],[Compounded CPI]])</f>
        <v>87.703278765058712</v>
      </c>
      <c r="BL109" s="74">
        <f>(BL108*((1+Table2[Discount rate F])^0.5)-Table2[Annual benefit payments (closed scheme)]*1.005^(Table2[Year]-2018))*(1+Table2[Discount rate F])^0.5</f>
        <v>7.7468980488672734E-3</v>
      </c>
      <c r="BM109" s="74">
        <f>Table2[[#This Row],[Asset growth F with benefit payments deducted]]/(1+Table2[Compounded CPI])</f>
        <v>1.1043334534338674E-3</v>
      </c>
      <c r="BN109" s="78">
        <f>Table2[[#This Row],[Asset growth F with benefit payments deducted]]/(1+Table2[Compounded discount rate F])</f>
        <v>1.0368446576271867E-3</v>
      </c>
      <c r="BO109" s="18">
        <f>(1+BO108)*(1+Table2[Discount rate A2])-1</f>
        <v>11.958121164236903</v>
      </c>
      <c r="BP109" s="74">
        <f>Table2[[#This Row],[Annual benefit payments (ongoing scheme)]]/((1+BO108)*(1+Table2[[#This Row],[Discount rate A2]])^0.5)+BP108</f>
        <v>112.35460118582843</v>
      </c>
      <c r="BQ109" s="74">
        <f>(BQ108*((1+Table2[Discount rate A2])^0.5)-Table2[Annual benefit payments (ongoing scheme)])*(1+Table2[Discount rate A2])^0.5</f>
        <v>2.00296270331491</v>
      </c>
      <c r="BR109" s="18">
        <f>(1+BR108)*(1+Table2[Discount rate B])-1</f>
        <v>24.674391774328107</v>
      </c>
      <c r="BS109" s="74">
        <f>Table2[[#This Row],[Annual benefit payments (ongoing scheme)]]/((1+BR108)*(1+Table2[[#This Row],[Discount rate B]])^0.5)+BS108</f>
        <v>93.437520774907384</v>
      </c>
      <c r="BT109" s="18">
        <f>(1+BT108)*(1+Table2[Discount rate E])-1</f>
        <v>52.694633801398055</v>
      </c>
      <c r="BU109" s="74">
        <f>Table2[[#This Row],[Annual benefit payments (ongoing scheme)]]/((1+BT108)*(1+Table2[[#This Row],[Discount rate E]])^0.5)+BU108</f>
        <v>78.105019751431129</v>
      </c>
      <c r="BV109" s="18">
        <f>Table2[CPI]+0.75%+0.75%</f>
        <v>4.2699999999999995E-2</v>
      </c>
      <c r="BW109" s="18">
        <f>(1+BW108)*(1+Table2[Self-sufficiency discount rate, from 2037])-1</f>
        <v>10.434374288983905</v>
      </c>
      <c r="BX109" s="17">
        <f>(Table2[[#This Row],[Annual benefit payments (ongoing scheme)]]*1.005^(Table2[[#This Row],[Year]]-2038))/((1+BW108)*(1+Table2[[#This Row],[Self-sufficiency discount rate, from 2037]])^0.5)+BX108</f>
        <v>127.80331589164223</v>
      </c>
      <c r="BY109" s="74">
        <f>(BY108*((1+Table2[Self-sufficiency discount rate, from 2037])^0.5)-Table2[Annual benefit payments (ongoing scheme)]*1.005^(Table2[Year]-2038))*(1+Table2[Self-sufficiency discount rate, from 2037])^0.5</f>
        <v>2.8266409184577048</v>
      </c>
      <c r="BZ109" s="74">
        <f>(BZ108*((1+Table2[Discount rate B])^0.5)-Table2[Annual benefit payments (ongoing scheme)])*(1+Table2[Discount rate B])^0.5</f>
        <v>1.9364016821157723</v>
      </c>
      <c r="CA109" s="74">
        <f>(CA108*((1+Table2[Discount rate A2])^0.5)+Table2[Net cashflow (ongoing scheme)])*(1+Table2[Discount rate A2])^0.5</f>
        <v>-2.2857252305175368</v>
      </c>
      <c r="CB109" s="74">
        <f>Table2[[#This Row],[Asset growth, ongoing scheme, with November de-risking, net of contributions and payments]]/(1+Table2[Compounded discount rate A2])</f>
        <v>-9.9204497152304352E-2</v>
      </c>
      <c r="CC109" s="74">
        <f>Table2[[#This Row],[Asset growth, ongoing scheme, with November de-risking, net of contributions and payments]]/(1+Table2[Compounded CPI])</f>
        <v>-0.32583400755963671</v>
      </c>
      <c r="CD109" s="74">
        <f>(CD108*((1+Table2[Discount rate A1])^0.5)+Table2[Net cashflow (ongoing scheme)])*(1+Table2[Discount rate A1])^0.5</f>
        <v>72.127879908124115</v>
      </c>
      <c r="CE109" s="74">
        <f>Table2[[#This Row],[Asset growth, ongoing scheme, with September de-risking, net of contributions and payments]]/(1+Table2[Compounded discount rate A1])</f>
        <v>2.9733469645638402</v>
      </c>
      <c r="CF109" s="74">
        <f>Table2[[#This Row],[Asset growth, ongoing scheme, with September de-risking, net of contributions and payments]]/(1+Table2[Compounded CPI])</f>
        <v>10.281951589571854</v>
      </c>
      <c r="CG109" s="74">
        <f>(CG108*((1+Table2[Discount rate B])^0.5)+Table2[Net cashflow (ongoing scheme)])*(1+Table2[Discount rate B])^0.5</f>
        <v>773.00878711715109</v>
      </c>
      <c r="CH109" s="74">
        <f>Table2[[#This Row],[Asset growth, ongoing scheme, no de-risking, net of contributions and payments]]/(1+Table2[Compounded discount rate B])</f>
        <v>15.344243706222597</v>
      </c>
      <c r="CI109" s="74">
        <f>Table2[[#This Row],[Asset growth, ongoing scheme, no de-risking, net of contributions and payments]]/(1+Table2[Compounded CPI])</f>
        <v>110.19371340979865</v>
      </c>
      <c r="CJ109" s="74">
        <f>(CJ108*((1+Table2[Discount rate E])^0.5)+Table2[Net cashflow (ongoing scheme)])*(1+Table2[Discount rate E])^0.5</f>
        <v>4378.2444065762111</v>
      </c>
      <c r="CK109" s="74">
        <f>Table2[[#This Row],[Asset growth, ongoing scheme, best-estimates, no de-risking, net of contributions and payments ]]/(1+Table2[Compounded discount rate E])</f>
        <v>31.948969770474871</v>
      </c>
      <c r="CL109" s="74">
        <f>Table2[[#This Row],[Asset growth, ongoing scheme, best-estimates, no de-risking, net of contributions and payments ]]/(1+Table2[Compounded CPI])</f>
        <v>624.1261644328448</v>
      </c>
      <c r="CM109" s="73">
        <f t="shared" si="24"/>
        <v>2.7699999999999999E-2</v>
      </c>
      <c r="CN109" s="75">
        <f>(1+Table2[[#This Row],[CPI]])*(1+CN108)-1</f>
        <v>6.0149989795008905</v>
      </c>
      <c r="CO109" s="11">
        <f t="shared" si="23"/>
        <v>1.8100000000000002E-2</v>
      </c>
      <c r="CP109" s="75">
        <f>Table2[[#This Row],[CPI]]+2%</f>
        <v>4.7699999999999999E-2</v>
      </c>
      <c r="CQ109" s="76">
        <f>(1+Table2[[#This Row],[Salary growth]])*(1+CQ108)-1</f>
        <v>34.321096487545852</v>
      </c>
      <c r="CR109" s="77">
        <f t="shared" si="25"/>
        <v>70.149989795008864</v>
      </c>
      <c r="CS109" s="74">
        <f t="shared" si="26"/>
        <v>91.194986733511556</v>
      </c>
      <c r="CT109" s="74">
        <f>CT108*(1+Table2[[#This Row],[Salary growth]])</f>
        <v>353.21096487545856</v>
      </c>
      <c r="CU109" s="78">
        <f t="shared" si="38"/>
        <v>459.17425433809603</v>
      </c>
      <c r="CV109" s="116">
        <f>('Cash flows as at 31032017'!B94)/1000000000</f>
        <v>1.0776749999999999E-3</v>
      </c>
      <c r="CW109" s="117">
        <v>0</v>
      </c>
      <c r="CX109" s="117">
        <f>Table2[[#This Row],[Annual contributions (closed scheme)]]-Table2[[#This Row],[Annual benefit payments (closed scheme)]]</f>
        <v>-1.0776749999999999E-3</v>
      </c>
      <c r="CY109" s="117">
        <v>0.5</v>
      </c>
      <c r="CZ109" s="117">
        <v>0</v>
      </c>
      <c r="DA109" s="117">
        <v>-0.5</v>
      </c>
    </row>
    <row r="110" spans="1:181" x14ac:dyDescent="0.2">
      <c r="A110" s="7">
        <v>2103</v>
      </c>
      <c r="E110" s="6">
        <v>6.0999999999999999E-2</v>
      </c>
      <c r="F110" s="1">
        <f>F109*(1+Table2[[#This Row],[2008 discount rate]])</f>
        <v>9345.5116119421709</v>
      </c>
      <c r="G110" s="1">
        <v>12.061</v>
      </c>
      <c r="H110">
        <f>H109*(1+Table2[[#This Row],[2011 discount rate]])</f>
        <v>26813013628491.875</v>
      </c>
      <c r="I110" s="1">
        <v>12.052</v>
      </c>
      <c r="J110" s="1">
        <f>J109*(1+Table2[[#This Row],[2014 discount rate]])</f>
        <v>14404923503588.801</v>
      </c>
      <c r="K110" s="9">
        <f>Table2[CPI]+1.7%</f>
        <v>4.4700000000000004E-2</v>
      </c>
      <c r="L110" s="108">
        <f t="shared" si="21"/>
        <v>24.342483416183025</v>
      </c>
      <c r="M110" s="17">
        <f>Table2[[#This Row],[Annual benefit payments (closed scheme)]]/((1+L109)*(1+Table2[[#This Row],[Discount rate A1]])^0.5)+M109</f>
        <v>64.922415461489805</v>
      </c>
      <c r="N110" s="74">
        <f>N109*(1+Table2[Discount rate A1])</f>
        <v>1645.2991210254754</v>
      </c>
      <c r="O110" s="74">
        <f>Table2[[#This Row],[Asset growth A1, under the assumption of full-funding at Year 0]]/(1+Table2[[#This Row],[Compounded CPI]])</f>
        <v>228.21852648472935</v>
      </c>
      <c r="P110" s="74">
        <f>(P109*((1+Table2[Discount rate A1])^0.5)-Table2[Annual benefit payments (closed scheme)])*(1+Table2[Discount rate A1])^0.5</f>
        <v>3.8838541236453717E-3</v>
      </c>
      <c r="Q110" s="74">
        <f>Table2[[#This Row],[Asset growth A1 with benefit payments deducted]]/(1+Table2[Compounded CPI])</f>
        <v>5.3872724652495715E-4</v>
      </c>
      <c r="R110" s="74">
        <f>Table2[[#This Row],[Asset growth A1 with benefit payments deducted]]/(1+Table2[Compounded discount rate A1])</f>
        <v>1.5325467752561484E-4</v>
      </c>
      <c r="S110" s="73">
        <f>Table2[CPI]+1.7%</f>
        <v>4.4700000000000004E-2</v>
      </c>
      <c r="T110" s="72">
        <f t="shared" si="32"/>
        <v>23.07045261925612</v>
      </c>
      <c r="U110" s="17">
        <f>Table2[[#This Row],[Annual benefit payments (closed scheme)]]/((1+T109)*(1+Table2[[#This Row],[Discount rate A2]])^0.5)+U109</f>
        <v>67.511144679313219</v>
      </c>
      <c r="V110" s="74">
        <f>V109*(1+Table2[Discount rate A2])</f>
        <v>1625.0276931292756</v>
      </c>
      <c r="W110" s="74">
        <f>Table2[[#This Row],[Asset growth A2, under the assumption of full-funding at Year 0]]/(1+Table2[Compounded CPI])</f>
        <v>225.40668798977612</v>
      </c>
      <c r="X110" s="74">
        <f>(X109*((1+Table2[Discount rate A2])^0.5)-Table2[Annual benefit payments (closed scheme)])*(1+Table2[Discount rate A2])^0.5</f>
        <v>3.8838541241222042E-3</v>
      </c>
      <c r="Y110" s="74">
        <f>Table2[[#This Row],[Asset growth A2 with benefit payments deducted]]/(1+Table2[[#This Row],[Compounded CPI]])</f>
        <v>5.3872724659109836E-4</v>
      </c>
      <c r="Z110" s="78">
        <f>Table2[[#This Row],[Asset growth A2 with benefit payments deducted]]/(1+Table2[Compounded discount rate A2])</f>
        <v>1.6135359752292983E-4</v>
      </c>
      <c r="AA110" s="109">
        <f>Table2[CPI]+2.8%</f>
        <v>5.57E-2</v>
      </c>
      <c r="AB110" s="72">
        <f t="shared" si="33"/>
        <v>52.183812261052331</v>
      </c>
      <c r="AC110" s="74">
        <f>Table2[[#This Row],[Annual benefit payments (closed scheme)]]/((1+AB109)*(1+Table2[[#This Row],[Discount rate B]])^0.5)+AC109</f>
        <v>60.42682851901958</v>
      </c>
      <c r="AD110" s="110">
        <f>AD109*(1+Table2[Discount rate B])</f>
        <v>3191.0287356631388</v>
      </c>
      <c r="AE110" s="71">
        <f>Table2[[#This Row],[Asset growth B]]/(1+Table2[Compounded CPI])</f>
        <v>442.62582208733488</v>
      </c>
      <c r="AF110" s="74">
        <f>(AF109*((1+Table2[Discount rate B])^0.5)-Table2[Annual benefit payments (closed scheme)])*(1+Table2[Discount rate B])^0.5</f>
        <v>-22.700367823200153</v>
      </c>
      <c r="AG110" s="74">
        <f>Table2[[#This Row],[Asset growth B with benefit payments deducted]]/(1+Table2[Compounded CPI])</f>
        <v>-3.1487554020226614</v>
      </c>
      <c r="AH110" s="78">
        <f>Table2[[#This Row],[Asset growth B with benefit payments deducted]]/(1+Table2[Compounded discount rate B])</f>
        <v>-0.42682851901957636</v>
      </c>
      <c r="AI110" s="75">
        <f>Table2[CPI]+2.56%</f>
        <v>5.33E-2</v>
      </c>
      <c r="AJ110" s="72">
        <f t="shared" si="34"/>
        <v>54.593491159316294</v>
      </c>
      <c r="AK110" s="74">
        <f>Table2[[#This Row],[Annual benefit payments (closed scheme)]]/((1+AJ109)*(1+Table2[[#This Row],[Discount rate C]])^0.5)+AK109</f>
        <v>52.353367711809298</v>
      </c>
      <c r="AL110" s="74">
        <f>AL109*(1+Table2[Discount rate C])</f>
        <v>3335.6094695589773</v>
      </c>
      <c r="AM110" s="74">
        <f>Table2[[#This Row],[Asset growth C]]/(1+Table2[Compounded CPI])</f>
        <v>462.68053531615089</v>
      </c>
      <c r="AN110" s="74">
        <f>(AN109*((1+Table2[Discount rate C])^0.5)-Table2[Annual benefit payments (closed scheme)])*(1+Table2[Discount rate C])^0.5</f>
        <v>425.10298451206904</v>
      </c>
      <c r="AO110" s="74">
        <f>Table2[[#This Row],[Asset growth C with benefit payments deducted]]/(1+Table2[Compounded CPI])</f>
        <v>58.965798674430182</v>
      </c>
      <c r="AP110" s="78">
        <f>Table2[[#This Row],[Asset growth C with benefit payments deducted]]/(1+Table2[Compounded discount rate C])</f>
        <v>7.6466322881906432</v>
      </c>
      <c r="AQ110" s="75">
        <f>Table2[CPI]+2.56%</f>
        <v>5.33E-2</v>
      </c>
      <c r="AR110" s="72">
        <f t="shared" si="35"/>
        <v>51.039239392870776</v>
      </c>
      <c r="AS110" s="74">
        <f>Table2[[#This Row],[Annual benefit payments (closed scheme)]]/((1+AR109)*(1+Table2[[#This Row],[Discount rate D]])^0.5)+AS109</f>
        <v>54.852855694171573</v>
      </c>
      <c r="AT110" s="71">
        <f>AT109*(1+Table2[Discount rate D])</f>
        <v>3122.3543635722449</v>
      </c>
      <c r="AU110" s="74">
        <f>Table2[[#This Row],[Asset growth D]]/(1+Table2[Compounded CPI])</f>
        <v>433.10003810947717</v>
      </c>
      <c r="AV110" s="74">
        <f>(AV109*((1+Table2[Discount rate D])^0.5)-Table2[Annual benefit payments (closed scheme)])*(1+Table2[Discount rate D])^0.5</f>
        <v>267.85347472065581</v>
      </c>
      <c r="AW110" s="74">
        <f>Table2[[#This Row],[Asset growth D with benefit payments deducted]]/(1+Table2[Compounded CPI])</f>
        <v>37.153806583487665</v>
      </c>
      <c r="AX110" s="78">
        <f>Table2[[#This Row],[Asset growth D with benefit payments deducted]]/(1+Table2[Compounded discount rate D])</f>
        <v>5.1471443058284008</v>
      </c>
      <c r="AY110" s="75">
        <f>Table2[CPI]+4%</f>
        <v>6.7699999999999996E-2</v>
      </c>
      <c r="AZ110" s="72">
        <f t="shared" si="36"/>
        <v>145.31619067796751</v>
      </c>
      <c r="BA110" s="74">
        <f>Table2[[#This Row],[Annual benefit payments (closed scheme)]]/((1+AZ109)*(1+Table2[[#This Row],[Discount rate E]])^0.5)+BA109</f>
        <v>48.297556349109826</v>
      </c>
      <c r="BB110" s="17">
        <f>BB109*(1+Table2[Discount rate E])</f>
        <v>8778.9714406780658</v>
      </c>
      <c r="BC110" s="71">
        <f>Table2[[#This Row],[Asset growth E]]/(1+Table2[Compounded CPI])</f>
        <v>1217.7262484613263</v>
      </c>
      <c r="BD110" s="74">
        <f>(BD109*((1+Table2[Discount rate E])^0.5)-Table2[Annual benefit payments (closed scheme)])*(1+Table2[Discount rate E])^0.5</f>
        <v>1712.2569766218141</v>
      </c>
      <c r="BE110" s="74">
        <f>Table2[[#This Row],[Asset growth E with benefit payments deducted]]/(1+Table2[Compounded CPI])</f>
        <v>237.5062134138085</v>
      </c>
      <c r="BF110" s="78">
        <f>Table2[[#This Row],[Asset growth E with benefit payments deducted]]/(1+Table2[Compounded discount rate E])</f>
        <v>11.702443650890155</v>
      </c>
      <c r="BG110" s="75">
        <f>Table2[[#This Row],[Long-dated forward gilt yields]]+0.75%</f>
        <v>2.5600000000000001E-2</v>
      </c>
      <c r="BH110" s="75">
        <f t="shared" si="37"/>
        <v>6.6628823618582027</v>
      </c>
      <c r="BI110" s="17">
        <f>((Table2[[#This Row],[Annual benefit payments (closed scheme)]])*1.005^(Table2[[#This Row],[Year]]-2018))/((1+BH109)*(1+Table2[[#This Row],[Discount rate F]])^0.5)+BI109</f>
        <v>82.342637081057106</v>
      </c>
      <c r="BJ110" s="74">
        <f>BJ109*(1+Table2[Discount rate F])</f>
        <v>630.98851435828476</v>
      </c>
      <c r="BK110" s="74">
        <f>Table2[[#This Row],[Asset growth F, under the assumption of full-funding at Year 0]]/(1+Table2[[#This Row],[Compounded CPI]])</f>
        <v>87.524066071270042</v>
      </c>
      <c r="BL110" s="74">
        <f>(BL109*((1+Table2[Discount rate F])^0.5)-Table2[Annual benefit payments (closed scheme)]*1.005^(Table2[Year]-2018))*(1+Table2[Discount rate F])^0.5</f>
        <v>6.5730409610010301E-3</v>
      </c>
      <c r="BM110" s="74">
        <f>Table2[[#This Row],[Asset growth F with benefit payments deducted]]/(1+Table2[Compounded CPI])</f>
        <v>9.1174285786310672E-4</v>
      </c>
      <c r="BN110" s="78">
        <f>Table2[[#This Row],[Asset growth F with benefit payments deducted]]/(1+Table2[Compounded discount rate F])</f>
        <v>8.577765716094208E-4</v>
      </c>
      <c r="BO110" s="18">
        <f>(1+BO109)*(1+Table2[Discount rate A2])-1</f>
        <v>12.537349180278293</v>
      </c>
      <c r="BP110" s="74">
        <f>Table2[[#This Row],[Annual benefit payments (ongoing scheme)]]/((1+BO109)*(1+Table2[[#This Row],[Discount rate A2]])^0.5)+BP109</f>
        <v>112.39084245543852</v>
      </c>
      <c r="BQ110" s="74">
        <f>(BQ109*((1+Table2[Discount rate A2])^0.5)-Table2[Annual benefit payments (ongoing scheme)])*(1+Table2[Discount rate A2])^0.5</f>
        <v>1.6018844147048084</v>
      </c>
      <c r="BR110" s="18">
        <f>(1+BR109)*(1+Table2[Discount rate B])-1</f>
        <v>26.104455396158183</v>
      </c>
      <c r="BS110" s="74">
        <f>Table2[[#This Row],[Annual benefit payments (ongoing scheme)]]/((1+BR109)*(1+Table2[[#This Row],[Discount rate B]])^0.5)+BS109</f>
        <v>93.455716560579162</v>
      </c>
      <c r="BT110" s="18">
        <f>(1+BT109)*(1+Table2[Discount rate E])-1</f>
        <v>56.32976050975271</v>
      </c>
      <c r="BU110" s="74">
        <f>Table2[[#This Row],[Annual benefit payments (ongoing scheme)]]/((1+BT109)*(1+Table2[[#This Row],[Discount rate E]])^0.5)+BU109</f>
        <v>78.113671138263115</v>
      </c>
      <c r="BV110" s="18">
        <f>Table2[CPI]+0.75%+0.75%</f>
        <v>4.2699999999999995E-2</v>
      </c>
      <c r="BW110" s="18">
        <f>(1+BW109)*(1+Table2[Self-sufficiency discount rate, from 2037])-1</f>
        <v>10.922622071123518</v>
      </c>
      <c r="BX110" s="17">
        <f>(Table2[[#This Row],[Annual benefit payments (ongoing scheme)]]*1.005^(Table2[[#This Row],[Year]]-2038))/((1+BW109)*(1+Table2[[#This Row],[Self-sufficiency discount rate, from 2037]])^0.5)+BX109</f>
        <v>127.86016755302094</v>
      </c>
      <c r="BY110" s="74">
        <f>(BY109*((1+Table2[Self-sufficiency discount rate, from 2037])^0.5)-Table2[Annual benefit payments (ongoing scheme)]*1.005^(Table2[Year]-2038))*(1+Table2[Self-sufficiency discount rate, from 2037])^0.5</f>
        <v>2.2695176129418555</v>
      </c>
      <c r="BZ110" s="74">
        <f>(BZ109*((1+Table2[Discount rate B])^0.5)-Table2[Annual benefit payments (ongoing scheme)])*(1+Table2[Discount rate B])^0.5</f>
        <v>1.5510723946707619</v>
      </c>
      <c r="CA110" s="74">
        <f>(CA109*((1+Table2[Discount rate A2])^0.5)+Table2[Net cashflow (ongoing scheme)])*(1+Table2[Discount rate A2])^0.5</f>
        <v>-2.8785078697699489</v>
      </c>
      <c r="CB110" s="74">
        <f>Table2[[#This Row],[Asset growth, ongoing scheme, with November de-risking, net of contributions and payments]]/(1+Table2[Compounded discount rate A2])</f>
        <v>-0.11958677783512768</v>
      </c>
      <c r="CC110" s="74">
        <f>Table2[[#This Row],[Asset growth, ongoing scheme, with November de-risking, net of contributions and payments]]/(1+Table2[Compounded CPI])</f>
        <v>-0.39927622650411859</v>
      </c>
      <c r="CD110" s="74">
        <f>(CD109*((1+Table2[Discount rate A1])^0.5)+Table2[Net cashflow (ongoing scheme)])*(1+Table2[Discount rate A1])^0.5</f>
        <v>74.861385418568972</v>
      </c>
      <c r="CE110" s="74">
        <f>Table2[[#This Row],[Asset growth, ongoing scheme, with September de-risking, net of contributions and payments]]/(1+Table2[Compounded discount rate A1])</f>
        <v>2.9539877441831339</v>
      </c>
      <c r="CF110" s="74">
        <f>Table2[[#This Row],[Asset growth, ongoing scheme, with September de-risking, net of contributions and payments]]/(1+Table2[Compounded CPI])</f>
        <v>10.383981157288103</v>
      </c>
      <c r="CG110" s="74">
        <f>(CG109*((1+Table2[Discount rate B])^0.5)+Table2[Net cashflow (ongoing scheme)])*(1+Table2[Discount rate B])^0.5</f>
        <v>815.57218969843734</v>
      </c>
      <c r="CH110" s="74">
        <f>Table2[[#This Row],[Asset growth, ongoing scheme, no de-risking, net of contributions and payments]]/(1+Table2[Compounded discount rate B])</f>
        <v>15.334970454829518</v>
      </c>
      <c r="CI110" s="74">
        <f>Table2[[#This Row],[Asset growth, ongoing scheme, no de-risking, net of contributions and payments]]/(1+Table2[Compounded CPI])</f>
        <v>113.12756507089848</v>
      </c>
      <c r="CJ110" s="74">
        <f>(CJ109*((1+Table2[Discount rate E])^0.5)+Table2[Net cashflow (ongoing scheme)])*(1+Table2[Discount rate E])^0.5</f>
        <v>4674.1555709662662</v>
      </c>
      <c r="CK110" s="74">
        <f>Table2[[#This Row],[Asset growth, ongoing scheme, best-estimates, no de-risking, net of contributions and payments ]]/(1+Table2[Compounded discount rate E])</f>
        <v>31.945579975177051</v>
      </c>
      <c r="CL110" s="74">
        <f>Table2[[#This Row],[Asset growth, ongoing scheme, best-estimates, no de-risking, net of contributions and payments ]]/(1+Table2[Compounded CPI])</f>
        <v>648.34952096822587</v>
      </c>
      <c r="CM110" s="73">
        <f t="shared" si="24"/>
        <v>2.7699999999999999E-2</v>
      </c>
      <c r="CN110" s="75">
        <f>(1+Table2[[#This Row],[CPI]])*(1+CN109)-1</f>
        <v>6.2093144512330651</v>
      </c>
      <c r="CO110" s="11">
        <f t="shared" si="23"/>
        <v>1.8100000000000002E-2</v>
      </c>
      <c r="CP110" s="75">
        <f>Table2[[#This Row],[CPI]]+2%</f>
        <v>4.7699999999999999E-2</v>
      </c>
      <c r="CQ110" s="76">
        <f>(1+Table2[[#This Row],[Salary growth]])*(1+CQ109)-1</f>
        <v>36.005912790001794</v>
      </c>
      <c r="CR110" s="77">
        <f t="shared" si="25"/>
        <v>72.09314451233061</v>
      </c>
      <c r="CS110" s="74">
        <f t="shared" si="26"/>
        <v>93.721087866029833</v>
      </c>
      <c r="CT110" s="74">
        <f>CT109*(1+Table2[[#This Row],[Salary growth]])</f>
        <v>370.05912790001798</v>
      </c>
      <c r="CU110" s="78">
        <f t="shared" si="38"/>
        <v>481.07686627002323</v>
      </c>
      <c r="CV110" s="116">
        <f>('Cash flows as at 31032017'!B95)/1000000000</f>
        <v>8.8676E-4</v>
      </c>
      <c r="CW110" s="117">
        <v>0</v>
      </c>
      <c r="CX110" s="117">
        <f>Table2[[#This Row],[Annual contributions (closed scheme)]]-Table2[[#This Row],[Annual benefit payments (closed scheme)]]</f>
        <v>-8.8676E-4</v>
      </c>
      <c r="CY110" s="117">
        <v>0.48</v>
      </c>
      <c r="CZ110" s="117">
        <v>0</v>
      </c>
      <c r="DA110" s="117">
        <v>-0.48</v>
      </c>
    </row>
    <row r="111" spans="1:181" x14ac:dyDescent="0.2">
      <c r="A111" s="7">
        <v>2104</v>
      </c>
      <c r="E111" s="6">
        <v>6.0999999999999999E-2</v>
      </c>
      <c r="F111" s="1">
        <f>F110*(1+Table2[[#This Row],[2008 discount rate]])</f>
        <v>9915.5878202706426</v>
      </c>
      <c r="G111" s="1">
        <v>13.061</v>
      </c>
      <c r="H111">
        <f>H110*(1+Table2[[#This Row],[2011 discount rate]])</f>
        <v>377017784630224.25</v>
      </c>
      <c r="I111" s="1">
        <v>13.052</v>
      </c>
      <c r="J111" s="1">
        <f>J110*(1+Table2[[#This Row],[2014 discount rate]])</f>
        <v>202417985072429.81</v>
      </c>
      <c r="K111" s="9">
        <f>Table2[CPI]+1.7%</f>
        <v>4.4700000000000004E-2</v>
      </c>
      <c r="L111" s="108">
        <f t="shared" si="21"/>
        <v>25.475292424886405</v>
      </c>
      <c r="M111" s="17">
        <f>Table2[[#This Row],[Annual benefit payments (closed scheme)]]/((1+L110)*(1+Table2[[#This Row],[Discount rate A1]])^0.5)+M110</f>
        <v>64.922444286095569</v>
      </c>
      <c r="N111" s="74">
        <f>N110*(1+Table2[Discount rate A1])</f>
        <v>1718.8439917353141</v>
      </c>
      <c r="O111" s="74">
        <f>Table2[[#This Row],[Asset growth A1, under the assumption of full-funding at Year 0]]/(1+Table2[[#This Row],[Compounded CPI]])</f>
        <v>231.99366996068576</v>
      </c>
      <c r="P111" s="74">
        <f>(P110*((1+Table2[Discount rate A1])^0.5)-Table2[Annual benefit payments (closed scheme)])*(1+Table2[Discount rate A1])^0.5</f>
        <v>3.294322536287871E-3</v>
      </c>
      <c r="Q111" s="74">
        <f>Table2[[#This Row],[Asset growth A1 with benefit payments deducted]]/(1+Table2[Compounded CPI])</f>
        <v>4.4463719738522189E-4</v>
      </c>
      <c r="R111" s="74">
        <f>Table2[[#This Row],[Asset growth A1 with benefit payments deducted]]/(1+Table2[Compounded discount rate A1])</f>
        <v>1.2443007175970807E-4</v>
      </c>
      <c r="S111" s="73">
        <f>Table2[CPI]+1.7%</f>
        <v>4.4700000000000004E-2</v>
      </c>
      <c r="T111" s="72">
        <f t="shared" si="32"/>
        <v>24.146401851336869</v>
      </c>
      <c r="U111" s="17">
        <f>Table2[[#This Row],[Annual benefit payments (closed scheme)]]/((1+T110)*(1+Table2[[#This Row],[Discount rate A2]])^0.5)+U110</f>
        <v>67.511175027188486</v>
      </c>
      <c r="V111" s="74">
        <f>V110*(1+Table2[Discount rate A2])</f>
        <v>1697.6664310121541</v>
      </c>
      <c r="W111" s="74">
        <f>Table2[[#This Row],[Asset growth A2, under the assumption of full-funding at Year 0]]/(1+Table2[Compounded CPI])</f>
        <v>229.13531861722205</v>
      </c>
      <c r="X111" s="74">
        <f>(X110*((1+Table2[Discount rate A2])^0.5)-Table2[Annual benefit payments (closed scheme)])*(1+Table2[Discount rate A2])^0.5</f>
        <v>3.2943225367860185E-3</v>
      </c>
      <c r="Y111" s="74">
        <f>Table2[[#This Row],[Asset growth A2 with benefit payments deducted]]/(1+Table2[[#This Row],[Compounded CPI]])</f>
        <v>4.4463719745245728E-4</v>
      </c>
      <c r="Z111" s="78">
        <f>Table2[[#This Row],[Asset growth A2 with benefit payments deducted]]/(1+Table2[Compounded discount rate A2])</f>
        <v>1.3100572226045458E-4</v>
      </c>
      <c r="AA111" s="109">
        <f>Table2[CPI]+2.8%</f>
        <v>5.57E-2</v>
      </c>
      <c r="AB111" s="72">
        <f t="shared" si="33"/>
        <v>55.14615060399295</v>
      </c>
      <c r="AC111" s="74">
        <f>Table2[[#This Row],[Annual benefit payments (closed scheme)]]/((1+AB110)*(1+Table2[[#This Row],[Discount rate B]])^0.5)+AC110</f>
        <v>60.426842182414433</v>
      </c>
      <c r="AD111" s="110">
        <f>AD110*(1+Table2[Discount rate B])</f>
        <v>3368.7690362395761</v>
      </c>
      <c r="AE111" s="71">
        <f>Table2[[#This Row],[Asset growth B]]/(1+Table2[Compounded CPI])</f>
        <v>454.68529763316093</v>
      </c>
      <c r="AF111" s="74">
        <f>(AF110*((1+Table2[Discount rate B])^0.5)-Table2[Annual benefit payments (closed scheme)])*(1+Table2[Discount rate B])^0.5</f>
        <v>-23.965545457977534</v>
      </c>
      <c r="AG111" s="74">
        <f>Table2[[#This Row],[Asset growth B with benefit payments deducted]]/(1+Table2[Compounded CPI])</f>
        <v>-3.2346477458915408</v>
      </c>
      <c r="AH111" s="78">
        <f>Table2[[#This Row],[Asset growth B with benefit payments deducted]]/(1+Table2[Compounded discount rate B])</f>
        <v>-0.42684218241442851</v>
      </c>
      <c r="AI111" s="75">
        <f>Table2[CPI]+2.56%</f>
        <v>5.33E-2</v>
      </c>
      <c r="AJ111" s="72">
        <f t="shared" si="34"/>
        <v>57.556624238107844</v>
      </c>
      <c r="AK111" s="74">
        <f>Table2[[#This Row],[Annual benefit payments (closed scheme)]]/((1+AJ110)*(1+Table2[[#This Row],[Discount rate C]])^0.5)+AK110</f>
        <v>52.353380797852651</v>
      </c>
      <c r="AL111" s="74">
        <f>AL110*(1+Table2[Discount rate C])</f>
        <v>3513.3974542864703</v>
      </c>
      <c r="AM111" s="74">
        <f>Table2[[#This Row],[Asset growth C]]/(1+Table2[Compounded CPI])</f>
        <v>474.20590429940808</v>
      </c>
      <c r="AN111" s="74">
        <f>(AN110*((1+Table2[Discount rate C])^0.5)-Table2[Annual benefit payments (closed scheme)])*(1+Table2[Discount rate C])^0.5</f>
        <v>447.76020731203897</v>
      </c>
      <c r="AO111" s="74">
        <f>Table2[[#This Row],[Asset growth C with benefit payments deducted]]/(1+Table2[Compounded CPI])</f>
        <v>60.434532893124583</v>
      </c>
      <c r="AP111" s="78">
        <f>Table2[[#This Row],[Asset growth C with benefit payments deducted]]/(1+Table2[Compounded discount rate C])</f>
        <v>7.6466192021472921</v>
      </c>
      <c r="AQ111" s="75">
        <f>Table2[CPI]+2.56%</f>
        <v>5.33E-2</v>
      </c>
      <c r="AR111" s="72">
        <f t="shared" si="35"/>
        <v>53.812930852510782</v>
      </c>
      <c r="AS111" s="74">
        <f>Table2[[#This Row],[Annual benefit payments (closed scheme)]]/((1+AR110)*(1+Table2[[#This Row],[Discount rate D]])^0.5)+AS110</f>
        <v>54.852869673984571</v>
      </c>
      <c r="AT111" s="71">
        <f>AT110*(1+Table2[Discount rate D])</f>
        <v>3288.7758511506454</v>
      </c>
      <c r="AU111" s="74">
        <f>Table2[[#This Row],[Asset growth D]]/(1+Table2[Compounded CPI])</f>
        <v>443.88855710879852</v>
      </c>
      <c r="AV111" s="74">
        <f>(AV110*((1+Table2[Discount rate D])^0.5)-Table2[Annual benefit payments (closed scheme)])*(1+Table2[Discount rate D])^0.5</f>
        <v>282.12929864874349</v>
      </c>
      <c r="AW111" s="74">
        <f>Table2[[#This Row],[Asset growth D with benefit payments deducted]]/(1+Table2[Compounded CPI])</f>
        <v>38.079204227765295</v>
      </c>
      <c r="AX111" s="78">
        <f>Table2[[#This Row],[Asset growth D with benefit payments deducted]]/(1+Table2[Compounded discount rate D])</f>
        <v>5.147130326015402</v>
      </c>
      <c r="AY111" s="75">
        <f>Table2[CPI]+4%</f>
        <v>6.7699999999999996E-2</v>
      </c>
      <c r="AZ111" s="72">
        <f t="shared" si="36"/>
        <v>155.22179678686592</v>
      </c>
      <c r="BA111" s="74">
        <f>Table2[[#This Row],[Annual benefit payments (closed scheme)]]/((1+AZ110)*(1+Table2[[#This Row],[Discount rate E]])^0.5)+BA110</f>
        <v>48.297561287567518</v>
      </c>
      <c r="BB111" s="17">
        <f>BB110*(1+Table2[Discount rate E])</f>
        <v>9373.3078072119715</v>
      </c>
      <c r="BC111" s="71">
        <f>Table2[[#This Row],[Asset growth E]]/(1+Table2[Compounded CPI])</f>
        <v>1265.1224243282652</v>
      </c>
      <c r="BD111" s="74">
        <f>(BD110*((1+Table2[Discount rate E])^0.5)-Table2[Annual benefit payments (closed scheme)])*(1+Table2[Discount rate E])^0.5</f>
        <v>1828.1760024443772</v>
      </c>
      <c r="BE111" s="74">
        <f>Table2[[#This Row],[Asset growth E with benefit payments deducted]]/(1+Table2[Compounded CPI])</f>
        <v>246.75029390709125</v>
      </c>
      <c r="BF111" s="78">
        <f>Table2[[#This Row],[Asset growth E with benefit payments deducted]]/(1+Table2[Compounded discount rate E])</f>
        <v>11.702438712432464</v>
      </c>
      <c r="BG111" s="75">
        <f>Table2[[#This Row],[Long-dated forward gilt yields]]+0.75%</f>
        <v>2.5600000000000001E-2</v>
      </c>
      <c r="BH111" s="75">
        <f t="shared" si="37"/>
        <v>6.859052150321773</v>
      </c>
      <c r="BI111" s="17">
        <f>((Table2[[#This Row],[Annual benefit payments (closed scheme)]])*1.005^(Table2[[#This Row],[Year]]-2018))/((1+BH110)*(1+Table2[[#This Row],[Discount rate F]])^0.5)+BI110</f>
        <v>82.342784824593807</v>
      </c>
      <c r="BJ111" s="74">
        <f>BJ110*(1+Table2[Discount rate F])</f>
        <v>647.14182032585688</v>
      </c>
      <c r="BK111" s="74">
        <f>Table2[[#This Row],[Asset growth F, under the assumption of full-funding at Year 0]]/(1+Table2[[#This Row],[Compounded CPI]])</f>
        <v>87.345219580319707</v>
      </c>
      <c r="BL111" s="74">
        <f>(BL110*((1+Table2[Discount rate F])^0.5)-Table2[Annual benefit payments (closed scheme)]*1.005^(Table2[Year]-2018))*(1+Table2[Discount rate F])^0.5</f>
        <v>5.5801866497910942E-3</v>
      </c>
      <c r="BM111" s="74">
        <f>Table2[[#This Row],[Asset growth F with benefit payments deducted]]/(1+Table2[Compounded CPI])</f>
        <v>7.5316200084202365E-4</v>
      </c>
      <c r="BN111" s="78">
        <f>Table2[[#This Row],[Asset growth F with benefit payments deducted]]/(1+Table2[Compounded discount rate F])</f>
        <v>7.1003303490773057E-4</v>
      </c>
      <c r="BO111" s="18">
        <f>(1+BO110)*(1+Table2[Discount rate A2])-1</f>
        <v>13.142468688636733</v>
      </c>
      <c r="BP111" s="74">
        <f>Table2[[#This Row],[Annual benefit payments (ongoing scheme)]]/((1+BO110)*(1+Table2[[#This Row],[Discount rate A2]])^0.5)+BP110</f>
        <v>112.42408761357929</v>
      </c>
      <c r="BQ111" s="74">
        <f>(BQ110*((1+Table2[Discount rate A2])^0.5)-Table2[Annual benefit payments (ongoing scheme)])*(1+Table2[Discount rate A2])^0.5</f>
        <v>1.2033200399875132</v>
      </c>
      <c r="BR111" s="18">
        <f>(1+BR110)*(1+Table2[Discount rate B])-1</f>
        <v>27.614173561724197</v>
      </c>
      <c r="BS111" s="74">
        <f>Table2[[#This Row],[Annual benefit payments (ongoing scheme)]]/((1+BR110)*(1+Table2[[#This Row],[Discount rate B]])^0.5)+BS110</f>
        <v>93.472234158320433</v>
      </c>
      <c r="BT111" s="18">
        <f>(1+BT110)*(1+Table2[Discount rate E])-1</f>
        <v>60.210985296262976</v>
      </c>
      <c r="BU111" s="74">
        <f>Table2[[#This Row],[Annual benefit payments (ongoing scheme)]]/((1+BT110)*(1+Table2[[#This Row],[Discount rate E]])^0.5)+BU110</f>
        <v>78.121436346074901</v>
      </c>
      <c r="BV111" s="18">
        <f>Table2[CPI]+0.75%+0.75%</f>
        <v>4.2699999999999995E-2</v>
      </c>
      <c r="BW111" s="18">
        <f>(1+BW110)*(1+Table2[Self-sufficiency discount rate, from 2037])-1</f>
        <v>11.431718033560491</v>
      </c>
      <c r="BX111" s="17">
        <f>(Table2[[#This Row],[Annual benefit payments (ongoing scheme)]]*1.005^(Table2[[#This Row],[Year]]-2038))/((1+BW110)*(1+Table2[[#This Row],[Self-sufficiency discount rate, from 2037]])^0.5)+BX110</f>
        <v>127.91268050628207</v>
      </c>
      <c r="BY111" s="74">
        <f>(BY110*((1+Table2[Self-sufficiency discount rate, from 2037])^0.5)-Table2[Annual benefit payments (ongoing scheme)]*1.005^(Table2[Year]-2038))*(1+Table2[Self-sufficiency discount rate, from 2037])^0.5</f>
        <v>1.7135997869625459</v>
      </c>
      <c r="BZ111" s="74">
        <f>(BZ110*((1+Table2[Discount rate B])^0.5)-Table2[Annual benefit payments (ongoing scheme)])*(1+Table2[Discount rate B])^0.5</f>
        <v>1.1648297184625169</v>
      </c>
      <c r="CA111" s="74">
        <f>(CA110*((1+Table2[Discount rate A2])^0.5)+Table2[Net cashflow (ongoing scheme)])*(1+Table2[Discount rate A2])^0.5</f>
        <v>-3.4773457796032647</v>
      </c>
      <c r="CB111" s="74">
        <f>Table2[[#This Row],[Asset growth, ongoing scheme, with November de-risking, net of contributions and payments]]/(1+Table2[Compounded discount rate A2])</f>
        <v>-0.13828402966599362</v>
      </c>
      <c r="CC111" s="74">
        <f>Table2[[#This Row],[Asset growth, ongoing scheme, with November de-risking, net of contributions and payments]]/(1+Table2[Compounded CPI])</f>
        <v>-0.46933998257631926</v>
      </c>
      <c r="CD111" s="74">
        <f>(CD110*((1+Table2[Discount rate A1])^0.5)+Table2[Net cashflow (ongoing scheme)])*(1+Table2[Discount rate A1])^0.5</f>
        <v>77.737520738724399</v>
      </c>
      <c r="CE111" s="74">
        <f>Table2[[#This Row],[Asset growth, ongoing scheme, with September de-risking, net of contributions and payments]]/(1+Table2[Compounded discount rate A1])</f>
        <v>2.9362289749688362</v>
      </c>
      <c r="CF111" s="74">
        <f>Table2[[#This Row],[Asset growth, ongoing scheme, with September de-risking, net of contributions and payments]]/(1+Table2[Compounded CPI])</f>
        <v>10.492291805735185</v>
      </c>
      <c r="CG111" s="74">
        <f>(CG110*((1+Table2[Discount rate B])^0.5)+Table2[Net cashflow (ongoing scheme)])*(1+Table2[Discount rate B])^0.5</f>
        <v>860.5269232560488</v>
      </c>
      <c r="CH111" s="74">
        <f>Table2[[#This Row],[Asset growth, ongoing scheme, no de-risking, net of contributions and payments]]/(1+Table2[Compounded discount rate B])</f>
        <v>15.326552470631007</v>
      </c>
      <c r="CI111" s="74">
        <f>Table2[[#This Row],[Asset growth, ongoing scheme, no de-risking, net of contributions and payments]]/(1+Table2[Compounded CPI])</f>
        <v>116.14596786331866</v>
      </c>
      <c r="CJ111" s="74">
        <f>(CJ110*((1+Table2[Discount rate E])^0.5)+Table2[Net cashflow (ongoing scheme)])*(1+Table2[Discount rate E])^0.5</f>
        <v>4990.1205870994918</v>
      </c>
      <c r="CK111" s="74">
        <f>Table2[[#This Row],[Asset growth, ongoing scheme, best-estimates, no de-risking, net of contributions and payments ]]/(1+Table2[Compounded discount rate E])</f>
        <v>31.942537403455518</v>
      </c>
      <c r="CL111" s="74">
        <f>Table2[[#This Row],[Asset growth, ongoing scheme, best-estimates, no de-risking, net of contributions and payments ]]/(1+Table2[Compounded CPI])</f>
        <v>673.52033931759775</v>
      </c>
      <c r="CM111" s="73">
        <f t="shared" si="24"/>
        <v>2.7699999999999999E-2</v>
      </c>
      <c r="CN111" s="75">
        <f>(1+Table2[[#This Row],[CPI]])*(1+CN110)-1</f>
        <v>6.409012461532221</v>
      </c>
      <c r="CO111" s="11">
        <f t="shared" si="23"/>
        <v>1.8100000000000002E-2</v>
      </c>
      <c r="CP111" s="75">
        <f>Table2[[#This Row],[CPI]]+2%</f>
        <v>4.7699999999999999E-2</v>
      </c>
      <c r="CQ111" s="76">
        <f>(1+Table2[[#This Row],[Salary growth]])*(1+CQ110)-1</f>
        <v>37.771094830084884</v>
      </c>
      <c r="CR111" s="77">
        <f t="shared" si="25"/>
        <v>74.090124615322168</v>
      </c>
      <c r="CS111" s="74">
        <f t="shared" si="26"/>
        <v>96.317161999918866</v>
      </c>
      <c r="CT111" s="74">
        <f>CT110*(1+Table2[[#This Row],[Salary growth]])</f>
        <v>387.71094830084888</v>
      </c>
      <c r="CU111" s="78">
        <f t="shared" si="38"/>
        <v>504.02423279110337</v>
      </c>
      <c r="CV111" s="116">
        <f>('Cash flows as at 31032017'!B96)/1000000000</f>
        <v>7.4663500000000005E-4</v>
      </c>
      <c r="CW111" s="117">
        <v>0</v>
      </c>
      <c r="CX111" s="117">
        <f>Table2[[#This Row],[Annual contributions (closed scheme)]]-Table2[[#This Row],[Annual benefit payments (closed scheme)]]</f>
        <v>-7.4663500000000005E-4</v>
      </c>
      <c r="CY111" s="117">
        <v>0.46</v>
      </c>
      <c r="CZ111" s="117">
        <v>0</v>
      </c>
      <c r="DA111" s="117">
        <v>-0.46</v>
      </c>
    </row>
    <row r="112" spans="1:181" x14ac:dyDescent="0.2">
      <c r="A112" s="7">
        <v>2105</v>
      </c>
      <c r="E112" s="6">
        <v>6.0999999999999999E-2</v>
      </c>
      <c r="F112" s="1">
        <f>F111*(1+Table2[[#This Row],[2008 discount rate]])</f>
        <v>10520.438677307151</v>
      </c>
      <c r="G112" s="1">
        <v>14.061</v>
      </c>
      <c r="H112">
        <f>H111*(1+Table2[[#This Row],[2011 discount rate]])</f>
        <v>5678264854315807</v>
      </c>
      <c r="I112" s="1">
        <v>14.052</v>
      </c>
      <c r="J112" s="1">
        <f>J111*(1+Table2[[#This Row],[2014 discount rate]])</f>
        <v>3046795511310213.5</v>
      </c>
      <c r="K112" s="9">
        <f>Table2[CPI]+1.7%</f>
        <v>4.4700000000000004E-2</v>
      </c>
      <c r="L112" s="108">
        <f t="shared" si="21"/>
        <v>26.658737996278827</v>
      </c>
      <c r="M112" s="17">
        <f>Table2[[#This Row],[Annual benefit payments (closed scheme)]]/((1+L111)*(1+Table2[[#This Row],[Discount rate A1]])^0.5)+M111</f>
        <v>64.922467918212533</v>
      </c>
      <c r="N112" s="74">
        <f>N111*(1+Table2[Discount rate A1])</f>
        <v>1795.6763181658825</v>
      </c>
      <c r="O112" s="74">
        <f>Table2[[#This Row],[Asset growth A1, under the assumption of full-funding at Year 0]]/(1+Table2[[#This Row],[Compounded CPI]])</f>
        <v>235.83126107611986</v>
      </c>
      <c r="P112" s="74">
        <f>(P111*((1+Table2[Discount rate A1])^0.5)-Table2[Annual benefit payments (closed scheme)])*(1+Table2[Discount rate A1])^0.5</f>
        <v>2.7879442221084155E-3</v>
      </c>
      <c r="Q112" s="74">
        <f>Table2[[#This Row],[Asset growth A1 with benefit payments deducted]]/(1+Table2[Compounded CPI])</f>
        <v>3.6614861768699455E-4</v>
      </c>
      <c r="R112" s="74">
        <f>Table2[[#This Row],[Asset growth A1 with benefit payments deducted]]/(1+Table2[Compounded discount rate A1])</f>
        <v>1.007979547903994E-4</v>
      </c>
      <c r="S112" s="73">
        <f>Table2[CPI]+1.7%</f>
        <v>4.4700000000000004E-2</v>
      </c>
      <c r="T112" s="72">
        <f t="shared" si="32"/>
        <v>25.270446014091625</v>
      </c>
      <c r="U112" s="17">
        <f>Table2[[#This Row],[Annual benefit payments (closed scheme)]]/((1+T111)*(1+Table2[[#This Row],[Discount rate A2]])^0.5)+U111</f>
        <v>67.511199908171903</v>
      </c>
      <c r="V112" s="74">
        <f>V111*(1+Table2[Discount rate A2])</f>
        <v>1773.5521204783975</v>
      </c>
      <c r="W112" s="74">
        <f>Table2[[#This Row],[Asset growth A2, under the assumption of full-funding at Year 0]]/(1+Table2[Compounded CPI])</f>
        <v>232.92562747826398</v>
      </c>
      <c r="X112" s="74">
        <f>(X111*((1+Table2[Discount rate A2])^0.5)-Table2[Annual benefit payments (closed scheme)])*(1+Table2[Discount rate A2])^0.5</f>
        <v>2.78794422262883E-3</v>
      </c>
      <c r="Y112" s="74">
        <f>Table2[[#This Row],[Asset growth A2 with benefit payments deducted]]/(1+Table2[[#This Row],[Compounded CPI]])</f>
        <v>3.66148617755342E-4</v>
      </c>
      <c r="Z112" s="78">
        <f>Table2[[#This Row],[Asset growth A2 with benefit payments deducted]]/(1+Table2[Compounded discount rate A2])</f>
        <v>1.0612473884658677E-4</v>
      </c>
      <c r="AA112" s="109">
        <f>Table2[CPI]+2.8%</f>
        <v>5.57E-2</v>
      </c>
      <c r="AB112" s="72">
        <f t="shared" si="33"/>
        <v>58.273491192635362</v>
      </c>
      <c r="AC112" s="74">
        <f>Table2[[#This Row],[Annual benefit payments (closed scheme)]]/((1+AB111)*(1+Table2[[#This Row],[Discount rate B]])^0.5)+AC111</f>
        <v>60.426853267752534</v>
      </c>
      <c r="AD112" s="110">
        <f>AD111*(1+Table2[Discount rate B])</f>
        <v>3556.4094715581209</v>
      </c>
      <c r="AE112" s="71">
        <f>Table2[[#This Row],[Asset growth B]]/(1+Table2[Compounded CPI])</f>
        <v>467.07333726897735</v>
      </c>
      <c r="AF112" s="74">
        <f>(AF111*((1+Table2[Discount rate B])^0.5)-Table2[Annual benefit payments (closed scheme)])*(1+Table2[Discount rate B])^0.5</f>
        <v>-25.30108340667714</v>
      </c>
      <c r="AG112" s="74">
        <f>Table2[[#This Row],[Asset growth B with benefit payments deducted]]/(1+Table2[Compounded CPI])</f>
        <v>-3.3228630048890335</v>
      </c>
      <c r="AH112" s="78">
        <f>Table2[[#This Row],[Asset growth B with benefit payments deducted]]/(1+Table2[Compounded discount rate B])</f>
        <v>-0.4268532677525288</v>
      </c>
      <c r="AI112" s="75">
        <f>Table2[CPI]+2.56%</f>
        <v>5.33E-2</v>
      </c>
      <c r="AJ112" s="72">
        <f t="shared" si="34"/>
        <v>60.677692309998989</v>
      </c>
      <c r="AK112" s="74">
        <f>Table2[[#This Row],[Annual benefit payments (closed scheme)]]/((1+AJ111)*(1+Table2[[#This Row],[Discount rate C]])^0.5)+AK111</f>
        <v>52.353391438967158</v>
      </c>
      <c r="AL112" s="74">
        <f>AL111*(1+Table2[Discount rate C])</f>
        <v>3700.6615385999389</v>
      </c>
      <c r="AM112" s="74">
        <f>Table2[[#This Row],[Asset growth C]]/(1+Table2[Compounded CPI])</f>
        <v>486.01837014553513</v>
      </c>
      <c r="AN112" s="74">
        <f>(AN111*((1+Table2[Discount rate C])^0.5)-Table2[Annual benefit payments (closed scheme)])*(1+Table2[Discount rate C])^0.5</f>
        <v>471.62517004238413</v>
      </c>
      <c r="AO112" s="74">
        <f>Table2[[#This Row],[Asset growth C with benefit payments deducted]]/(1+Table2[Compounded CPI])</f>
        <v>61.93987049956749</v>
      </c>
      <c r="AP112" s="78">
        <f>Table2[[#This Row],[Asset growth C with benefit payments deducted]]/(1+Table2[Compounded discount rate C])</f>
        <v>7.6466085610327834</v>
      </c>
      <c r="AQ112" s="75">
        <f>Table2[CPI]+2.56%</f>
        <v>5.33E-2</v>
      </c>
      <c r="AR112" s="72">
        <f t="shared" si="35"/>
        <v>56.734460066949602</v>
      </c>
      <c r="AS112" s="74">
        <f>Table2[[#This Row],[Annual benefit payments (closed scheme)]]/((1+AR111)*(1+Table2[[#This Row],[Discount rate D]])^0.5)+AS111</f>
        <v>54.852881041881417</v>
      </c>
      <c r="AT112" s="71">
        <f>AT111*(1+Table2[Discount rate D])</f>
        <v>3464.0676040169747</v>
      </c>
      <c r="AU112" s="74">
        <f>Table2[[#This Row],[Asset growth D]]/(1+Table2[Compounded CPI])</f>
        <v>454.94581804290891</v>
      </c>
      <c r="AV112" s="74">
        <f>(AV111*((1+Table2[Discount rate D])^0.5)-Table2[Annual benefit payments (closed scheme)])*(1+Table2[Discount rate D])^0.5</f>
        <v>297.16613394733503</v>
      </c>
      <c r="AW112" s="74">
        <f>Table2[[#This Row],[Asset growth D with benefit payments deducted]]/(1+Table2[Compounded CPI])</f>
        <v>39.027670749423542</v>
      </c>
      <c r="AX112" s="78">
        <f>Table2[[#This Row],[Asset growth D with benefit payments deducted]]/(1+Table2[Compounded discount rate D])</f>
        <v>5.1471189581185559</v>
      </c>
      <c r="AY112" s="75">
        <f>Table2[CPI]+4%</f>
        <v>6.7699999999999996E-2</v>
      </c>
      <c r="AZ112" s="72">
        <f t="shared" si="36"/>
        <v>165.79801242933675</v>
      </c>
      <c r="BA112" s="74">
        <f>Table2[[#This Row],[Annual benefit payments (closed scheme)]]/((1+AZ111)*(1+Table2[[#This Row],[Discount rate E]])^0.5)+BA111</f>
        <v>48.297565249188658</v>
      </c>
      <c r="BB112" s="17">
        <f>BB111*(1+Table2[Discount rate E])</f>
        <v>10007.880745760223</v>
      </c>
      <c r="BC112" s="71">
        <f>Table2[[#This Row],[Asset growth E]]/(1+Table2[Compounded CPI])</f>
        <v>1314.363347723352</v>
      </c>
      <c r="BD112" s="74">
        <f>(BD111*((1+Table2[Discount rate E])^0.5)-Table2[Annual benefit payments (closed scheme)])*(1+Table2[Discount rate E])^0.5</f>
        <v>1951.942857019329</v>
      </c>
      <c r="BE112" s="74">
        <f>Table2[[#This Row],[Asset growth E with benefit payments deducted]]/(1+Table2[Compounded CPI])</f>
        <v>256.35418859317383</v>
      </c>
      <c r="BF112" s="78">
        <f>Table2[[#This Row],[Asset growth E with benefit payments deducted]]/(1+Table2[Compounded discount rate E])</f>
        <v>11.702434750811321</v>
      </c>
      <c r="BG112" s="75">
        <f>Table2[[#This Row],[Long-dated forward gilt yields]]+0.75%</f>
        <v>2.5600000000000001E-2</v>
      </c>
      <c r="BH112" s="75">
        <f t="shared" si="37"/>
        <v>7.06024388537001</v>
      </c>
      <c r="BI112" s="17">
        <f>((Table2[[#This Row],[Annual benefit payments (closed scheme)]])*1.005^(Table2[[#This Row],[Year]]-2018))/((1+BH111)*(1+Table2[[#This Row],[Discount rate F]])^0.5)+BI111</f>
        <v>82.342908826221716</v>
      </c>
      <c r="BJ112" s="74">
        <f>BJ111*(1+Table2[Discount rate F])</f>
        <v>663.70865092619886</v>
      </c>
      <c r="BK112" s="74">
        <f>Table2[[#This Row],[Asset growth F, under the assumption of full-funding at Year 0]]/(1+Table2[[#This Row],[Compounded CPI]])</f>
        <v>87.166738543909602</v>
      </c>
      <c r="BL112" s="74">
        <f>(BL111*((1+Table2[Discount rate F])^0.5)-Table2[Annual benefit payments (closed scheme)]*1.005^(Table2[Year]-2018))*(1+Table2[Discount rate F])^0.5</f>
        <v>4.7235560648818675E-3</v>
      </c>
      <c r="BM112" s="74">
        <f>Table2[[#This Row],[Asset growth F with benefit payments deducted]]/(1+Table2[Compounded CPI])</f>
        <v>6.2035800788566087E-4</v>
      </c>
      <c r="BN112" s="78">
        <f>Table2[[#This Row],[Asset growth F with benefit payments deducted]]/(1+Table2[Compounded discount rate F])</f>
        <v>5.8603140699693983E-4</v>
      </c>
      <c r="BO112" s="18">
        <f>(1+BO111)*(1+Table2[Discount rate A2])-1</f>
        <v>13.774637039018794</v>
      </c>
      <c r="BP112" s="74">
        <f>Table2[[#This Row],[Annual benefit payments (ongoing scheme)]]/((1+BO111)*(1+Table2[[#This Row],[Discount rate A2]])^0.5)+BP111</f>
        <v>112.44138255062215</v>
      </c>
      <c r="BQ112" s="74">
        <f>(BQ111*((1+Table2[Discount rate A2])^0.5)-Table2[Annual benefit payments (ongoing scheme)])*(1+Table2[Discount rate A2])^0.5</f>
        <v>1.0015820283539767</v>
      </c>
      <c r="BR112" s="18">
        <f>(1+BR111)*(1+Table2[Discount rate B])-1</f>
        <v>29.207983029112238</v>
      </c>
      <c r="BS112" s="74">
        <f>Table2[[#This Row],[Annual benefit payments (ongoing scheme)]]/((1+BR111)*(1+Table2[[#This Row],[Discount rate B]])^0.5)+BS111</f>
        <v>93.480737478671074</v>
      </c>
      <c r="BT112" s="18">
        <f>(1+BT111)*(1+Table2[Discount rate E])-1</f>
        <v>64.354969000819992</v>
      </c>
      <c r="BU112" s="74">
        <f>Table2[[#This Row],[Annual benefit payments (ongoing scheme)]]/((1+BT111)*(1+Table2[[#This Row],[Discount rate E]])^0.5)+BU111</f>
        <v>78.125388974750408</v>
      </c>
      <c r="BV112" s="18">
        <f>Table2[CPI]+0.75%+0.75%</f>
        <v>4.2699999999999995E-2</v>
      </c>
      <c r="BW112" s="18">
        <f>(1+BW111)*(1+Table2[Self-sufficiency discount rate, from 2037])-1</f>
        <v>11.962552393593525</v>
      </c>
      <c r="BX112" s="17">
        <f>(Table2[[#This Row],[Annual benefit payments (ongoing scheme)]]*1.005^(Table2[[#This Row],[Year]]-2038))/((1+BW111)*(1+Table2[[#This Row],[Self-sufficiency discount rate, from 2037]])^0.5)+BX111</f>
        <v>127.94018827146289</v>
      </c>
      <c r="BY112" s="74">
        <f>(BY111*((1+Table2[Self-sufficiency discount rate, from 2037])^0.5)-Table2[Annual benefit payments (ongoing scheme)]*1.005^(Table2[Year]-2038))*(1+Table2[Self-sufficiency discount rate, from 2037])^0.5</f>
        <v>1.4301996504787888</v>
      </c>
      <c r="BZ112" s="74">
        <f>(BZ111*((1+Table2[Discount rate B])^0.5)-Table2[Annual benefit payments (ongoing scheme)])*(1+Table2[Discount rate B])^0.5</f>
        <v>0.97284257693772336</v>
      </c>
      <c r="CA112" s="74">
        <f>(CA111*((1+Table2[Discount rate A2])^0.5)+Table2[Net cashflow (ongoing scheme)])*(1+Table2[Discount rate A2])^0.5</f>
        <v>-3.8883095533725083</v>
      </c>
      <c r="CB112" s="74">
        <f>Table2[[#This Row],[Asset growth, ongoing scheme, with November de-risking, net of contributions and payments]]/(1+Table2[Compounded discount rate A2])</f>
        <v>-0.14801079324221583</v>
      </c>
      <c r="CC112" s="74">
        <f>Table2[[#This Row],[Asset growth, ongoing scheme, with November de-risking, net of contributions and payments]]/(1+Table2[Compounded CPI])</f>
        <v>-0.51066271585225254</v>
      </c>
      <c r="CD112" s="74">
        <f>(CD111*((1+Table2[Discount rate A1])^0.5)+Table2[Net cashflow (ongoing scheme)])*(1+Table2[Discount rate A1])^0.5</f>
        <v>80.956861498324386</v>
      </c>
      <c r="CE112" s="74">
        <f>Table2[[#This Row],[Asset growth, ongoing scheme, with September de-risking, net of contributions and payments]]/(1+Table2[Compounded discount rate A1])</f>
        <v>2.9269904327961829</v>
      </c>
      <c r="CF112" s="74">
        <f>Table2[[#This Row],[Asset growth, ongoing scheme, with September de-risking, net of contributions and payments]]/(1+Table2[Compounded CPI])</f>
        <v>10.632294109338977</v>
      </c>
      <c r="CG112" s="74">
        <f>(CG111*((1+Table2[Discount rate B])^0.5)+Table2[Net cashflow (ongoing scheme)])*(1+Table2[Discount rate B])^0.5</f>
        <v>908.20140472456751</v>
      </c>
      <c r="CH112" s="74">
        <f>Table2[[#This Row],[Asset growth, ongoing scheme, no de-risking, net of contributions and payments]]/(1+Table2[Compounded discount rate B])</f>
        <v>15.3222188612607</v>
      </c>
      <c r="CI112" s="74">
        <f>Table2[[#This Row],[Asset growth, ongoing scheme, no de-risking, net of contributions and payments]]/(1+Table2[Compounded CPI])</f>
        <v>119.27666496491177</v>
      </c>
      <c r="CJ112" s="74">
        <f>(CJ111*((1+Table2[Discount rate E])^0.5)+Table2[Net cashflow (ongoing scheme)])*(1+Table2[Discount rate E])^0.5</f>
        <v>5327.6934269215672</v>
      </c>
      <c r="CK112" s="74">
        <f>Table2[[#This Row],[Asset growth, ongoing scheme, best-estimates, no de-risking, net of contributions and payments ]]/(1+Table2[Compounded discount rate E])</f>
        <v>31.940988680417409</v>
      </c>
      <c r="CL112" s="74">
        <f>Table2[[#This Row],[Asset growth, ongoing scheme, best-estimates, no de-risking, net of contributions and payments ]]/(1+Table2[Compounded CPI])</f>
        <v>699.70108019311738</v>
      </c>
      <c r="CM112" s="73">
        <f t="shared" si="24"/>
        <v>2.7699999999999999E-2</v>
      </c>
      <c r="CN112" s="75">
        <f>(1+Table2[[#This Row],[CPI]])*(1+CN111)-1</f>
        <v>6.6142421067166639</v>
      </c>
      <c r="CO112" s="11">
        <f t="shared" si="23"/>
        <v>1.8100000000000002E-2</v>
      </c>
      <c r="CP112" s="75">
        <f>Table2[[#This Row],[CPI]]+2%</f>
        <v>4.7699999999999999E-2</v>
      </c>
      <c r="CQ112" s="76">
        <f>(1+Table2[[#This Row],[Salary growth]])*(1+CQ111)-1</f>
        <v>39.620476053479933</v>
      </c>
      <c r="CR112" s="77">
        <f t="shared" si="25"/>
        <v>76.142421067166595</v>
      </c>
      <c r="CS112" s="74">
        <f t="shared" si="26"/>
        <v>98.98514738731663</v>
      </c>
      <c r="CT112" s="74">
        <f>CT111*(1+Table2[[#This Row],[Salary growth]])</f>
        <v>406.20476053479939</v>
      </c>
      <c r="CU112" s="78">
        <f t="shared" si="38"/>
        <v>528.06618869523902</v>
      </c>
      <c r="CV112" s="116">
        <f>('Cash flows as at 31032017'!B97)/1000000000</f>
        <v>6.3949799999999995E-4</v>
      </c>
      <c r="CW112" s="117">
        <v>0</v>
      </c>
      <c r="CX112" s="117">
        <f>Table2[[#This Row],[Annual contributions (closed scheme)]]-Table2[[#This Row],[Annual benefit payments (closed scheme)]]</f>
        <v>-6.3949799999999995E-4</v>
      </c>
      <c r="CY112" s="117">
        <v>0.25</v>
      </c>
      <c r="CZ112" s="117">
        <v>0</v>
      </c>
      <c r="DA112" s="117">
        <v>-0.25</v>
      </c>
    </row>
    <row r="113" spans="1:105" x14ac:dyDescent="0.2">
      <c r="A113" s="7">
        <v>2106</v>
      </c>
      <c r="E113" s="6">
        <v>6.0999999999999999E-2</v>
      </c>
      <c r="F113" s="1">
        <f>F112*(1+Table2[[#This Row],[2008 discount rate]])</f>
        <v>11162.185436622887</v>
      </c>
      <c r="G113" s="1">
        <v>15.061</v>
      </c>
      <c r="H113">
        <f>H112*(1+Table2[[#This Row],[2011 discount rate]])</f>
        <v>9.1198611825166176E+16</v>
      </c>
      <c r="I113" s="1">
        <v>15.052</v>
      </c>
      <c r="J113" s="1">
        <f>J112*(1+Table2[[#This Row],[2014 discount rate]])</f>
        <v>4.8907161547551544E+16</v>
      </c>
      <c r="K113" s="9">
        <f>Table2[CPI]+1.7%</f>
        <v>4.4700000000000004E-2</v>
      </c>
      <c r="L113" s="108">
        <f t="shared" si="21"/>
        <v>27.895083584712488</v>
      </c>
      <c r="M113" s="17">
        <f>Table2[[#This Row],[Annual benefit payments (closed scheme)]]/((1+L112)*(1+Table2[[#This Row],[Discount rate A1]])^0.5)+M112</f>
        <v>64.922487520617992</v>
      </c>
      <c r="N113" s="74">
        <f>N112*(1+Table2[Discount rate A1])</f>
        <v>1875.9430495878973</v>
      </c>
      <c r="O113" s="74">
        <f>Table2[[#This Row],[Asset growth A1, under the assumption of full-funding at Year 0]]/(1+Table2[[#This Row],[Compounded CPI]])</f>
        <v>239.7323328269168</v>
      </c>
      <c r="P113" s="74">
        <f>(P112*((1+Table2[Discount rate A1])^0.5)-Table2[Annual benefit payments (closed scheme)])*(1+Table2[Discount rate A1])^0.5</f>
        <v>2.3461521846076154E-3</v>
      </c>
      <c r="Q113" s="74">
        <f>Table2[[#This Row],[Asset growth A1 with benefit payments deducted]]/(1+Table2[Compounded CPI])</f>
        <v>2.9982175445385093E-4</v>
      </c>
      <c r="R113" s="74">
        <f>Table2[[#This Row],[Asset growth A1 with benefit payments deducted]]/(1+Table2[Compounded discount rate A1])</f>
        <v>8.1195549330367514E-5</v>
      </c>
      <c r="S113" s="73">
        <f>Table2[CPI]+1.7%</f>
        <v>4.4700000000000004E-2</v>
      </c>
      <c r="T113" s="72">
        <f t="shared" si="32"/>
        <v>26.444734950921521</v>
      </c>
      <c r="U113" s="17">
        <f>Table2[[#This Row],[Annual benefit payments (closed scheme)]]/((1+T112)*(1+Table2[[#This Row],[Discount rate A2]])^0.5)+U112</f>
        <v>67.511220546489056</v>
      </c>
      <c r="V113" s="74">
        <f>V112*(1+Table2[Discount rate A2])</f>
        <v>1852.8299002637818</v>
      </c>
      <c r="W113" s="74">
        <f>Table2[[#This Row],[Asset growth A2, under the assumption of full-funding at Year 0]]/(1+Table2[Compounded CPI])</f>
        <v>236.77863484143461</v>
      </c>
      <c r="X113" s="74">
        <f>(X112*((1+Table2[Discount rate A2])^0.5)-Table2[Annual benefit payments (closed scheme)])*(1+Table2[Discount rate A2])^0.5</f>
        <v>2.3461521851512925E-3</v>
      </c>
      <c r="Y113" s="74">
        <f>Table2[[#This Row],[Asset growth A2 with benefit payments deducted]]/(1+Table2[[#This Row],[Compounded CPI]])</f>
        <v>2.9982175452332899E-4</v>
      </c>
      <c r="Z113" s="78">
        <f>Table2[[#This Row],[Asset growth A2 with benefit payments deducted]]/(1+Table2[Compounded discount rate A2])</f>
        <v>8.5486421688780602E-5</v>
      </c>
      <c r="AA113" s="109">
        <f>Table2[CPI]+2.8%</f>
        <v>5.57E-2</v>
      </c>
      <c r="AB113" s="72">
        <f t="shared" si="33"/>
        <v>61.575024652065153</v>
      </c>
      <c r="AC113" s="74">
        <f>Table2[[#This Row],[Annual benefit payments (closed scheme)]]/((1+AB112)*(1+Table2[[#This Row],[Discount rate B]])^0.5)+AC112</f>
        <v>60.426862367026835</v>
      </c>
      <c r="AD113" s="110">
        <f>AD112*(1+Table2[Discount rate B])</f>
        <v>3754.5014791239087</v>
      </c>
      <c r="AE113" s="71">
        <f>Table2[[#This Row],[Asset growth B]]/(1+Table2[Compounded CPI])</f>
        <v>479.79889282364445</v>
      </c>
      <c r="AF113" s="74">
        <f>(AF112*((1+Table2[Discount rate B])^0.5)-Table2[Annual benefit payments (closed scheme)])*(1+Table2[Discount rate B])^0.5</f>
        <v>-26.710923139742654</v>
      </c>
      <c r="AG113" s="74">
        <f>Table2[[#This Row],[Asset growth B with benefit payments deducted]]/(1+Table2[Compounded CPI])</f>
        <v>-3.4134681847925386</v>
      </c>
      <c r="AH113" s="78">
        <f>Table2[[#This Row],[Asset growth B with benefit payments deducted]]/(1+Table2[Compounded discount rate B])</f>
        <v>-0.42686236702682812</v>
      </c>
      <c r="AI113" s="75">
        <f>Table2[CPI]+2.56%</f>
        <v>5.33E-2</v>
      </c>
      <c r="AJ113" s="72">
        <f t="shared" si="34"/>
        <v>63.965113310121936</v>
      </c>
      <c r="AK113" s="74">
        <f>Table2[[#This Row],[Annual benefit payments (closed scheme)]]/((1+AJ112)*(1+Table2[[#This Row],[Discount rate C]])^0.5)+AK112</f>
        <v>52.353400193507888</v>
      </c>
      <c r="AL113" s="74">
        <f>AL112*(1+Table2[Discount rate C])</f>
        <v>3897.9067986073155</v>
      </c>
      <c r="AM113" s="74">
        <f>Table2[[#This Row],[Asset growth C]]/(1+Table2[Compounded CPI])</f>
        <v>498.12508443543072</v>
      </c>
      <c r="AN113" s="74">
        <f>(AN112*((1+Table2[Discount rate C])^0.5)-Table2[Annual benefit payments (closed scheme)])*(1+Table2[Discount rate C])^0.5</f>
        <v>496.76222286591263</v>
      </c>
      <c r="AO113" s="74">
        <f>Table2[[#This Row],[Asset growth C with benefit payments deducted]]/(1+Table2[Compounded CPI])</f>
        <v>63.482719570880036</v>
      </c>
      <c r="AP113" s="78">
        <f>Table2[[#This Row],[Asset growth C with benefit payments deducted]]/(1+Table2[Compounded discount rate C])</f>
        <v>7.646599806492052</v>
      </c>
      <c r="AQ113" s="75">
        <f>Table2[CPI]+2.56%</f>
        <v>5.33E-2</v>
      </c>
      <c r="AR113" s="72">
        <f t="shared" si="35"/>
        <v>59.811706788518009</v>
      </c>
      <c r="AS113" s="74">
        <f>Table2[[#This Row],[Annual benefit payments (closed scheme)]]/((1+AR112)*(1+Table2[[#This Row],[Discount rate D]])^0.5)+AS112</f>
        <v>54.852890394352521</v>
      </c>
      <c r="AT113" s="71">
        <f>AT112*(1+Table2[Discount rate D])</f>
        <v>3648.7024073110792</v>
      </c>
      <c r="AU113" s="74">
        <f>Table2[[#This Row],[Asset growth D]]/(1+Table2[Compounded CPI])</f>
        <v>466.27851527157333</v>
      </c>
      <c r="AV113" s="74">
        <f>(AV112*((1+Table2[Discount rate D])^0.5)-Table2[Annual benefit payments (closed scheme)])*(1+Table2[Discount rate D])^0.5</f>
        <v>313.00452014699749</v>
      </c>
      <c r="AW113" s="74">
        <f>Table2[[#This Row],[Asset growth D with benefit payments deducted]]/(1+Table2[Compounded CPI])</f>
        <v>39.999777081022479</v>
      </c>
      <c r="AX113" s="78">
        <f>Table2[[#This Row],[Asset growth D with benefit payments deducted]]/(1+Table2[Compounded discount rate D])</f>
        <v>5.1471096056474535</v>
      </c>
      <c r="AY113" s="75">
        <f>Table2[CPI]+4%</f>
        <v>6.7699999999999996E-2</v>
      </c>
      <c r="AZ113" s="72">
        <f t="shared" si="36"/>
        <v>177.09023787080287</v>
      </c>
      <c r="BA113" s="74">
        <f>Table2[[#This Row],[Annual benefit payments (closed scheme)]]/((1+AZ112)*(1+Table2[[#This Row],[Discount rate E]])^0.5)+BA112</f>
        <v>48.297568464492599</v>
      </c>
      <c r="BB113" s="17">
        <f>BB112*(1+Table2[Discount rate E])</f>
        <v>10685.414272248192</v>
      </c>
      <c r="BC113" s="71">
        <f>Table2[[#This Row],[Asset growth E]]/(1+Table2[Compounded CPI])</f>
        <v>1365.5208196596509</v>
      </c>
      <c r="BD113" s="74">
        <f>(BD112*((1+Table2[Discount rate E])^0.5)-Table2[Annual benefit payments (closed scheme)])*(1+Table2[Discount rate E])^0.5</f>
        <v>2084.0888158252933</v>
      </c>
      <c r="BE113" s="74">
        <f>Table2[[#This Row],[Asset growth E with benefit payments deducted]]/(1+Table2[Compounded CPI])</f>
        <v>266.33189837294913</v>
      </c>
      <c r="BF113" s="78">
        <f>Table2[[#This Row],[Asset growth E with benefit payments deducted]]/(1+Table2[Compounded discount rate E])</f>
        <v>11.702431535507376</v>
      </c>
      <c r="BG113" s="75">
        <f>Table2[[#This Row],[Long-dated forward gilt yields]]+0.75%</f>
        <v>2.5600000000000001E-2</v>
      </c>
      <c r="BH113" s="75">
        <f t="shared" si="37"/>
        <v>7.2665861288354829</v>
      </c>
      <c r="BI113" s="17">
        <f>((Table2[[#This Row],[Annual benefit payments (closed scheme)]])*1.005^(Table2[[#This Row],[Year]]-2018))/((1+BH112)*(1+Table2[[#This Row],[Discount rate F]])^0.5)+BI112</f>
        <v>82.343014122681879</v>
      </c>
      <c r="BJ113" s="74">
        <f>BJ112*(1+Table2[Discount rate F])</f>
        <v>680.69959238990964</v>
      </c>
      <c r="BK113" s="74">
        <f>Table2[[#This Row],[Asset growth F, under the assumption of full-funding at Year 0]]/(1+Table2[[#This Row],[Compounded CPI]])</f>
        <v>86.988622215270695</v>
      </c>
      <c r="BL113" s="74">
        <f>(BL112*((1+Table2[Discount rate F])^0.5)-Table2[Annual benefit payments (closed scheme)]*1.005^(Table2[Year]-2018))*(1+Table2[Discount rate F])^0.5</f>
        <v>3.9740368431463386E-3</v>
      </c>
      <c r="BM113" s="74">
        <f>Table2[[#This Row],[Asset growth F with benefit payments deducted]]/(1+Table2[Compounded CPI])</f>
        <v>5.078539688914734E-4</v>
      </c>
      <c r="BN113" s="78">
        <f>Table2[[#This Row],[Asset growth F with benefit payments deducted]]/(1+Table2[Compounded discount rate F])</f>
        <v>4.8073494683423354E-4</v>
      </c>
      <c r="BO113" s="18">
        <f>(1+BO112)*(1+Table2[Discount rate A2])-1</f>
        <v>14.435063314662933</v>
      </c>
      <c r="BP113" s="74">
        <f>Table2[[#This Row],[Annual benefit payments (ongoing scheme)]]/((1+BO112)*(1+Table2[[#This Row],[Discount rate A2]])^0.5)+BP112</f>
        <v>112.4638972575986</v>
      </c>
      <c r="BQ113" s="74">
        <f>(BQ112*((1+Table2[Discount rate A2])^0.5)-Table2[Annual benefit payments (ongoing scheme)])*(1+Table2[Discount rate A2])^0.5</f>
        <v>0.69883681732886893</v>
      </c>
      <c r="BR113" s="18">
        <f>(1+BR112)*(1+Table2[Discount rate B])-1</f>
        <v>30.890567683833794</v>
      </c>
      <c r="BS113" s="74">
        <f>Table2[[#This Row],[Annual benefit payments (ongoing scheme)]]/((1+BR112)*(1+Table2[[#This Row],[Discount rate B]])^0.5)+BS112</f>
        <v>93.491691836610698</v>
      </c>
      <c r="BT113" s="18">
        <f>(1+BT112)*(1+Table2[Discount rate E])-1</f>
        <v>68.779500402175515</v>
      </c>
      <c r="BU113" s="74">
        <f>Table2[[#This Row],[Annual benefit payments (ongoing scheme)]]/((1+BT112)*(1+Table2[[#This Row],[Discount rate E]])^0.5)+BU112</f>
        <v>78.130423698922641</v>
      </c>
      <c r="BV113" s="18">
        <f>Table2[CPI]+0.75%+0.75%</f>
        <v>4.2699999999999995E-2</v>
      </c>
      <c r="BW113" s="18">
        <f>(1+BW112)*(1+Table2[Self-sufficiency discount rate, from 2037])-1</f>
        <v>12.516053380799967</v>
      </c>
      <c r="BX113" s="17">
        <f>(Table2[[#This Row],[Annual benefit payments (ongoing scheme)]]*1.005^(Table2[[#This Row],[Year]]-2038))/((1+BW112)*(1+Table2[[#This Row],[Self-sufficiency discount rate, from 2037]])^0.5)+BX112</f>
        <v>127.97624621089815</v>
      </c>
      <c r="BY113" s="74">
        <f>(BY112*((1+Table2[Self-sufficiency discount rate, from 2037])^0.5)-Table2[Annual benefit payments (ongoing scheme)]*1.005^(Table2[Year]-2038))*(1+Table2[Self-sufficiency discount rate, from 2037])^0.5</f>
        <v>1.0039081413456026</v>
      </c>
      <c r="BZ113" s="74">
        <f>(BZ112*((1+Table2[Discount rate B])^0.5)-Table2[Annual benefit payments (ongoing scheme)])*(1+Table2[Discount rate B])^0.5</f>
        <v>0.67768921516646274</v>
      </c>
      <c r="CA113" s="74">
        <f>(CA112*((1+Table2[Discount rate A2])^0.5)+Table2[Net cashflow (ongoing scheme)])*(1+Table2[Discount rate A2])^0.5</f>
        <v>-4.4096329181007894</v>
      </c>
      <c r="CB113" s="74">
        <f>Table2[[#This Row],[Asset growth, ongoing scheme, with November de-risking, net of contributions and payments]]/(1+Table2[Compounded discount rate A2])</f>
        <v>-0.16067318288868102</v>
      </c>
      <c r="CC113" s="74">
        <f>Table2[[#This Row],[Asset growth, ongoing scheme, with November de-risking, net of contributions and payments]]/(1+Table2[Compounded CPI])</f>
        <v>-0.56352008479089755</v>
      </c>
      <c r="CD113" s="74">
        <f>(CD112*((1+Table2[Discount rate A1])^0.5)+Table2[Net cashflow (ongoing scheme)])*(1+Table2[Discount rate A1])^0.5</f>
        <v>84.228117279606948</v>
      </c>
      <c r="CE113" s="74">
        <f>Table2[[#This Row],[Asset growth, ongoing scheme, with September de-risking, net of contributions and payments]]/(1+Table2[Compounded discount rate A1])</f>
        <v>2.9149636142312283</v>
      </c>
      <c r="CF113" s="74">
        <f>Table2[[#This Row],[Asset growth, ongoing scheme, with September de-risking, net of contributions and payments]]/(1+Table2[Compounded CPI])</f>
        <v>10.763761218388314</v>
      </c>
      <c r="CG113" s="74">
        <f>(CG112*((1+Table2[Discount rate B])^0.5)+Table2[Net cashflow (ongoing scheme)])*(1+Table2[Discount rate B])^0.5</f>
        <v>958.43888227441903</v>
      </c>
      <c r="CH113" s="74">
        <f>Table2[[#This Row],[Asset growth, ongoing scheme, no de-risking, net of contributions and payments]]/(1+Table2[Compounded discount rate B])</f>
        <v>15.31663611166932</v>
      </c>
      <c r="CI113" s="74">
        <f>Table2[[#This Row],[Asset growth, ongoing scheme, no de-risking, net of contributions and payments]]/(1+Table2[Compounded CPI])</f>
        <v>122.48175080269318</v>
      </c>
      <c r="CJ113" s="74">
        <f>(CJ112*((1+Table2[Discount rate E])^0.5)+Table2[Net cashflow (ongoing scheme)])*(1+Table2[Discount rate E])^0.5</f>
        <v>5688.0269513867552</v>
      </c>
      <c r="CK113" s="74">
        <f>Table2[[#This Row],[Asset growth, ongoing scheme, best-estimates, no de-risking, net of contributions and payments ]]/(1+Table2[Compounded discount rate E])</f>
        <v>31.939015969607411</v>
      </c>
      <c r="CL113" s="74">
        <f>Table2[[#This Row],[Asset growth, ongoing scheme, best-estimates, no de-risking, net of contributions and payments ]]/(1+Table2[Compounded CPI])</f>
        <v>726.88985443234844</v>
      </c>
      <c r="CM113" s="73">
        <f t="shared" si="24"/>
        <v>2.7699999999999999E-2</v>
      </c>
      <c r="CN113" s="75">
        <f>(1+Table2[[#This Row],[CPI]])*(1+CN112)-1</f>
        <v>6.8251566130727159</v>
      </c>
      <c r="CO113" s="11">
        <f t="shared" si="23"/>
        <v>1.8100000000000002E-2</v>
      </c>
      <c r="CP113" s="75">
        <f>Table2[[#This Row],[CPI]]+2%</f>
        <v>4.7699999999999999E-2</v>
      </c>
      <c r="CQ113" s="76">
        <f>(1+Table2[[#This Row],[Salary growth]])*(1+CQ112)-1</f>
        <v>41.558072761230932</v>
      </c>
      <c r="CR113" s="77">
        <f t="shared" si="25"/>
        <v>78.251566130727113</v>
      </c>
      <c r="CS113" s="74">
        <f t="shared" si="26"/>
        <v>101.72703596994531</v>
      </c>
      <c r="CT113" s="74">
        <f>CT112*(1+Table2[[#This Row],[Salary growth]])</f>
        <v>425.58072761230937</v>
      </c>
      <c r="CU113" s="78">
        <f t="shared" si="38"/>
        <v>553.25494589600191</v>
      </c>
      <c r="CV113" s="116">
        <f>('Cash flows as at 31032017'!B98)/1000000000</f>
        <v>5.5416299999999999E-4</v>
      </c>
      <c r="CW113" s="117">
        <v>0</v>
      </c>
      <c r="CX113" s="117">
        <f>Table2[[#This Row],[Annual contributions (closed scheme)]]-Table2[[#This Row],[Annual benefit payments (closed scheme)]]</f>
        <v>-5.5416299999999999E-4</v>
      </c>
      <c r="CY113" s="117">
        <v>0.34</v>
      </c>
      <c r="CZ113" s="117">
        <v>0</v>
      </c>
      <c r="DA113" s="117">
        <v>-0.34</v>
      </c>
    </row>
    <row r="114" spans="1:105" x14ac:dyDescent="0.2">
      <c r="A114" s="7">
        <v>2107</v>
      </c>
      <c r="E114" s="6">
        <v>6.0999999999999999E-2</v>
      </c>
      <c r="F114" s="1">
        <f>F113*(1+Table2[[#This Row],[2008 discount rate]])</f>
        <v>11843.078748256883</v>
      </c>
      <c r="G114" s="1">
        <v>16.061</v>
      </c>
      <c r="H114">
        <f>H113*(1+Table2[[#This Row],[2011 discount rate]])</f>
        <v>1.5559395163491602E+18</v>
      </c>
      <c r="I114" s="1">
        <v>16.052</v>
      </c>
      <c r="J114" s="1">
        <f>J113*(1+Table2[[#This Row],[2014 discount rate]])</f>
        <v>8.339649187088489E+17</v>
      </c>
      <c r="K114" s="9">
        <f>Table2[CPI]+1.7%</f>
        <v>4.4700000000000004E-2</v>
      </c>
      <c r="L114" s="108">
        <f t="shared" si="21"/>
        <v>29.186693820949134</v>
      </c>
      <c r="M114" s="17">
        <f>Table2[[#This Row],[Annual benefit payments (closed scheme)]]/((1+L113)*(1+Table2[[#This Row],[Discount rate A1]])^0.5)+M113</f>
        <v>64.922503879519638</v>
      </c>
      <c r="N114" s="74">
        <f>N113*(1+Table2[Discount rate A1])</f>
        <v>1959.7977039044763</v>
      </c>
      <c r="O114" s="74">
        <f>Table2[[#This Row],[Asset growth A1, under the assumption of full-funding at Year 0]]/(1+Table2[[#This Row],[Compounded CPI]])</f>
        <v>243.69793529656513</v>
      </c>
      <c r="P114" s="74">
        <f>(P113*((1+Table2[Discount rate A1])^0.5)-Table2[Annual benefit payments (closed scheme)])*(1+Table2[Discount rate A1])^0.5</f>
        <v>1.9572040319028204E-3</v>
      </c>
      <c r="Q114" s="74">
        <f>Table2[[#This Row],[Asset growth A1 with benefit payments deducted]]/(1+Table2[Compounded CPI])</f>
        <v>2.4337541603328567E-4</v>
      </c>
      <c r="R114" s="74">
        <f>Table2[[#This Row],[Asset growth A1 with benefit payments deducted]]/(1+Table2[Compounded discount rate A1])</f>
        <v>6.4836647680328234E-5</v>
      </c>
      <c r="S114" s="73">
        <f>Table2[CPI]+1.7%</f>
        <v>4.4700000000000004E-2</v>
      </c>
      <c r="T114" s="72">
        <f t="shared" si="32"/>
        <v>27.671514603227713</v>
      </c>
      <c r="U114" s="17">
        <f>Table2[[#This Row],[Annual benefit payments (closed scheme)]]/((1+T113)*(1+Table2[[#This Row],[Discount rate A2]])^0.5)+U113</f>
        <v>67.511237769895715</v>
      </c>
      <c r="V114" s="74">
        <f>V113*(1+Table2[Discount rate A2])</f>
        <v>1935.6513968055729</v>
      </c>
      <c r="W114" s="74">
        <f>Table2[[#This Row],[Asset growth A2, under the assumption of full-funding at Year 0]]/(1+Table2[Compounded CPI])</f>
        <v>240.695377852337</v>
      </c>
      <c r="X114" s="74">
        <f>(X113*((1+Table2[Discount rate A2])^0.5)-Table2[Annual benefit payments (closed scheme)])*(1+Table2[Discount rate A2])^0.5</f>
        <v>1.9572040324707996E-3</v>
      </c>
      <c r="Y114" s="74">
        <f>Table2[[#This Row],[Asset growth A2 with benefit payments deducted]]/(1+Table2[[#This Row],[Compounded CPI]])</f>
        <v>2.4337541610391304E-4</v>
      </c>
      <c r="Z114" s="78">
        <f>Table2[[#This Row],[Asset growth A2 with benefit payments deducted]]/(1+Table2[Compounded discount rate A2])</f>
        <v>6.8263015036201336E-5</v>
      </c>
      <c r="AA114" s="109">
        <f>Table2[CPI]+2.8%</f>
        <v>5.57E-2</v>
      </c>
      <c r="AB114" s="72">
        <f t="shared" si="33"/>
        <v>65.060453525185181</v>
      </c>
      <c r="AC114" s="74">
        <f>Table2[[#This Row],[Annual benefit payments (closed scheme)]]/((1+AB113)*(1+Table2[[#This Row],[Discount rate B]])^0.5)+AC113</f>
        <v>60.426869881570347</v>
      </c>
      <c r="AD114" s="110">
        <f>AD113*(1+Table2[Discount rate B])</f>
        <v>3963.6272115111105</v>
      </c>
      <c r="AE114" s="71">
        <f>Table2[[#This Row],[Asset growth B]]/(1+Table2[Compounded CPI])</f>
        <v>492.87116002133064</v>
      </c>
      <c r="AF114" s="74">
        <f>(AF113*((1+Table2[Discount rate B])^0.5)-Table2[Annual benefit payments (closed scheme)])*(1+Table2[Discount rate B])^0.5</f>
        <v>-28.199217972778978</v>
      </c>
      <c r="AG114" s="74">
        <f>Table2[[#This Row],[Asset growth B with benefit payments deducted]]/(1+Table2[Compounded CPI])</f>
        <v>-3.5065308951290537</v>
      </c>
      <c r="AH114" s="78">
        <f>Table2[[#This Row],[Asset growth B with benefit payments deducted]]/(1+Table2[Compounded discount rate B])</f>
        <v>-0.4268698815703435</v>
      </c>
      <c r="AI114" s="75">
        <f>Table2[CPI]+2.56%</f>
        <v>5.33E-2</v>
      </c>
      <c r="AJ114" s="72">
        <f t="shared" si="34"/>
        <v>67.427753849551422</v>
      </c>
      <c r="AK114" s="74">
        <f>Table2[[#This Row],[Annual benefit payments (closed scheme)]]/((1+AJ113)*(1+Table2[[#This Row],[Discount rate C]])^0.5)+AK113</f>
        <v>52.353407439830271</v>
      </c>
      <c r="AL114" s="74">
        <f>AL113*(1+Table2[Discount rate C])</f>
        <v>4105.6652309730853</v>
      </c>
      <c r="AM114" s="74">
        <f>Table2[[#This Row],[Asset growth C]]/(1+Table2[Compounded CPI])</f>
        <v>510.5333768958248</v>
      </c>
      <c r="AN114" s="74">
        <f>(AN113*((1+Table2[Discount rate C])^0.5)-Table2[Annual benefit payments (closed scheme)])*(1+Table2[Discount rate C])^0.5</f>
        <v>523.23915349510139</v>
      </c>
      <c r="AO114" s="74">
        <f>Table2[[#This Row],[Asset growth C with benefit payments deducted]]/(1+Table2[Compounded CPI])</f>
        <v>65.064012024831868</v>
      </c>
      <c r="AP114" s="78">
        <f>Table2[[#This Row],[Asset growth C with benefit payments deducted]]/(1+Table2[Compounded discount rate C])</f>
        <v>7.6465925601696698</v>
      </c>
      <c r="AQ114" s="75">
        <f>Table2[CPI]+2.56%</f>
        <v>5.33E-2</v>
      </c>
      <c r="AR114" s="72">
        <f t="shared" si="35"/>
        <v>63.052970760346014</v>
      </c>
      <c r="AS114" s="74">
        <f>Table2[[#This Row],[Annual benefit payments (closed scheme)]]/((1+AR113)*(1+Table2[[#This Row],[Discount rate D]])^0.5)+AS113</f>
        <v>54.852898135594785</v>
      </c>
      <c r="AT114" s="71">
        <f>AT113*(1+Table2[Discount rate D])</f>
        <v>3843.1782456207593</v>
      </c>
      <c r="AU114" s="74">
        <f>Table2[[#This Row],[Asset growth D]]/(1+Table2[Compounded CPI])</f>
        <v>477.89350991101304</v>
      </c>
      <c r="AV114" s="74">
        <f>(AV113*((1+Table2[Discount rate D])^0.5)-Table2[Annual benefit payments (closed scheme)])*(1+Table2[Discount rate D])^0.5</f>
        <v>329.68716522126806</v>
      </c>
      <c r="AW114" s="74">
        <f>Table2[[#This Row],[Asset growth D with benefit payments deducted]]/(1+Table2[Compounded CPI])</f>
        <v>40.996109597501935</v>
      </c>
      <c r="AX114" s="78">
        <f>Table2[[#This Row],[Asset growth D with benefit payments deducted]]/(1+Table2[Compounded discount rate D])</f>
        <v>5.1471018644051894</v>
      </c>
      <c r="AY114" s="75">
        <f>Table2[CPI]+4%</f>
        <v>6.7699999999999996E-2</v>
      </c>
      <c r="AZ114" s="72">
        <f t="shared" si="36"/>
        <v>189.14694697465623</v>
      </c>
      <c r="BA114" s="74">
        <f>Table2[[#This Row],[Annual benefit payments (closed scheme)]]/((1+AZ113)*(1+Table2[[#This Row],[Discount rate E]])^0.5)+BA113</f>
        <v>48.297571089975285</v>
      </c>
      <c r="BB114" s="17">
        <f>BB113*(1+Table2[Discount rate E])</f>
        <v>11408.816818479396</v>
      </c>
      <c r="BC114" s="71">
        <f>Table2[[#This Row],[Asset growth E]]/(1+Table2[Compounded CPI])</f>
        <v>1418.6694357795168</v>
      </c>
      <c r="BD114" s="74">
        <f>(BD113*((1+Table2[Discount rate E])^0.5)-Table2[Annual benefit payments (closed scheme)])*(1+Table2[Discount rate E])^0.5</f>
        <v>2225.1811294291488</v>
      </c>
      <c r="BE114" s="74">
        <f>Table2[[#This Row],[Asset growth E with benefit payments deducted]]/(1+Table2[Compounded CPI])</f>
        <v>276.69797031724335</v>
      </c>
      <c r="BF114" s="78">
        <f>Table2[[#This Row],[Asset growth E with benefit payments deducted]]/(1+Table2[Compounded discount rate E])</f>
        <v>11.70242891002469</v>
      </c>
      <c r="BG114" s="75">
        <f>Table2[[#This Row],[Long-dated forward gilt yields]]+0.75%</f>
        <v>2.5600000000000001E-2</v>
      </c>
      <c r="BH114" s="75">
        <f t="shared" si="37"/>
        <v>7.4782107337336718</v>
      </c>
      <c r="BI114" s="17">
        <f>((Table2[[#This Row],[Annual benefit payments (closed scheme)]])*1.005^(Table2[[#This Row],[Year]]-2018))/((1+BH113)*(1+Table2[[#This Row],[Discount rate F]])^0.5)+BI113</f>
        <v>82.343104080350003</v>
      </c>
      <c r="BJ114" s="74">
        <f>BJ113*(1+Table2[Discount rate F])</f>
        <v>698.12550195509141</v>
      </c>
      <c r="BK114" s="74">
        <f>Table2[[#This Row],[Asset growth F, under the assumption of full-funding at Year 0]]/(1+Table2[[#This Row],[Compounded CPI]])</f>
        <v>86.8108698491599</v>
      </c>
      <c r="BL114" s="74">
        <f>(BL113*((1+Table2[Discount rate F])^0.5)-Table2[Annual benefit payments (closed scheme)]*1.005^(Table2[Year]-2018))*(1+Table2[Discount rate F])^0.5</f>
        <v>3.3130921189139227E-3</v>
      </c>
      <c r="BM114" s="74">
        <f>Table2[[#This Row],[Asset growth F with benefit payments deducted]]/(1+Table2[Compounded CPI])</f>
        <v>4.1197808693115945E-4</v>
      </c>
      <c r="BN114" s="78">
        <f>Table2[[#This Row],[Asset growth F with benefit payments deducted]]/(1+Table2[Compounded discount rate F])</f>
        <v>3.9077727871655399E-4</v>
      </c>
      <c r="BO114" s="18">
        <f>(1+BO113)*(1+Table2[Discount rate A2])-1</f>
        <v>15.125010644828365</v>
      </c>
      <c r="BP114" s="74">
        <f>Table2[[#This Row],[Annual benefit payments (ongoing scheme)]]/((1+BO113)*(1+Table2[[#This Row],[Discount rate A2]])^0.5)+BP113</f>
        <v>112.47213748391445</v>
      </c>
      <c r="BQ114" s="74">
        <f>(BQ113*((1+Table2[Discount rate A2])^0.5)-Table2[Annual benefit payments (ongoing scheme)])*(1+Table2[Discount rate A2])^0.5</f>
        <v>0.59720108600456057</v>
      </c>
      <c r="BR114" s="18">
        <f>(1+BR113)*(1+Table2[Discount rate B])-1</f>
        <v>32.66687230382334</v>
      </c>
      <c r="BS114" s="74">
        <f>Table2[[#This Row],[Annual benefit payments (ongoing scheme)]]/((1+BR113)*(1+Table2[[#This Row],[Discount rate B]])^0.5)+BS113</f>
        <v>93.495659280938554</v>
      </c>
      <c r="BT114" s="18">
        <f>(1+BT113)*(1+Table2[Discount rate E])-1</f>
        <v>73.5035725794028</v>
      </c>
      <c r="BU114" s="74">
        <f>Table2[[#This Row],[Annual benefit payments (ongoing scheme)]]/((1+BT113)*(1+Table2[[#This Row],[Discount rate E]])^0.5)+BU113</f>
        <v>78.132226678781464</v>
      </c>
      <c r="BV114" s="18">
        <f>Table2[CPI]+0.75%+0.75%</f>
        <v>4.2699999999999995E-2</v>
      </c>
      <c r="BW114" s="18">
        <f>(1+BW113)*(1+Table2[Self-sufficiency discount rate, from 2037])-1</f>
        <v>13.093188860160126</v>
      </c>
      <c r="BX114" s="17">
        <f>(Table2[[#This Row],[Annual benefit payments (ongoing scheme)]]*1.005^(Table2[[#This Row],[Year]]-2038))/((1+BW113)*(1+Table2[[#This Row],[Self-sufficiency discount rate, from 2037]])^0.5)+BX113</f>
        <v>127.98953459057765</v>
      </c>
      <c r="BY114" s="74">
        <f>(BY113*((1+Table2[Self-sufficiency discount rate, from 2037])^0.5)-Table2[Annual benefit payments (ongoing scheme)]*1.005^(Table2[Year]-2038))*(1+Table2[Self-sufficiency discount rate, from 2037])^0.5</f>
        <v>0.85949937451236114</v>
      </c>
      <c r="BZ114" s="74">
        <f>(BZ113*((1+Table2[Discount rate B])^0.5)-Table2[Annual benefit payments (ongoing scheme)])*(1+Table2[Discount rate B])^0.5</f>
        <v>0.58186506289279372</v>
      </c>
      <c r="CA114" s="74">
        <f>(CA113*((1+Table2[Discount rate A2])^0.5)+Table2[Net cashflow (ongoing scheme)])*(1+Table2[Discount rate A2])^0.5</f>
        <v>-4.7396172465988027</v>
      </c>
      <c r="CB114" s="74">
        <f>Table2[[#This Row],[Asset growth, ongoing scheme, with November de-risking, net of contributions and payments]]/(1+Table2[Compounded discount rate A2])</f>
        <v>-0.16530752951799893</v>
      </c>
      <c r="CC114" s="74">
        <f>Table2[[#This Row],[Asset growth, ongoing scheme, with November de-risking, net of contributions and payments]]/(1+Table2[Compounded CPI])</f>
        <v>-0.58936436898102285</v>
      </c>
      <c r="CD114" s="74">
        <f>(CD113*((1+Table2[Discount rate A1])^0.5)+Table2[Net cashflow (ongoing scheme)])*(1+Table2[Discount rate A1])^0.5</f>
        <v>87.860240384946465</v>
      </c>
      <c r="CE114" s="74">
        <f>Table2[[#This Row],[Asset growth, ongoing scheme, with September de-risking, net of contributions and payments]]/(1+Table2[Compounded discount rate A1])</f>
        <v>2.9105618822016446</v>
      </c>
      <c r="CF114" s="74">
        <f>Table2[[#This Row],[Asset growth, ongoing scheme, with September de-risking, net of contributions and payments]]/(1+Table2[Compounded CPI])</f>
        <v>10.925290469426413</v>
      </c>
      <c r="CG114" s="74">
        <f>(CG113*((1+Table2[Discount rate B])^0.5)+Table2[Net cashflow (ongoing scheme)])*(1+Table2[Discount rate B])^0.5</f>
        <v>1011.6903565755456</v>
      </c>
      <c r="CH114" s="74">
        <f>Table2[[#This Row],[Asset growth, ongoing scheme, no de-risking, net of contributions and payments]]/(1+Table2[Compounded discount rate B])</f>
        <v>15.314614153986156</v>
      </c>
      <c r="CI114" s="74">
        <f>Table2[[#This Row],[Asset growth, ongoing scheme, no de-risking, net of contributions and payments]]/(1+Table2[Compounded CPI])</f>
        <v>125.8021940559041</v>
      </c>
      <c r="CJ114" s="74">
        <f>(CJ113*((1+Table2[Discount rate E])^0.5)+Table2[Net cashflow (ongoing scheme)])*(1+Table2[Discount rate E])^0.5</f>
        <v>6072.9720475548665</v>
      </c>
      <c r="CK114" s="74">
        <f>Table2[[#This Row],[Asset growth, ongoing scheme, best-estimates, no de-risking, net of contributions and payments ]]/(1+Table2[Compounded discount rate E])</f>
        <v>31.938309524182387</v>
      </c>
      <c r="CL114" s="74">
        <f>Table2[[#This Row],[Asset growth, ongoing scheme, best-estimates, no de-risking, net of contributions and payments ]]/(1+Table2[Compounded CPI])</f>
        <v>755.16505920705515</v>
      </c>
      <c r="CM114" s="73">
        <f t="shared" si="24"/>
        <v>2.7699999999999999E-2</v>
      </c>
      <c r="CN114" s="75">
        <f>(1+Table2[[#This Row],[CPI]])*(1+CN113)-1</f>
        <v>7.04191345125483</v>
      </c>
      <c r="CO114" s="11">
        <f t="shared" si="23"/>
        <v>1.8100000000000002E-2</v>
      </c>
      <c r="CP114" s="75">
        <f>Table2[[#This Row],[CPI]]+2%</f>
        <v>4.7699999999999999E-2</v>
      </c>
      <c r="CQ114" s="76">
        <f>(1+Table2[[#This Row],[Salary growth]])*(1+CQ113)-1</f>
        <v>43.588092831941651</v>
      </c>
      <c r="CR114" s="77">
        <f t="shared" si="25"/>
        <v>80.419134512548254</v>
      </c>
      <c r="CS114" s="74">
        <f t="shared" si="26"/>
        <v>104.5448748663128</v>
      </c>
      <c r="CT114" s="74">
        <f>CT113*(1+Table2[[#This Row],[Salary growth]])</f>
        <v>445.88092831941657</v>
      </c>
      <c r="CU114" s="78">
        <f t="shared" si="38"/>
        <v>579.64520681524129</v>
      </c>
      <c r="CV114" s="116">
        <f>('Cash flows as at 31032017'!B99)/1000000000</f>
        <v>4.8314099999999997E-4</v>
      </c>
      <c r="CW114" s="117">
        <v>0</v>
      </c>
      <c r="CX114" s="117">
        <f>Table2[[#This Row],[Annual contributions (closed scheme)]]-Table2[[#This Row],[Annual benefit payments (closed scheme)]]</f>
        <v>-4.8314099999999997E-4</v>
      </c>
      <c r="CY114" s="117">
        <v>0.13</v>
      </c>
      <c r="CZ114" s="117">
        <v>0</v>
      </c>
      <c r="DA114" s="117">
        <v>-0.13</v>
      </c>
    </row>
    <row r="115" spans="1:105" x14ac:dyDescent="0.2">
      <c r="A115" s="7">
        <v>2108</v>
      </c>
      <c r="E115" s="6">
        <v>6.0999999999999999E-2</v>
      </c>
      <c r="F115" s="1">
        <f>F114*(1+Table2[[#This Row],[2008 discount rate]])</f>
        <v>12565.506551900553</v>
      </c>
      <c r="G115" s="1">
        <v>17.061</v>
      </c>
      <c r="H115">
        <f>H114*(1+Table2[[#This Row],[2011 discount rate]])</f>
        <v>2.8101823604782182E+19</v>
      </c>
      <c r="I115" s="1">
        <v>17.052</v>
      </c>
      <c r="J115" s="1">
        <f>J114*(1+Table2[[#This Row],[2014 discount rate]])</f>
        <v>1.505473471253214E+19</v>
      </c>
      <c r="K115" s="9">
        <f>Table2[CPI]+1.7%</f>
        <v>4.4700000000000004E-2</v>
      </c>
      <c r="L115" s="108">
        <f t="shared" si="21"/>
        <v>30.53603903474556</v>
      </c>
      <c r="M115" s="17">
        <f>Table2[[#This Row],[Annual benefit payments (closed scheme)]]/((1+L114)*(1+Table2[[#This Row],[Discount rate A1]])^0.5)+M114</f>
        <v>64.922517553115426</v>
      </c>
      <c r="N115" s="74">
        <f>N114*(1+Table2[Discount rate A1])</f>
        <v>2047.4006612690064</v>
      </c>
      <c r="O115" s="74">
        <f>Table2[[#This Row],[Asset growth A1, under the assumption of full-funding at Year 0]]/(1+Table2[[#This Row],[Compounded CPI]])</f>
        <v>247.72913593881637</v>
      </c>
      <c r="P115" s="74">
        <f>(P114*((1+Table2[Discount rate A1])^0.5)-Table2[Annual benefit payments (closed scheme)])*(1+Table2[Discount rate A1])^0.5</f>
        <v>1.6134800016742788E-3</v>
      </c>
      <c r="Q115" s="74">
        <f>Table2[[#This Row],[Asset growth A1 with benefit payments deducted]]/(1+Table2[Compounded CPI])</f>
        <v>1.9522608067420763E-4</v>
      </c>
      <c r="R115" s="74">
        <f>Table2[[#This Row],[Asset growth A1 with benefit payments deducted]]/(1+Table2[Compounded discount rate A1])</f>
        <v>5.1163051894265792E-5</v>
      </c>
      <c r="S115" s="73">
        <f>Table2[CPI]+1.7%</f>
        <v>4.4700000000000004E-2</v>
      </c>
      <c r="T115" s="72">
        <f t="shared" si="32"/>
        <v>28.953131305991992</v>
      </c>
      <c r="U115" s="17">
        <f>Table2[[#This Row],[Annual benefit payments (closed scheme)]]/((1+T114)*(1+Table2[[#This Row],[Discount rate A2]])^0.5)+U114</f>
        <v>67.511252166088425</v>
      </c>
      <c r="V115" s="74">
        <f>V114*(1+Table2[Discount rate A2])</f>
        <v>2022.1750142427818</v>
      </c>
      <c r="W115" s="74">
        <f>Table2[[#This Row],[Asset growth A2, under the assumption of full-funding at Year 0]]/(1+Table2[Compounded CPI])</f>
        <v>244.67691081282129</v>
      </c>
      <c r="X115" s="74">
        <f>(X114*((1+Table2[Discount rate A2])^0.5)-Table2[Annual benefit payments (closed scheme)])*(1+Table2[Discount rate A2])^0.5</f>
        <v>1.6134800022676466E-3</v>
      </c>
      <c r="Y115" s="74">
        <f>Table2[[#This Row],[Asset growth A2 with benefit payments deducted]]/(1+Table2[[#This Row],[Compounded CPI]])</f>
        <v>1.9522608074600329E-4</v>
      </c>
      <c r="Z115" s="78">
        <f>Table2[[#This Row],[Asset growth A2 with benefit payments deducted]]/(1+Table2[Compounded discount rate A2])</f>
        <v>5.3866822329352828E-5</v>
      </c>
      <c r="AA115" s="109">
        <f>Table2[CPI]+2.8%</f>
        <v>5.57E-2</v>
      </c>
      <c r="AB115" s="72">
        <f t="shared" si="33"/>
        <v>68.740020786537997</v>
      </c>
      <c r="AC115" s="74">
        <f>Table2[[#This Row],[Annual benefit payments (closed scheme)]]/((1+AB114)*(1+Table2[[#This Row],[Discount rate B]])^0.5)+AC114</f>
        <v>60.426876097159109</v>
      </c>
      <c r="AD115" s="110">
        <f>AD114*(1+Table2[Discount rate B])</f>
        <v>4184.4012471922797</v>
      </c>
      <c r="AE115" s="71">
        <f>Table2[[#This Row],[Asset growth B]]/(1+Table2[Compounded CPI])</f>
        <v>506.29958512651433</v>
      </c>
      <c r="AF115" s="74">
        <f>(AF114*((1+Table2[Discount rate B])^0.5)-Table2[Annual benefit payments (closed scheme)])*(1+Table2[Discount rate B])^0.5</f>
        <v>-29.770347889152166</v>
      </c>
      <c r="AG115" s="74">
        <f>Table2[[#This Row],[Asset growth B with benefit payments deducted]]/(1+Table2[Compounded CPI])</f>
        <v>-3.6021198482013377</v>
      </c>
      <c r="AH115" s="78">
        <f>Table2[[#This Row],[Asset growth B with benefit payments deducted]]/(1+Table2[Compounded discount rate B])</f>
        <v>-0.42687609715910457</v>
      </c>
      <c r="AI115" s="75">
        <f>Table2[CPI]+2.56%</f>
        <v>5.33E-2</v>
      </c>
      <c r="AJ115" s="72">
        <f t="shared" si="34"/>
        <v>71.074953129732506</v>
      </c>
      <c r="AK115" s="74">
        <f>Table2[[#This Row],[Annual benefit payments (closed scheme)]]/((1+AJ114)*(1+Table2[[#This Row],[Discount rate C]])^0.5)+AK114</f>
        <v>52.35341344721931</v>
      </c>
      <c r="AL115" s="74">
        <f>AL114*(1+Table2[Discount rate C])</f>
        <v>4324.4971877839507</v>
      </c>
      <c r="AM115" s="74">
        <f>Table2[[#This Row],[Asset growth C]]/(1+Table2[Compounded CPI])</f>
        <v>523.25075983689044</v>
      </c>
      <c r="AN115" s="74">
        <f>(AN114*((1+Table2[Discount rate C])^0.5)-Table2[Annual benefit payments (closed scheme)])*(1+Table2[Discount rate C])^0.5</f>
        <v>551.12736739410661</v>
      </c>
      <c r="AO115" s="74">
        <f>Table2[[#This Row],[Asset growth C with benefit payments deducted]]/(1+Table2[Compounded CPI])</f>
        <v>66.684703731683527</v>
      </c>
      <c r="AP115" s="78">
        <f>Table2[[#This Row],[Asset growth C with benefit payments deducted]]/(1+Table2[Compounded discount rate C])</f>
        <v>7.6465865527806276</v>
      </c>
      <c r="AQ115" s="75">
        <f>Table2[CPI]+2.56%</f>
        <v>5.33E-2</v>
      </c>
      <c r="AR115" s="72">
        <f t="shared" si="35"/>
        <v>66.466994101872444</v>
      </c>
      <c r="AS115" s="74">
        <f>Table2[[#This Row],[Annual benefit payments (closed scheme)]]/((1+AR114)*(1+Table2[[#This Row],[Discount rate D]])^0.5)+AS114</f>
        <v>54.852904553285228</v>
      </c>
      <c r="AT115" s="71">
        <f>AT114*(1+Table2[Discount rate D])</f>
        <v>4048.0196461123455</v>
      </c>
      <c r="AU115" s="74">
        <f>Table2[[#This Row],[Asset growth D]]/(1+Table2[Compounded CPI])</f>
        <v>489.79783398780773</v>
      </c>
      <c r="AV115" s="74">
        <f>(AV114*((1+Table2[Discount rate D])^0.5)-Table2[Annual benefit payments (closed scheme)])*(1+Table2[Discount rate D])^0.5</f>
        <v>347.25905814527806</v>
      </c>
      <c r="AW115" s="74">
        <f>Table2[[#This Row],[Asset growth D with benefit payments deducted]]/(1+Table2[Compounded CPI])</f>
        <v>42.017270018823154</v>
      </c>
      <c r="AX115" s="78">
        <f>Table2[[#This Row],[Asset growth D with benefit payments deducted]]/(1+Table2[Compounded discount rate D])</f>
        <v>5.1470954467147427</v>
      </c>
      <c r="AY115" s="75">
        <f>Table2[CPI]+4%</f>
        <v>6.7699999999999996E-2</v>
      </c>
      <c r="AZ115" s="72">
        <f t="shared" si="36"/>
        <v>202.01989528484049</v>
      </c>
      <c r="BA115" s="74">
        <f>Table2[[#This Row],[Annual benefit payments (closed scheme)]]/((1+AZ114)*(1+Table2[[#This Row],[Discount rate E]])^0.5)+BA114</f>
        <v>48.297573237212902</v>
      </c>
      <c r="BB115" s="17">
        <f>BB114*(1+Table2[Discount rate E])</f>
        <v>12181.193717090451</v>
      </c>
      <c r="BC115" s="71">
        <f>Table2[[#This Row],[Asset growth E]]/(1+Table2[Compounded CPI])</f>
        <v>1473.8866951267782</v>
      </c>
      <c r="BD115" s="74">
        <f>(BD114*((1+Table2[Discount rate E])^0.5)-Table2[Annual benefit payments (closed scheme)])*(1+Table2[Discount rate E])^0.5</f>
        <v>2375.8254559595466</v>
      </c>
      <c r="BE115" s="74">
        <f>Table2[[#This Row],[Asset growth E with benefit payments deducted]]/(1+Table2[Compounded CPI])</f>
        <v>287.46751843945617</v>
      </c>
      <c r="BF115" s="78">
        <f>Table2[[#This Row],[Asset growth E with benefit payments deducted]]/(1+Table2[Compounded discount rate E])</f>
        <v>11.702426762787073</v>
      </c>
      <c r="BG115" s="75">
        <f>Table2[[#This Row],[Long-dated forward gilt yields]]+0.75%</f>
        <v>2.5600000000000001E-2</v>
      </c>
      <c r="BH115" s="75">
        <f t="shared" si="37"/>
        <v>7.6952529285172542</v>
      </c>
      <c r="BI115" s="17">
        <f>((Table2[[#This Row],[Annual benefit payments (closed scheme)]])*1.005^(Table2[[#This Row],[Year]]-2018))/((1+BH114)*(1+Table2[[#This Row],[Discount rate F]])^0.5)+BI114</f>
        <v>82.343181054770724</v>
      </c>
      <c r="BJ115" s="74">
        <f>BJ114*(1+Table2[Discount rate F])</f>
        <v>715.9975148051418</v>
      </c>
      <c r="BK115" s="74">
        <f>Table2[[#This Row],[Asset growth F, under the assumption of full-funding at Year 0]]/(1+Table2[[#This Row],[Compounded CPI]])</f>
        <v>86.633480701856968</v>
      </c>
      <c r="BL115" s="74">
        <f>(BL114*((1+Table2[Discount rate F])^0.5)-Table2[Annual benefit payments (closed scheme)]*1.005^(Table2[Year]-2018))*(1+Table2[Discount rate F])^0.5</f>
        <v>2.7285952199255187E-3</v>
      </c>
      <c r="BM115" s="74">
        <f>Table2[[#This Row],[Asset growth F with benefit payments deducted]]/(1+Table2[Compounded CPI])</f>
        <v>3.3015156678711284E-4</v>
      </c>
      <c r="BN115" s="78">
        <f>Table2[[#This Row],[Asset growth F with benefit payments deducted]]/(1+Table2[Compounded discount rate F])</f>
        <v>3.1380285799125206E-4</v>
      </c>
      <c r="BO115" s="18">
        <f>(1+BO114)*(1+Table2[Discount rate A2])-1</f>
        <v>15.845798620652193</v>
      </c>
      <c r="BP115" s="74">
        <f>Table2[[#This Row],[Annual benefit payments (ongoing scheme)]]/((1+BO114)*(1+Table2[[#This Row],[Discount rate A2]])^0.5)+BP114</f>
        <v>112.48548581202843</v>
      </c>
      <c r="BQ115" s="74">
        <f>(BQ114*((1+Table2[Discount rate A2])^0.5)-Table2[Annual benefit payments (ongoing scheme)])*(1+Table2[Discount rate A2])^0.5</f>
        <v>0.39903272721850352</v>
      </c>
      <c r="BR115" s="18">
        <f>(1+BR114)*(1+Table2[Discount rate B])-1</f>
        <v>34.542117091146302</v>
      </c>
      <c r="BS115" s="74">
        <f>Table2[[#This Row],[Annual benefit payments (ongoing scheme)]]/((1+BR114)*(1+Table2[[#This Row],[Discount rate B]])^0.5)+BS114</f>
        <v>93.502019171584408</v>
      </c>
      <c r="BT115" s="18">
        <f>(1+BT114)*(1+Table2[Discount rate E])-1</f>
        <v>78.547464443028375</v>
      </c>
      <c r="BU115" s="74">
        <f>Table2[[#This Row],[Annual benefit payments (ongoing scheme)]]/((1+BT114)*(1+Table2[[#This Row],[Discount rate E]])^0.5)+BU114</f>
        <v>78.135084407248414</v>
      </c>
      <c r="BV115" s="18">
        <f>Table2[CPI]+0.75%+0.75%</f>
        <v>4.2699999999999995E-2</v>
      </c>
      <c r="BW115" s="18">
        <f>(1+BW114)*(1+Table2[Self-sufficiency discount rate, from 2037])-1</f>
        <v>13.694968024488963</v>
      </c>
      <c r="BX115" s="17">
        <f>(Table2[[#This Row],[Annual benefit payments (ongoing scheme)]]*1.005^(Table2[[#This Row],[Year]]-2038))/((1+BW114)*(1+Table2[[#This Row],[Self-sufficiency discount rate, from 2037]])^0.5)+BX114</f>
        <v>128.01120953762441</v>
      </c>
      <c r="BY115" s="74">
        <f>(BY114*((1+Table2[Self-sufficiency discount rate, from 2037])^0.5)-Table2[Annual benefit payments (ongoing scheme)]*1.005^(Table2[Year]-2038))*(1+Table2[Self-sufficiency discount rate, from 2037])^0.5</f>
        <v>0.57768734401919841</v>
      </c>
      <c r="BZ115" s="74">
        <f>(BZ114*((1+Table2[Discount rate B])^0.5)-Table2[Annual benefit payments (ongoing scheme)])*(1+Table2[Discount rate B])^0.5</f>
        <v>0.38823096887394537</v>
      </c>
      <c r="CA115" s="74">
        <f>(CA114*((1+Table2[Discount rate A2])^0.5)+Table2[Net cashflow (ongoing scheme)])*(1+Table2[Discount rate A2])^0.5</f>
        <v>-5.1763413848522291</v>
      </c>
      <c r="CB115" s="74">
        <f>Table2[[#This Row],[Asset growth, ongoing scheme, with November de-risking, net of contributions and payments]]/(1+Table2[Compounded discount rate A2])</f>
        <v>-0.17281469947072695</v>
      </c>
      <c r="CC115" s="74">
        <f>Table2[[#This Row],[Asset growth, ongoing scheme, with November de-risking, net of contributions and payments]]/(1+Table2[Compounded CPI])</f>
        <v>-0.62632126815812061</v>
      </c>
      <c r="CD115" s="74">
        <f>(CD114*((1+Table2[Discount rate A1])^0.5)+Table2[Net cashflow (ongoing scheme)])*(1+Table2[Discount rate A1])^0.5</f>
        <v>91.562729882823092</v>
      </c>
      <c r="CE115" s="74">
        <f>Table2[[#This Row],[Asset growth, ongoing scheme, with September de-risking, net of contributions and payments]]/(1+Table2[Compounded discount rate A1])</f>
        <v>2.9034315242298421</v>
      </c>
      <c r="CF115" s="74">
        <f>Table2[[#This Row],[Asset growth, ongoing scheme, with September de-risking, net of contributions and payments]]/(1+Table2[Compounded CPI])</f>
        <v>11.078806599589516</v>
      </c>
      <c r="CG115" s="74">
        <f>(CG114*((1+Table2[Discount rate B])^0.5)+Table2[Net cashflow (ongoing scheme)])*(1+Table2[Discount rate B])^0.5</f>
        <v>1067.8154654587815</v>
      </c>
      <c r="CH115" s="74">
        <f>Table2[[#This Row],[Asset growth, ongoing scheme, no de-risking, net of contributions and payments]]/(1+Table2[Compounded discount rate B])</f>
        <v>15.311372916380078</v>
      </c>
      <c r="CI115" s="74">
        <f>Table2[[#This Row],[Asset growth, ongoing scheme, no de-risking, net of contributions and payments]]/(1+Table2[Compounded CPI])</f>
        <v>129.20236258800969</v>
      </c>
      <c r="CJ115" s="74">
        <f>(CJ114*((1+Table2[Discount rate E])^0.5)+Table2[Net cashflow (ongoing scheme)])*(1+Table2[Discount rate E])^0.5</f>
        <v>6483.8849301207174</v>
      </c>
      <c r="CK115" s="74">
        <f>Table2[[#This Row],[Asset growth, ongoing scheme, best-estimates, no de-risking, net of contributions and payments ]]/(1+Table2[Compounded discount rate E])</f>
        <v>31.937189806071533</v>
      </c>
      <c r="CL115" s="74">
        <f>Table2[[#This Row],[Asset growth, ongoing scheme, best-estimates, no de-risking, net of contributions and payments ]]/(1+Table2[Compounded CPI])</f>
        <v>784.52998558178865</v>
      </c>
      <c r="CM115" s="73">
        <f t="shared" si="24"/>
        <v>2.7699999999999999E-2</v>
      </c>
      <c r="CN115" s="75">
        <f>(1+Table2[[#This Row],[CPI]])*(1+CN114)-1</f>
        <v>7.2646744538545889</v>
      </c>
      <c r="CO115" s="11">
        <f t="shared" si="23"/>
        <v>1.8100000000000002E-2</v>
      </c>
      <c r="CP115" s="75">
        <f>Table2[[#This Row],[CPI]]+2%</f>
        <v>4.7699999999999999E-2</v>
      </c>
      <c r="CQ115" s="76">
        <f>(1+Table2[[#This Row],[Salary growth]])*(1+CQ114)-1</f>
        <v>45.71494486002527</v>
      </c>
      <c r="CR115" s="77">
        <f t="shared" si="25"/>
        <v>82.646744538545846</v>
      </c>
      <c r="CS115" s="74">
        <f t="shared" si="26"/>
        <v>107.44076790010966</v>
      </c>
      <c r="CT115" s="74">
        <f>CT114*(1+Table2[[#This Row],[Salary growth]])</f>
        <v>467.14944860025275</v>
      </c>
      <c r="CU115" s="78">
        <f t="shared" si="38"/>
        <v>607.29428318032831</v>
      </c>
      <c r="CV115" s="116">
        <f>('Cash flows as at 31032017'!B100)/1000000000</f>
        <v>4.2188499999999999E-4</v>
      </c>
      <c r="CW115" s="117">
        <v>0</v>
      </c>
      <c r="CX115" s="117">
        <f>Table2[[#This Row],[Annual contributions (closed scheme)]]-Table2[[#This Row],[Annual benefit payments (closed scheme)]]</f>
        <v>-4.2188499999999999E-4</v>
      </c>
      <c r="CY115" s="117">
        <v>0.22</v>
      </c>
      <c r="CZ115" s="117">
        <v>0</v>
      </c>
      <c r="DA115" s="117">
        <v>-0.22</v>
      </c>
    </row>
    <row r="116" spans="1:105" x14ac:dyDescent="0.2">
      <c r="A116" s="7">
        <v>2109</v>
      </c>
      <c r="E116" s="6">
        <v>6.0999999999999999E-2</v>
      </c>
      <c r="F116" s="1">
        <f>F115*(1+Table2[[#This Row],[2008 discount rate]])</f>
        <v>13332.002451566486</v>
      </c>
      <c r="G116" s="1">
        <v>18.061</v>
      </c>
      <c r="H116">
        <f>H115*(1+Table2[[#This Row],[2011 discount rate]])</f>
        <v>5.3564885973075316E+20</v>
      </c>
      <c r="I116" s="1">
        <v>18.052</v>
      </c>
      <c r="J116" s="1">
        <f>J115*(1+Table2[[#This Row],[2014 discount rate]])</f>
        <v>2.8682280574316233E+20</v>
      </c>
      <c r="K116" s="9">
        <f>Table2[CPI]+1.7%</f>
        <v>4.4700000000000004E-2</v>
      </c>
      <c r="L116" s="108">
        <f t="shared" si="21"/>
        <v>31.945699979598686</v>
      </c>
      <c r="M116" s="17">
        <f>Table2[[#This Row],[Annual benefit payments (closed scheme)]]/((1+L115)*(1+Table2[[#This Row],[Discount rate A1]])^0.5)+M115</f>
        <v>64.922528954447188</v>
      </c>
      <c r="N116" s="74">
        <f>N115*(1+Table2[Discount rate A1])</f>
        <v>2138.9194708277309</v>
      </c>
      <c r="O116" s="74">
        <f>Table2[[#This Row],[Asset growth A1, under the assumption of full-funding at Year 0]]/(1+Table2[[#This Row],[Compounded CPI]])</f>
        <v>251.82701986502039</v>
      </c>
      <c r="P116" s="74">
        <f>(P115*((1+Table2[Discount rate A1])^0.5)-Table2[Annual benefit payments (closed scheme)])*(1+Table2[Discount rate A1])^0.5</f>
        <v>1.3099777020346111E-3</v>
      </c>
      <c r="Q116" s="74">
        <f>Table2[[#This Row],[Asset growth A1 with benefit payments deducted]]/(1+Table2[Compounded CPI])</f>
        <v>1.5423104295990254E-4</v>
      </c>
      <c r="R116" s="74">
        <f>Table2[[#This Row],[Asset growth A1 with benefit payments deducted]]/(1+Table2[Compounded discount rate A1])</f>
        <v>3.9761720128751323E-5</v>
      </c>
      <c r="S116" s="73">
        <f>Table2[CPI]+1.7%</f>
        <v>4.4700000000000004E-2</v>
      </c>
      <c r="T116" s="72">
        <f t="shared" si="32"/>
        <v>30.292036275369831</v>
      </c>
      <c r="U116" s="17">
        <f>Table2[[#This Row],[Annual benefit payments (closed scheme)]]/((1+T115)*(1+Table2[[#This Row],[Discount rate A2]])^0.5)+U115</f>
        <v>67.511264169936709</v>
      </c>
      <c r="V116" s="74">
        <f>V115*(1+Table2[Discount rate A2])</f>
        <v>2112.5662373794339</v>
      </c>
      <c r="W116" s="74">
        <f>Table2[[#This Row],[Asset growth A2, under the assumption of full-funding at Year 0]]/(1+Table2[Compounded CPI])</f>
        <v>248.72430546477997</v>
      </c>
      <c r="X116" s="74">
        <f>(X115*((1+Table2[Discount rate A2])^0.5)-Table2[Annual benefit payments (closed scheme)])*(1+Table2[Discount rate A2])^0.5</f>
        <v>1.3099777026545027E-3</v>
      </c>
      <c r="Y116" s="74">
        <f>Table2[[#This Row],[Asset growth A2 with benefit payments deducted]]/(1+Table2[[#This Row],[Compounded CPI]])</f>
        <v>1.5423104303288586E-4</v>
      </c>
      <c r="Z116" s="78">
        <f>Table2[[#This Row],[Asset growth A2 with benefit payments deducted]]/(1+Table2[Compounded discount rate A2])</f>
        <v>4.1862974052781433E-5</v>
      </c>
      <c r="AA116" s="109">
        <f>Table2[CPI]+2.8%</f>
        <v>5.57E-2</v>
      </c>
      <c r="AB116" s="72">
        <f t="shared" si="33"/>
        <v>72.624539944348172</v>
      </c>
      <c r="AC116" s="74">
        <f>Table2[[#This Row],[Annual benefit payments (closed scheme)]]/((1+AB115)*(1+Table2[[#This Row],[Discount rate B]])^0.5)+AC115</f>
        <v>60.426881225846067</v>
      </c>
      <c r="AD116" s="110">
        <f>AD115*(1+Table2[Discount rate B])</f>
        <v>4417.4723966608899</v>
      </c>
      <c r="AE116" s="71">
        <f>Table2[[#This Row],[Asset growth B]]/(1+Table2[Compounded CPI])</f>
        <v>520.09387177003134</v>
      </c>
      <c r="AF116" s="74">
        <f>(AF115*((1+Table2[Discount rate B])^0.5)-Table2[Annual benefit payments (closed scheme)])*(1+Table2[Discount rate B])^0.5</f>
        <v>-31.428933863795969</v>
      </c>
      <c r="AG116" s="74">
        <f>Table2[[#This Row],[Asset growth B with benefit payments deducted]]/(1+Table2[Compounded CPI])</f>
        <v>-3.7003051589369571</v>
      </c>
      <c r="AH116" s="78">
        <f>Table2[[#This Row],[Asset growth B with benefit payments deducted]]/(1+Table2[Compounded discount rate B])</f>
        <v>-0.42688122584606558</v>
      </c>
      <c r="AI116" s="75">
        <f>Table2[CPI]+2.56%</f>
        <v>5.33E-2</v>
      </c>
      <c r="AJ116" s="72">
        <f t="shared" si="34"/>
        <v>74.916548131547245</v>
      </c>
      <c r="AK116" s="74">
        <f>Table2[[#This Row],[Annual benefit payments (closed scheme)]]/((1+AJ115)*(1+Table2[[#This Row],[Discount rate C]])^0.5)+AK115</f>
        <v>52.35341841540837</v>
      </c>
      <c r="AL116" s="74">
        <f>AL115*(1+Table2[Discount rate C])</f>
        <v>4554.9928878928349</v>
      </c>
      <c r="AM116" s="74">
        <f>Table2[[#This Row],[Asset growth C]]/(1+Table2[Compounded CPI])</f>
        <v>536.28493270039564</v>
      </c>
      <c r="AN116" s="74">
        <f>(AN115*((1+Table2[Discount rate C])^0.5)-Table2[Annual benefit payments (closed scheme)])*(1+Table2[Discount rate C])^0.5</f>
        <v>580.50207890844831</v>
      </c>
      <c r="AO116" s="74">
        <f>Table2[[#This Row],[Asset growth C with benefit payments deducted]]/(1+Table2[Compounded CPI])</f>
        <v>68.345774841346199</v>
      </c>
      <c r="AP116" s="78">
        <f>Table2[[#This Row],[Asset growth C with benefit payments deducted]]/(1+Table2[Compounded discount rate C])</f>
        <v>7.6465815845915648</v>
      </c>
      <c r="AQ116" s="75">
        <f>Table2[CPI]+2.56%</f>
        <v>5.33E-2</v>
      </c>
      <c r="AR116" s="72">
        <f t="shared" si="35"/>
        <v>70.062984887502239</v>
      </c>
      <c r="AS116" s="74">
        <f>Table2[[#This Row],[Annual benefit payments (closed scheme)]]/((1+AR115)*(1+Table2[[#This Row],[Discount rate D]])^0.5)+AS115</f>
        <v>54.852909860798903</v>
      </c>
      <c r="AT116" s="71">
        <f>AT115*(1+Table2[Discount rate D])</f>
        <v>4263.779093250133</v>
      </c>
      <c r="AU116" s="74">
        <f>Table2[[#This Row],[Asset growth D]]/(1+Table2[Compounded CPI])</f>
        <v>501.99869469627112</v>
      </c>
      <c r="AV116" s="74">
        <f>(AV115*((1+Table2[Discount rate D])^0.5)-Table2[Annual benefit payments (closed scheme)])*(1+Table2[Discount rate D])^0.5</f>
        <v>365.76758877665713</v>
      </c>
      <c r="AW116" s="74">
        <f>Table2[[#This Row],[Asset growth D with benefit payments deducted]]/(1+Table2[Compounded CPI])</f>
        <v>43.063875522716401</v>
      </c>
      <c r="AX116" s="78">
        <f>Table2[[#This Row],[Asset growth D with benefit payments deducted]]/(1+Table2[Compounded discount rate D])</f>
        <v>5.1470901392010662</v>
      </c>
      <c r="AY116" s="75">
        <f>Table2[CPI]+4%</f>
        <v>6.7699999999999996E-2</v>
      </c>
      <c r="AZ116" s="72">
        <f t="shared" si="36"/>
        <v>215.76434219562421</v>
      </c>
      <c r="BA116" s="74">
        <f>Table2[[#This Row],[Annual benefit payments (closed scheme)]]/((1+AZ115)*(1+Table2[[#This Row],[Discount rate E]])^0.5)+BA115</f>
        <v>48.297574989056393</v>
      </c>
      <c r="BB116" s="17">
        <f>BB115*(1+Table2[Discount rate E])</f>
        <v>13005.860531737475</v>
      </c>
      <c r="BC116" s="71">
        <f>Table2[[#This Row],[Asset growth E]]/(1+Table2[Compounded CPI])</f>
        <v>1531.2531131525359</v>
      </c>
      <c r="BD116" s="74">
        <f>(BD115*((1+Table2[Discount rate E])^0.5)-Table2[Annual benefit payments (closed scheme)])*(1+Table2[Discount rate E])^0.5</f>
        <v>2536.6684595908055</v>
      </c>
      <c r="BE116" s="74">
        <f>Table2[[#This Row],[Asset growth E with benefit payments deducted]]/(1+Table2[Compounded CPI])</f>
        <v>298.65624549069042</v>
      </c>
      <c r="BF116" s="78">
        <f>Table2[[#This Row],[Asset growth E with benefit payments deducted]]/(1+Table2[Compounded discount rate E])</f>
        <v>11.70242501094358</v>
      </c>
      <c r="BG116" s="75">
        <f>Table2[[#This Row],[Long-dated forward gilt yields]]+0.75%</f>
        <v>2.5600000000000001E-2</v>
      </c>
      <c r="BH116" s="75">
        <f t="shared" si="37"/>
        <v>7.9178514034872958</v>
      </c>
      <c r="BI116" s="17">
        <f>((Table2[[#This Row],[Annual benefit payments (closed scheme)]])*1.005^(Table2[[#This Row],[Year]]-2018))/((1+BH115)*(1+Table2[[#This Row],[Discount rate F]])^0.5)+BI115</f>
        <v>82.343246759846366</v>
      </c>
      <c r="BJ116" s="74">
        <f>BJ115*(1+Table2[Discount rate F])</f>
        <v>734.32705118415345</v>
      </c>
      <c r="BK116" s="74">
        <f>Table2[[#This Row],[Asset growth F, under the assumption of full-funding at Year 0]]/(1+Table2[[#This Row],[Compounded CPI]])</f>
        <v>86.456454031161343</v>
      </c>
      <c r="BL116" s="74">
        <f>(BL115*((1+Table2[Discount rate F])^0.5)-Table2[Annual benefit payments (closed scheme)]*1.005^(Table2[Year]-2018))*(1+Table2[Discount rate F])^0.5</f>
        <v>2.2124991565404934E-3</v>
      </c>
      <c r="BM116" s="74">
        <f>Table2[[#This Row],[Asset growth F with benefit payments deducted]]/(1+Table2[Compounded CPI])</f>
        <v>2.6048997012021591E-4</v>
      </c>
      <c r="BN116" s="78">
        <f>Table2[[#This Row],[Asset growth F with benefit payments deducted]]/(1+Table2[Compounded discount rate F])</f>
        <v>2.4809778235094869E-4</v>
      </c>
      <c r="BO116" s="18">
        <f>(1+BO115)*(1+Table2[Discount rate A2])-1</f>
        <v>16.598805818995345</v>
      </c>
      <c r="BP116" s="74">
        <f>Table2[[#This Row],[Annual benefit payments (ongoing scheme)]]/((1+BO115)*(1+Table2[[#This Row],[Discount rate A2]])^0.5)+BP115</f>
        <v>112.49245518720215</v>
      </c>
      <c r="BQ116" s="74">
        <f>(BQ115*((1+Table2[Discount rate A2])^0.5)-Table2[Annual benefit payments (ongoing scheme)])*(1+Table2[Discount rate A2])^0.5</f>
        <v>0.29421680976310105</v>
      </c>
      <c r="BR116" s="18">
        <f>(1+BR115)*(1+Table2[Discount rate B])-1</f>
        <v>36.521813013123158</v>
      </c>
      <c r="BS116" s="74">
        <f>Table2[[#This Row],[Annual benefit payments (ongoing scheme)]]/((1+BR115)*(1+Table2[[#This Row],[Discount rate B]])^0.5)+BS115</f>
        <v>93.505305172589786</v>
      </c>
      <c r="BT116" s="18">
        <f>(1+BT115)*(1+Table2[Discount rate E])-1</f>
        <v>83.932827785821402</v>
      </c>
      <c r="BU116" s="74">
        <f>Table2[[#This Row],[Annual benefit payments (ongoing scheme)]]/((1+BT115)*(1+Table2[[#This Row],[Discount rate E]])^0.5)+BU115</f>
        <v>78.136544331367517</v>
      </c>
      <c r="BV116" s="18">
        <f>Table2[CPI]+0.75%+0.75%</f>
        <v>4.2699999999999995E-2</v>
      </c>
      <c r="BW116" s="18">
        <f>(1+BW115)*(1+Table2[Self-sufficiency discount rate, from 2037])-1</f>
        <v>14.322443159134641</v>
      </c>
      <c r="BX116" s="17">
        <f>(Table2[[#This Row],[Annual benefit payments (ongoing scheme)]]*1.005^(Table2[[#This Row],[Year]]-2038))/((1+BW115)*(1+Table2[[#This Row],[Self-sufficiency discount rate, from 2037]])^0.5)+BX115</f>
        <v>128.02260477295681</v>
      </c>
      <c r="BY116" s="74">
        <f>(BY115*((1+Table2[Self-sufficiency discount rate, from 2037])^0.5)-Table2[Annual benefit payments (ongoing scheme)]*1.005^(Table2[Year]-2038))*(1+Table2[Self-sufficiency discount rate, from 2037])^0.5</f>
        <v>0.42775174794312837</v>
      </c>
      <c r="BZ116" s="74">
        <f>(BZ115*((1+Table2[Discount rate B])^0.5)-Table2[Annual benefit payments (ongoing scheme)])*(1+Table2[Discount rate B])^0.5</f>
        <v>0.28655871855550941</v>
      </c>
      <c r="CA116" s="74">
        <f>(CA115*((1+Table2[Discount rate A2])^0.5)+Table2[Net cashflow (ongoing scheme)])*(1+Table2[Discount rate A2])^0.5</f>
        <v>-5.5303765251171919</v>
      </c>
      <c r="CB116" s="74">
        <f>Table2[[#This Row],[Asset growth, ongoing scheme, with November de-risking, net of contributions and payments]]/(1+Table2[Compounded discount rate A2])</f>
        <v>-0.17673431273215631</v>
      </c>
      <c r="CC116" s="74">
        <f>Table2[[#This Row],[Asset growth, ongoing scheme, with November de-risking, net of contributions and payments]]/(1+Table2[Compounded CPI])</f>
        <v>-0.65112233445272039</v>
      </c>
      <c r="CD116" s="74">
        <f>(CD115*((1+Table2[Discount rate A1])^0.5)+Table2[Net cashflow (ongoing scheme)])*(1+Table2[Discount rate A1])^0.5</f>
        <v>95.532931228223191</v>
      </c>
      <c r="CE116" s="74">
        <f>Table2[[#This Row],[Asset growth, ongoing scheme, with September de-risking, net of contributions and payments]]/(1+Table2[Compounded discount rate A1])</f>
        <v>2.8997086505183089</v>
      </c>
      <c r="CF116" s="74">
        <f>Table2[[#This Row],[Asset growth, ongoing scheme, with September de-risking, net of contributions and payments]]/(1+Table2[Compounded CPI])</f>
        <v>11.247629327935089</v>
      </c>
      <c r="CG116" s="74">
        <f>(CG115*((1+Table2[Discount rate B])^0.5)+Table2[Net cashflow (ongoing scheme)])*(1+Table2[Discount rate B])^0.5</f>
        <v>1127.169490169551</v>
      </c>
      <c r="CH116" s="74">
        <f>Table2[[#This Row],[Asset growth, ongoing scheme, no de-risking, net of contributions and payments]]/(1+Table2[Compounded discount rate B])</f>
        <v>15.309698247643567</v>
      </c>
      <c r="CI116" s="74">
        <f>Table2[[#This Row],[Asset growth, ongoing scheme, no de-risking, net of contributions and payments]]/(1+Table2[Compounded CPI])</f>
        <v>132.70800395413011</v>
      </c>
      <c r="CJ116" s="74">
        <f>(CJ115*((1+Table2[Discount rate E])^0.5)+Table2[Net cashflow (ongoing scheme)])*(1+Table2[Discount rate E])^0.5</f>
        <v>6922.7199444061007</v>
      </c>
      <c r="CK116" s="74">
        <f>Table2[[#This Row],[Asset growth, ongoing scheme, best-estimates, no de-risking, net of contributions and payments ]]/(1+Table2[Compounded discount rate E])</f>
        <v>31.936617777099727</v>
      </c>
      <c r="CL116" s="74">
        <f>Table2[[#This Row],[Asset growth, ongoing scheme, best-estimates, no de-risking, net of contributions and payments ]]/(1+Table2[Compounded CPI])</f>
        <v>815.05075657910822</v>
      </c>
      <c r="CM116" s="73">
        <f t="shared" si="24"/>
        <v>2.7699999999999999E-2</v>
      </c>
      <c r="CN116" s="75">
        <f>(1+Table2[[#This Row],[CPI]])*(1+CN115)-1</f>
        <v>7.493605936226361</v>
      </c>
      <c r="CO116" s="11">
        <f t="shared" si="23"/>
        <v>1.8100000000000002E-2</v>
      </c>
      <c r="CP116" s="75">
        <f>Table2[[#This Row],[CPI]]+2%</f>
        <v>4.7699999999999999E-2</v>
      </c>
      <c r="CQ116" s="76">
        <f>(1+Table2[[#This Row],[Salary growth]])*(1+CQ115)-1</f>
        <v>47.94324772984848</v>
      </c>
      <c r="CR116" s="77">
        <f t="shared" si="25"/>
        <v>84.936059362263578</v>
      </c>
      <c r="CS116" s="74">
        <f t="shared" si="26"/>
        <v>110.41687717094271</v>
      </c>
      <c r="CT116" s="74">
        <f>CT115*(1+Table2[[#This Row],[Salary growth]])</f>
        <v>489.43247729848486</v>
      </c>
      <c r="CU116" s="78">
        <f t="shared" si="38"/>
        <v>636.26222048803004</v>
      </c>
      <c r="CV116" s="116">
        <f>('Cash flows as at 31032017'!B101)/1000000000</f>
        <v>3.67501E-4</v>
      </c>
      <c r="CW116" s="117">
        <v>0</v>
      </c>
      <c r="CX116" s="117">
        <f>Table2[[#This Row],[Annual contributions (closed scheme)]]-Table2[[#This Row],[Annual benefit payments (closed scheme)]]</f>
        <v>-3.67501E-4</v>
      </c>
      <c r="CY116" s="117">
        <v>0.12</v>
      </c>
      <c r="CZ116" s="117">
        <v>0</v>
      </c>
      <c r="DA116" s="117">
        <v>-0.12</v>
      </c>
    </row>
    <row r="117" spans="1:105" x14ac:dyDescent="0.2">
      <c r="A117" s="7">
        <v>2110</v>
      </c>
      <c r="E117" s="6">
        <v>6.0999999999999999E-2</v>
      </c>
      <c r="F117" s="1">
        <f>F116*(1+Table2[[#This Row],[2008 discount rate]])</f>
        <v>14145.254601112041</v>
      </c>
      <c r="G117" s="1">
        <v>19.061</v>
      </c>
      <c r="H117">
        <f>H116*(1+Table2[[#This Row],[2011 discount rate]])</f>
        <v>1.0745651775058639E+22</v>
      </c>
      <c r="I117" s="1">
        <v>19.052</v>
      </c>
      <c r="J117" s="1">
        <f>J116*(1+Table2[[#This Row],[2014 discount rate]])</f>
        <v>5.7513709007618913E+21</v>
      </c>
      <c r="K117" s="9">
        <f>Table2[CPI]+1.7%</f>
        <v>4.4700000000000004E-2</v>
      </c>
      <c r="L117" s="108">
        <f t="shared" si="21"/>
        <v>33.418372768686744</v>
      </c>
      <c r="M117" s="17">
        <f>Table2[[#This Row],[Annual benefit payments (closed scheme)]]/((1+L116)*(1+Table2[[#This Row],[Discount rate A1]])^0.5)+M116</f>
        <v>64.922538411034623</v>
      </c>
      <c r="N117" s="74">
        <f>N116*(1+Table2[Discount rate A1])</f>
        <v>2234.5291711737304</v>
      </c>
      <c r="O117" s="74">
        <f>Table2[[#This Row],[Asset growth A1, under the assumption of full-funding at Year 0]]/(1+Table2[[#This Row],[Compounded CPI]])</f>
        <v>255.99269013621367</v>
      </c>
      <c r="P117" s="74">
        <f>(P116*((1+Table2[Discount rate A1])^0.5)-Table2[Annual benefit payments (closed scheme)])*(1+Table2[Discount rate A1])^0.5</f>
        <v>1.0430533537557432E-3</v>
      </c>
      <c r="Q117" s="74">
        <f>Table2[[#This Row],[Asset growth A1 with benefit payments deducted]]/(1+Table2[Compounded CPI])</f>
        <v>1.1949453935447083E-4</v>
      </c>
      <c r="R117" s="74">
        <f>Table2[[#This Row],[Asset growth A1 with benefit payments deducted]]/(1+Table2[Compounded discount rate A1])</f>
        <v>3.0305132690778906E-5</v>
      </c>
      <c r="S117" s="73">
        <f>Table2[CPI]+1.7%</f>
        <v>4.4700000000000004E-2</v>
      </c>
      <c r="T117" s="72">
        <f t="shared" si="32"/>
        <v>31.690790296878859</v>
      </c>
      <c r="U117" s="17">
        <f>Table2[[#This Row],[Annual benefit payments (closed scheme)]]/((1+T116)*(1+Table2[[#This Row],[Discount rate A2]])^0.5)+U116</f>
        <v>67.511274126268404</v>
      </c>
      <c r="V117" s="74">
        <f>V116*(1+Table2[Discount rate A2])</f>
        <v>2206.9979481902947</v>
      </c>
      <c r="W117" s="74">
        <f>Table2[[#This Row],[Asset growth A2, under the assumption of full-funding at Year 0]]/(1+Table2[Compounded CPI])</f>
        <v>252.83865127863737</v>
      </c>
      <c r="X117" s="74">
        <f>(X116*((1+Table2[Discount rate A2])^0.5)-Table2[Annual benefit payments (closed scheme)])*(1+Table2[Discount rate A2])^0.5</f>
        <v>1.0430533544033439E-3</v>
      </c>
      <c r="Y117" s="74">
        <f>Table2[[#This Row],[Asset growth A2 with benefit payments deducted]]/(1+Table2[[#This Row],[Compounded CPI]])</f>
        <v>1.1949453942866143E-4</v>
      </c>
      <c r="Z117" s="78">
        <f>Table2[[#This Row],[Asset growth A2 with benefit payments deducted]]/(1+Table2[Compounded discount rate A2])</f>
        <v>3.1906642358013869E-5</v>
      </c>
      <c r="AA117" s="109">
        <f>Table2[CPI]+2.8%</f>
        <v>5.57E-2</v>
      </c>
      <c r="AB117" s="72">
        <f t="shared" si="33"/>
        <v>76.725426819248369</v>
      </c>
      <c r="AC117" s="74">
        <f>Table2[[#This Row],[Annual benefit payments (closed scheme)]]/((1+AB116)*(1+Table2[[#This Row],[Discount rate B]])^0.5)+AC116</f>
        <v>60.42688543540045</v>
      </c>
      <c r="AD117" s="110">
        <f>AD116*(1+Table2[Discount rate B])</f>
        <v>4663.5256091549018</v>
      </c>
      <c r="AE117" s="71">
        <f>Table2[[#This Row],[Asset growth B]]/(1+Table2[Compounded CPI])</f>
        <v>534.26398796109959</v>
      </c>
      <c r="AF117" s="74">
        <f>(AF116*((1+Table2[Discount rate B])^0.5)-Table2[Annual benefit payments (closed scheme)])*(1+Table2[Discount rate B])^0.5</f>
        <v>-33.179852669420328</v>
      </c>
      <c r="AG117" s="74">
        <f>Table2[[#This Row],[Asset growth B with benefit payments deducted]]/(1+Table2[Compounded CPI])</f>
        <v>-3.8011585853258762</v>
      </c>
      <c r="AH117" s="78">
        <f>Table2[[#This Row],[Asset growth B with benefit payments deducted]]/(1+Table2[Compounded discount rate B])</f>
        <v>-0.42688543540044582</v>
      </c>
      <c r="AI117" s="75">
        <f>Table2[CPI]+2.56%</f>
        <v>5.33E-2</v>
      </c>
      <c r="AJ117" s="72">
        <f t="shared" si="34"/>
        <v>78.962900146958702</v>
      </c>
      <c r="AK117" s="74">
        <f>Table2[[#This Row],[Annual benefit payments (closed scheme)]]/((1+AJ116)*(1+Table2[[#This Row],[Discount rate C]])^0.5)+AK116</f>
        <v>52.353422502519855</v>
      </c>
      <c r="AL117" s="74">
        <f>AL116*(1+Table2[Discount rate C])</f>
        <v>4797.7740088175224</v>
      </c>
      <c r="AM117" s="74">
        <f>Table2[[#This Row],[Asset growth C]]/(1+Table2[Compounded CPI])</f>
        <v>549.64378672115072</v>
      </c>
      <c r="AN117" s="74">
        <f>(AN116*((1+Table2[Discount rate C])^0.5)-Table2[Annual benefit payments (closed scheme)])*(1+Table2[Discount rate C])^0.5</f>
        <v>611.44251289698093</v>
      </c>
      <c r="AO117" s="74">
        <f>Table2[[#This Row],[Asset growth C with benefit payments deducted]]/(1+Table2[Compounded CPI])</f>
        <v>70.048230186194857</v>
      </c>
      <c r="AP117" s="78">
        <f>Table2[[#This Row],[Asset growth C with benefit payments deducted]]/(1+Table2[Compounded discount rate C])</f>
        <v>7.6465774974800791</v>
      </c>
      <c r="AQ117" s="75">
        <f>Table2[CPI]+2.56%</f>
        <v>5.33E-2</v>
      </c>
      <c r="AR117" s="72">
        <f t="shared" si="35"/>
        <v>73.850641982006096</v>
      </c>
      <c r="AS117" s="74">
        <f>Table2[[#This Row],[Annual benefit payments (closed scheme)]]/((1+AR116)*(1+Table2[[#This Row],[Discount rate D]])^0.5)+AS116</f>
        <v>54.85291422705788</v>
      </c>
      <c r="AT117" s="71">
        <f>AT116*(1+Table2[Discount rate D])</f>
        <v>4491.0385189203644</v>
      </c>
      <c r="AU117" s="74">
        <f>Table2[[#This Row],[Asset growth D]]/(1+Table2[Compounded CPI])</f>
        <v>514.50347876187823</v>
      </c>
      <c r="AV117" s="74">
        <f>(AV116*((1+Table2[Discount rate D])^0.5)-Table2[Annual benefit payments (closed scheme)])*(1+Table2[Discount rate D])^0.5</f>
        <v>385.26267444116536</v>
      </c>
      <c r="AW117" s="74">
        <f>Table2[[#This Row],[Asset growth D with benefit payments deducted]]/(1+Table2[Compounded CPI])</f>
        <v>44.13655892774127</v>
      </c>
      <c r="AX117" s="78">
        <f>Table2[[#This Row],[Asset growth D with benefit payments deducted]]/(1+Table2[Compounded discount rate D])</f>
        <v>5.1470857729420878</v>
      </c>
      <c r="AY117" s="75">
        <f>Table2[CPI]+4%</f>
        <v>6.7699999999999996E-2</v>
      </c>
      <c r="AZ117" s="72">
        <f t="shared" si="36"/>
        <v>230.43928816226799</v>
      </c>
      <c r="BA117" s="74">
        <f>Table2[[#This Row],[Annual benefit payments (closed scheme)]]/((1+AZ116)*(1+Table2[[#This Row],[Discount rate E]])^0.5)+BA116</f>
        <v>48.297576410784387</v>
      </c>
      <c r="BB117" s="17">
        <f>BB116*(1+Table2[Discount rate E])</f>
        <v>13886.357289736103</v>
      </c>
      <c r="BC117" s="71">
        <f>Table2[[#This Row],[Asset growth E]]/(1+Table2[Compounded CPI])</f>
        <v>1590.8523391193564</v>
      </c>
      <c r="BD117" s="74">
        <f>(BD116*((1+Table2[Discount rate E])^0.5)-Table2[Annual benefit payments (closed scheme)])*(1+Table2[Discount rate E])^0.5</f>
        <v>2708.4005852613873</v>
      </c>
      <c r="BE117" s="74">
        <f>Table2[[#This Row],[Asset growth E with benefit payments deducted]]/(1+Table2[Compounded CPI])</f>
        <v>310.28046567115183</v>
      </c>
      <c r="BF117" s="78">
        <f>Table2[[#This Row],[Asset growth E with benefit payments deducted]]/(1+Table2[Compounded discount rate E])</f>
        <v>11.702423589215581</v>
      </c>
      <c r="BG117" s="75">
        <f>Table2[[#This Row],[Long-dated forward gilt yields]]+0.75%</f>
        <v>2.5600000000000001E-2</v>
      </c>
      <c r="BH117" s="75">
        <f t="shared" si="37"/>
        <v>8.1461483994165711</v>
      </c>
      <c r="BI117" s="17">
        <f>((Table2[[#This Row],[Annual benefit payments (closed scheme)]])*1.005^(Table2[[#This Row],[Year]]-2018))/((1+BH116)*(1+Table2[[#This Row],[Discount rate F]])^0.5)+BI116</f>
        <v>82.343302549982752</v>
      </c>
      <c r="BJ117" s="74">
        <f>BJ116*(1+Table2[Discount rate F])</f>
        <v>753.12582369446784</v>
      </c>
      <c r="BK117" s="74">
        <f>Table2[[#This Row],[Asset growth F, under the assumption of full-funding at Year 0]]/(1+Table2[[#This Row],[Compounded CPI]])</f>
        <v>86.279789096389095</v>
      </c>
      <c r="BL117" s="74">
        <f>(BL116*((1+Table2[Discount rate F])^0.5)-Table2[Annual benefit payments (closed scheme)]*1.005^(Table2[Year]-2018))*(1+Table2[Discount rate F])^0.5</f>
        <v>1.7588742683719695E-3</v>
      </c>
      <c r="BM117" s="74">
        <f>Table2[[#This Row],[Asset growth F with benefit payments deducted]]/(1+Table2[Compounded CPI])</f>
        <v>2.0150059412086247E-4</v>
      </c>
      <c r="BN117" s="78">
        <f>Table2[[#This Row],[Asset growth F with benefit payments deducted]]/(1+Table2[Compounded discount rate F])</f>
        <v>1.9230764596867546E-4</v>
      </c>
      <c r="BO117" s="18">
        <f>(1+BO116)*(1+Table2[Discount rate A2])-1</f>
        <v>17.385472439104436</v>
      </c>
      <c r="BP117" s="74">
        <f>Table2[[#This Row],[Annual benefit payments (ongoing scheme)]]/((1+BO116)*(1+Table2[[#This Row],[Discount rate A2]])^0.5)+BP116</f>
        <v>112.49857042976868</v>
      </c>
      <c r="BQ117" s="74">
        <f>(BQ116*((1+Table2[Discount rate A2])^0.5)-Table2[Annual benefit payments (ongoing scheme)])*(1+Table2[Discount rate A2])^0.5</f>
        <v>0.19493667749428123</v>
      </c>
      <c r="BR117" s="18">
        <f>(1+BR116)*(1+Table2[Discount rate B])-1</f>
        <v>38.611777997954121</v>
      </c>
      <c r="BS117" s="74">
        <f>Table2[[#This Row],[Annual benefit payments (ongoing scheme)]]/((1+BR116)*(1+Table2[[#This Row],[Discount rate B]])^0.5)+BS116</f>
        <v>93.508158414598185</v>
      </c>
      <c r="BT117" s="18">
        <f>(1+BT116)*(1+Table2[Discount rate E])-1</f>
        <v>89.682780226921523</v>
      </c>
      <c r="BU117" s="74">
        <f>Table2[[#This Row],[Annual benefit payments (ongoing scheme)]]/((1+BT116)*(1+Table2[[#This Row],[Discount rate E]])^0.5)+BU116</f>
        <v>78.137797739418332</v>
      </c>
      <c r="BV117" s="18">
        <f>Table2[CPI]+0.75%+0.75%</f>
        <v>4.2699999999999995E-2</v>
      </c>
      <c r="BW117" s="18">
        <f>(1+BW116)*(1+Table2[Self-sufficiency discount rate, from 2037])-1</f>
        <v>14.976711482029691</v>
      </c>
      <c r="BX117" s="17">
        <f>(Table2[[#This Row],[Annual benefit payments (ongoing scheme)]]*1.005^(Table2[[#This Row],[Year]]-2038))/((1+BW116)*(1+Table2[[#This Row],[Self-sufficiency discount rate, from 2037]])^0.5)+BX116</f>
        <v>128.03267273166975</v>
      </c>
      <c r="BY117" s="74">
        <f>(BY116*((1+Table2[Self-sufficiency discount rate, from 2037])^0.5)-Table2[Annual benefit payments (ongoing scheme)]*1.005^(Table2[Year]-2038))*(1+Table2[Self-sufficiency discount rate, from 2037])^0.5</f>
        <v>0.28516387601078313</v>
      </c>
      <c r="BZ117" s="74">
        <f>(BZ116*((1+Table2[Discount rate B])^0.5)-Table2[Annual benefit payments (ongoing scheme)])*(1+Table2[Discount rate B])^0.5</f>
        <v>0.18949805016806279</v>
      </c>
      <c r="CA117" s="74">
        <f>(CA116*((1+Table2[Discount rate A2])^0.5)+Table2[Net cashflow (ongoing scheme)])*(1+Table2[Discount rate A2])^0.5</f>
        <v>-5.8900159794551605</v>
      </c>
      <c r="CB117" s="74">
        <f>Table2[[#This Row],[Asset growth, ongoing scheme, with November de-risking, net of contributions and payments]]/(1+Table2[Compounded discount rate A2])</f>
        <v>-0.18017355732196869</v>
      </c>
      <c r="CC117" s="74">
        <f>Table2[[#This Row],[Asset growth, ongoing scheme, with November de-risking, net of contributions and payments]]/(1+Table2[Compounded CPI])</f>
        <v>-0.67477348471311738</v>
      </c>
      <c r="CD117" s="74">
        <f>(CD116*((1+Table2[Discount rate A1])^0.5)+Table2[Net cashflow (ongoing scheme)])*(1+Table2[Discount rate A1])^0.5</f>
        <v>99.690821630459524</v>
      </c>
      <c r="CE117" s="74">
        <f>Table2[[#This Row],[Asset growth, ongoing scheme, with September de-risking, net of contributions and payments]]/(1+Table2[Compounded discount rate A1])</f>
        <v>2.8964420340393477</v>
      </c>
      <c r="CF117" s="74">
        <f>Table2[[#This Row],[Asset growth, ongoing scheme, with September de-risking, net of contributions and payments]]/(1+Table2[Compounded CPI])</f>
        <v>11.420804856920183</v>
      </c>
      <c r="CG117" s="74">
        <f>(CG116*((1+Table2[Discount rate B])^0.5)+Table2[Net cashflow (ongoing scheme)])*(1+Table2[Discount rate B])^0.5</f>
        <v>1189.8398087829839</v>
      </c>
      <c r="CH117" s="74">
        <f>Table2[[#This Row],[Asset growth, ongoing scheme, no de-risking, net of contributions and payments]]/(1+Table2[Compounded discount rate B])</f>
        <v>15.308244129041247</v>
      </c>
      <c r="CI117" s="74">
        <f>Table2[[#This Row],[Asset growth, ongoing scheme, no de-risking, net of contributions and payments]]/(1+Table2[Compounded CPI])</f>
        <v>136.31072595106113</v>
      </c>
      <c r="CJ117" s="74">
        <f>(CJ116*((1+Table2[Discount rate E])^0.5)+Table2[Net cashflow (ongoing scheme)])*(1+Table2[Discount rate E])^0.5</f>
        <v>7391.2744221155872</v>
      </c>
      <c r="CK117" s="74">
        <f>Table2[[#This Row],[Asset growth, ongoing scheme, best-estimates, no de-risking, net of contributions and payments ]]/(1+Table2[Compounded discount rate E])</f>
        <v>31.936126665466478</v>
      </c>
      <c r="CL117" s="74">
        <f>Table2[[#This Row],[Asset growth, ongoing scheme, best-estimates, no de-risking, net of contributions and payments ]]/(1+Table2[Compounded CPI])</f>
        <v>846.76103013615523</v>
      </c>
      <c r="CM117" s="73">
        <f t="shared" si="24"/>
        <v>2.7699999999999999E-2</v>
      </c>
      <c r="CN117" s="75">
        <f>(1+Table2[[#This Row],[CPI]])*(1+CN116)-1</f>
        <v>7.7288788206598316</v>
      </c>
      <c r="CO117" s="11">
        <f t="shared" si="23"/>
        <v>1.8100000000000002E-2</v>
      </c>
      <c r="CP117" s="75">
        <f>Table2[[#This Row],[CPI]]+2%</f>
        <v>4.7699999999999999E-2</v>
      </c>
      <c r="CQ117" s="76">
        <f>(1+Table2[[#This Row],[Salary growth]])*(1+CQ116)-1</f>
        <v>50.277840646562254</v>
      </c>
      <c r="CR117" s="77">
        <f t="shared" si="25"/>
        <v>87.288788206598284</v>
      </c>
      <c r="CS117" s="74">
        <f t="shared" si="26"/>
        <v>113.47542466857783</v>
      </c>
      <c r="CT117" s="74">
        <f>CT116*(1+Table2[[#This Row],[Salary growth]])</f>
        <v>512.77840646562265</v>
      </c>
      <c r="CU117" s="78">
        <f t="shared" si="38"/>
        <v>666.61192840530907</v>
      </c>
      <c r="CV117" s="116">
        <f>('Cash flows as at 31032017'!B102)/1000000000</f>
        <v>3.1844099999999998E-4</v>
      </c>
      <c r="CW117" s="117">
        <v>0</v>
      </c>
      <c r="CX117" s="117">
        <f>Table2[[#This Row],[Annual contributions (closed scheme)]]-Table2[[#This Row],[Annual benefit payments (closed scheme)]]</f>
        <v>-3.1844099999999998E-4</v>
      </c>
      <c r="CY117" s="117">
        <v>0.11</v>
      </c>
      <c r="CZ117" s="117">
        <v>0</v>
      </c>
      <c r="DA117" s="117">
        <v>-0.11</v>
      </c>
    </row>
    <row r="118" spans="1:105" x14ac:dyDescent="0.2">
      <c r="A118" s="7">
        <v>2111</v>
      </c>
      <c r="E118" s="6">
        <v>6.0999999999999999E-2</v>
      </c>
      <c r="F118" s="1">
        <f>F117*(1+Table2[[#This Row],[2008 discount rate]])</f>
        <v>15008.115131779876</v>
      </c>
      <c r="G118" s="1">
        <v>20.061</v>
      </c>
      <c r="H118">
        <f>H117*(1+Table2[[#This Row],[2011 discount rate]])</f>
        <v>2.2631417203450997E+23</v>
      </c>
      <c r="I118" s="1">
        <v>20.052</v>
      </c>
      <c r="J118" s="1">
        <f>J117*(1+Table2[[#This Row],[2014 discount rate]])</f>
        <v>1.2107786020283933E+23</v>
      </c>
      <c r="K118" s="9">
        <f>Table2[CPI]+1.7%</f>
        <v>4.4700000000000004E-2</v>
      </c>
      <c r="L118" s="108">
        <f t="shared" si="21"/>
        <v>34.956874031447043</v>
      </c>
      <c r="M118" s="17">
        <f>Table2[[#This Row],[Annual benefit payments (closed scheme)]]/((1+L117)*(1+Table2[[#This Row],[Discount rate A1]])^0.5)+M117</f>
        <v>64.9225461888946</v>
      </c>
      <c r="N118" s="74">
        <f>N117*(1+Table2[Discount rate A1])</f>
        <v>2334.412625125196</v>
      </c>
      <c r="O118" s="74">
        <f>Table2[[#This Row],[Asset growth A1, under the assumption of full-funding at Year 0]]/(1+Table2[[#This Row],[Compounded CPI]])</f>
        <v>260.22726806003931</v>
      </c>
      <c r="P118" s="74">
        <f>(P117*((1+Table2[Discount rate A1])^0.5)-Table2[Annual benefit payments (closed scheme)])*(1+Table2[Discount rate A1])^0.5</f>
        <v>8.1001030743538217E-4</v>
      </c>
      <c r="Q118" s="74">
        <f>Table2[[#This Row],[Asset growth A1 with benefit payments deducted]]/(1+Table2[Compounded CPI])</f>
        <v>9.0295420413551535E-5</v>
      </c>
      <c r="R118" s="74">
        <f>Table2[[#This Row],[Asset growth A1 with benefit payments deducted]]/(1+Table2[Compounded discount rate A1])</f>
        <v>2.2527272719173697E-5</v>
      </c>
      <c r="S118" s="73">
        <f>Table2[CPI]+1.7%</f>
        <v>4.4700000000000004E-2</v>
      </c>
      <c r="T118" s="72">
        <f t="shared" si="32"/>
        <v>33.15206862314934</v>
      </c>
      <c r="U118" s="17">
        <f>Table2[[#This Row],[Annual benefit payments (closed scheme)]]/((1+T117)*(1+Table2[[#This Row],[Discount rate A2]])^0.5)+U117</f>
        <v>67.51128231515834</v>
      </c>
      <c r="V118" s="74">
        <f>V117*(1+Table2[Discount rate A2])</f>
        <v>2305.6507564744006</v>
      </c>
      <c r="W118" s="74">
        <f>Table2[[#This Row],[Asset growth A2, under the assumption of full-funding at Year 0]]/(1+Table2[Compounded CPI])</f>
        <v>257.0210557466113</v>
      </c>
      <c r="X118" s="74">
        <f>(X117*((1+Table2[Discount rate A2])^0.5)-Table2[Annual benefit payments (closed scheme)])*(1+Table2[Discount rate A2])^0.5</f>
        <v>8.1001030811193072E-4</v>
      </c>
      <c r="Y118" s="74">
        <f>Table2[[#This Row],[Asset growth A2 with benefit payments deducted]]/(1+Table2[[#This Row],[Compounded CPI]])</f>
        <v>9.0295420488969384E-5</v>
      </c>
      <c r="Z118" s="78">
        <f>Table2[[#This Row],[Asset growth A2 with benefit payments deducted]]/(1+Table2[Compounded discount rate A2])</f>
        <v>2.3717752416405033E-5</v>
      </c>
      <c r="AA118" s="109">
        <f>Table2[CPI]+2.8%</f>
        <v>5.57E-2</v>
      </c>
      <c r="AB118" s="72">
        <f t="shared" si="33"/>
        <v>81.054733093080515</v>
      </c>
      <c r="AC118" s="74">
        <f>Table2[[#This Row],[Annual benefit payments (closed scheme)]]/((1+AB117)*(1+Table2[[#This Row],[Discount rate B]])^0.5)+AC117</f>
        <v>60.426888861601746</v>
      </c>
      <c r="AD118" s="110">
        <f>AD117*(1+Table2[Discount rate B])</f>
        <v>4923.2839855848306</v>
      </c>
      <c r="AE118" s="71">
        <f>Table2[[#This Row],[Asset growth B]]/(1+Table2[Compounded CPI])</f>
        <v>548.82017329038922</v>
      </c>
      <c r="AF118" s="74">
        <f>(AF117*((1+Table2[Discount rate B])^0.5)-Table2[Annual benefit payments (closed scheme)])*(1+Table2[Discount rate B])^0.5</f>
        <v>-35.028251599139864</v>
      </c>
      <c r="AG118" s="74">
        <f>Table2[[#This Row],[Asset growth B with benefit payments deducted]]/(1+Table2[Compounded CPI])</f>
        <v>-3.9047536500000768</v>
      </c>
      <c r="AH118" s="78">
        <f>Table2[[#This Row],[Asset growth B with benefit payments deducted]]/(1+Table2[Compounded discount rate B])</f>
        <v>-0.42688886160174122</v>
      </c>
      <c r="AI118" s="75">
        <f>Table2[CPI]+2.56%</f>
        <v>5.33E-2</v>
      </c>
      <c r="AJ118" s="72">
        <f t="shared" si="34"/>
        <v>83.224922724791597</v>
      </c>
      <c r="AK118" s="74">
        <f>Table2[[#This Row],[Annual benefit payments (closed scheme)]]/((1+AJ117)*(1+Table2[[#This Row],[Discount rate C]])^0.5)+AK117</f>
        <v>52.353425836643275</v>
      </c>
      <c r="AL118" s="74">
        <f>AL117*(1+Table2[Discount rate C])</f>
        <v>5053.4953634874955</v>
      </c>
      <c r="AM118" s="74">
        <f>Table2[[#This Row],[Asset growth C]]/(1+Table2[Compounded CPI])</f>
        <v>563.33540970457136</v>
      </c>
      <c r="AN118" s="74">
        <f>(AN117*((1+Table2[Discount rate C])^0.5)-Table2[Annual benefit payments (closed scheme)])*(1+Table2[Discount rate C])^0.5</f>
        <v>644.03211801810232</v>
      </c>
      <c r="AO118" s="74">
        <f>Table2[[#This Row],[Asset growth C with benefit payments deducted]]/(1+Table2[Compounded CPI])</f>
        <v>71.793099819181876</v>
      </c>
      <c r="AP118" s="78">
        <f>Table2[[#This Row],[Asset growth C with benefit payments deducted]]/(1+Table2[Compounded discount rate C])</f>
        <v>7.6465741633566564</v>
      </c>
      <c r="AQ118" s="75">
        <f>Table2[CPI]+2.56%</f>
        <v>5.33E-2</v>
      </c>
      <c r="AR118" s="72">
        <f t="shared" si="35"/>
        <v>77.84018119964702</v>
      </c>
      <c r="AS118" s="74">
        <f>Table2[[#This Row],[Annual benefit payments (closed scheme)]]/((1+AR117)*(1+Table2[[#This Row],[Discount rate D]])^0.5)+AS117</f>
        <v>54.852917788900115</v>
      </c>
      <c r="AT118" s="71">
        <f>AT117*(1+Table2[Discount rate D])</f>
        <v>4730.4108719788192</v>
      </c>
      <c r="AU118" s="74">
        <f>Table2[[#This Row],[Asset growth D]]/(1+Table2[Compounded CPI])</f>
        <v>527.3197569133855</v>
      </c>
      <c r="AV118" s="74">
        <f>(AV117*((1+Table2[Discount rate D])^0.5)-Table2[Annual benefit payments (closed scheme)])*(1+Table2[Discount rate D])^0.5</f>
        <v>405.79689417259198</v>
      </c>
      <c r="AW118" s="74">
        <f>Table2[[#This Row],[Asset growth D with benefit payments deducted]]/(1+Table2[Compounded CPI])</f>
        <v>45.235969006173079</v>
      </c>
      <c r="AX118" s="78">
        <f>Table2[[#This Row],[Asset growth D with benefit payments deducted]]/(1+Table2[Compounded discount rate D])</f>
        <v>5.1470822110998498</v>
      </c>
      <c r="AY118" s="75">
        <f>Table2[CPI]+4%</f>
        <v>6.7699999999999996E-2</v>
      </c>
      <c r="AZ118" s="72">
        <f t="shared" si="36"/>
        <v>246.10772797085355</v>
      </c>
      <c r="BA118" s="74">
        <f>Table2[[#This Row],[Annual benefit payments (closed scheme)]]/((1+AZ117)*(1+Table2[[#This Row],[Discount rate E]])^0.5)+BA117</f>
        <v>48.297577554938549</v>
      </c>
      <c r="BB118" s="17">
        <f>BB117*(1+Table2[Discount rate E])</f>
        <v>14826.463678251239</v>
      </c>
      <c r="BC118" s="71">
        <f>Table2[[#This Row],[Asset growth E]]/(1+Table2[Compounded CPI])</f>
        <v>1652.771278075058</v>
      </c>
      <c r="BD118" s="74">
        <f>(BD117*((1+Table2[Discount rate E])^0.5)-Table2[Annual benefit payments (closed scheme)])*(1+Table2[Discount rate E])^0.5</f>
        <v>2891.7590221542473</v>
      </c>
      <c r="BE118" s="74">
        <f>Table2[[#This Row],[Asset growth E with benefit payments deducted]]/(1+Table2[Compounded CPI])</f>
        <v>322.35712835163952</v>
      </c>
      <c r="BF118" s="78">
        <f>Table2[[#This Row],[Asset growth E with benefit payments deducted]]/(1+Table2[Compounded discount rate E])</f>
        <v>11.702422445061416</v>
      </c>
      <c r="BG118" s="75">
        <f>Table2[[#This Row],[Long-dated forward gilt yields]]+0.75%</f>
        <v>2.5600000000000001E-2</v>
      </c>
      <c r="BH118" s="75">
        <f t="shared" si="37"/>
        <v>8.3802897984416358</v>
      </c>
      <c r="BI118" s="17">
        <f>((Table2[[#This Row],[Annual benefit payments (closed scheme)]])*1.005^(Table2[[#This Row],[Year]]-2018))/((1+BH117)*(1+Table2[[#This Row],[Discount rate F]])^0.5)+BI117</f>
        <v>82.34334952454536</v>
      </c>
      <c r="BJ118" s="74">
        <f>BJ117*(1+Table2[Discount rate F])</f>
        <v>772.40584478104631</v>
      </c>
      <c r="BK118" s="74">
        <f>Table2[[#This Row],[Asset growth F, under the assumption of full-funding at Year 0]]/(1+Table2[[#This Row],[Compounded CPI]])</f>
        <v>86.103485158369821</v>
      </c>
      <c r="BL118" s="74">
        <f>(BL117*((1+Table2[Discount rate F])^0.5)-Table2[Annual benefit payments (closed scheme)]*1.005^(Table2[Year]-2018))*(1+Table2[Discount rate F])^0.5</f>
        <v>1.3632664392627053E-3</v>
      </c>
      <c r="BM118" s="74">
        <f>Table2[[#This Row],[Asset growth F with benefit payments deducted]]/(1+Table2[Compounded CPI])</f>
        <v>1.5196932080858901E-4</v>
      </c>
      <c r="BN118" s="78">
        <f>Table2[[#This Row],[Asset growth F with benefit payments deducted]]/(1+Table2[Compounded discount rate F])</f>
        <v>1.4533308336477912E-4</v>
      </c>
      <c r="BO118" s="18">
        <f>(1+BO117)*(1+Table2[Discount rate A2])-1</f>
        <v>18.207303057132403</v>
      </c>
      <c r="BP118" s="74">
        <f>Table2[[#This Row],[Annual benefit payments (ongoing scheme)]]/((1+BO117)*(1+Table2[[#This Row],[Discount rate A2]])^0.5)+BP117</f>
        <v>112.49910257406121</v>
      </c>
      <c r="BQ118" s="74">
        <f>(BQ117*((1+Table2[Discount rate A2])^0.5)-Table2[Annual benefit payments (ongoing scheme)])*(1+Table2[Discount rate A2])^0.5</f>
        <v>0.19342929028143646</v>
      </c>
      <c r="BR118" s="18">
        <f>(1+BR117)*(1+Table2[Discount rate B])-1</f>
        <v>40.818154032440169</v>
      </c>
      <c r="BS118" s="74">
        <f>Table2[[#This Row],[Annual benefit payments (ongoing scheme)]]/((1+BR117)*(1+Table2[[#This Row],[Discount rate B]])^0.5)+BS117</f>
        <v>93.508404114737544</v>
      </c>
      <c r="BT118" s="18">
        <f>(1+BT117)*(1+Table2[Discount rate E])-1</f>
        <v>95.822004448284119</v>
      </c>
      <c r="BU118" s="74">
        <f>Table2[[#This Row],[Annual benefit payments (ongoing scheme)]]/((1+BT117)*(1+Table2[[#This Row],[Discount rate E]])^0.5)+BU117</f>
        <v>78.137904460581993</v>
      </c>
      <c r="BV118" s="18">
        <f>Table2[CPI]+0.75%+0.75%</f>
        <v>4.2699999999999995E-2</v>
      </c>
      <c r="BW118" s="18">
        <f>(1+BW117)*(1+Table2[Self-sufficiency discount rate, from 2037])-1</f>
        <v>15.658917062312359</v>
      </c>
      <c r="BX118" s="17">
        <f>(Table2[[#This Row],[Annual benefit payments (ongoing scheme)]]*1.005^(Table2[[#This Row],[Year]]-2038))/((1+BW117)*(1+Table2[[#This Row],[Self-sufficiency discount rate, from 2037]])^0.5)+BX117</f>
        <v>128.0335549080568</v>
      </c>
      <c r="BY118" s="74">
        <f>(BY117*((1+Table2[Self-sufficiency discount rate, from 2037])^0.5)-Table2[Annual benefit payments (ongoing scheme)]*1.005^(Table2[Year]-2038))*(1+Table2[Self-sufficiency discount rate, from 2037])^0.5</f>
        <v>0.28264427025031957</v>
      </c>
      <c r="BZ118" s="74">
        <f>(BZ117*((1+Table2[Discount rate B])^0.5)-Table2[Annual benefit payments (ongoing scheme)])*(1+Table2[Discount rate B])^0.5</f>
        <v>0.18977836528869763</v>
      </c>
      <c r="CA118" s="74">
        <f>(CA117*((1+Table2[Discount rate A2])^0.5)+Table2[Net cashflow (ongoing scheme)])*(1+Table2[Discount rate A2])^0.5</f>
        <v>-6.1635207504336442</v>
      </c>
      <c r="CB118" s="74">
        <f>Table2[[#This Row],[Asset growth, ongoing scheme, with November de-risking, net of contributions and payments]]/(1+Table2[Compounded discount rate A2])</f>
        <v>-0.18047283807153683</v>
      </c>
      <c r="CC118" s="74">
        <f>Table2[[#This Row],[Asset growth, ongoing scheme, with November de-risking, net of contributions and payments]]/(1+Table2[Compounded CPI])</f>
        <v>-0.68707483383778034</v>
      </c>
      <c r="CD118" s="74">
        <f>(CD117*((1+Table2[Discount rate A1])^0.5)+Table2[Net cashflow (ongoing scheme)])*(1+Table2[Discount rate A1])^0.5</f>
        <v>104.1367803006442</v>
      </c>
      <c r="CE118" s="74">
        <f>Table2[[#This Row],[Asset growth, ongoing scheme, with September de-risking, net of contributions and payments]]/(1+Table2[Compounded discount rate A1])</f>
        <v>2.8961577752718051</v>
      </c>
      <c r="CF118" s="74">
        <f>Table2[[#This Row],[Asset growth, ongoing scheme, with September de-risking, net of contributions and payments]]/(1+Table2[Compounded CPI])</f>
        <v>11.608586053098394</v>
      </c>
      <c r="CG118" s="74">
        <f>(CG117*((1+Table2[Discount rate B])^0.5)+Table2[Net cashflow (ongoing scheme)])*(1+Table2[Discount rate B])^0.5</f>
        <v>1256.1036114059223</v>
      </c>
      <c r="CH118" s="74">
        <f>Table2[[#This Row],[Asset growth, ongoing scheme, no de-risking, net of contributions and payments]]/(1+Table2[Compounded discount rate B])</f>
        <v>15.308118911081396</v>
      </c>
      <c r="CI118" s="74">
        <f>Table2[[#This Row],[Asset growth, ongoing scheme, no de-risking, net of contributions and payments]]/(1+Table2[Compounded CPI])</f>
        <v>140.02340789215961</v>
      </c>
      <c r="CJ118" s="74">
        <f>(CJ117*((1+Table2[Discount rate E])^0.5)+Table2[Net cashflow (ongoing scheme)])*(1+Table2[Discount rate E])^0.5</f>
        <v>7891.6533675358296</v>
      </c>
      <c r="CK118" s="74">
        <f>Table2[[#This Row],[Asset growth, ongoing scheme, best-estimates, no de-risking, net of contributions and payments ]]/(1+Table2[Compounded discount rate E])</f>
        <v>31.936084849870227</v>
      </c>
      <c r="CL118" s="74">
        <f>Table2[[#This Row],[Asset growth, ongoing scheme, best-estimates, no de-risking, net of contributions and payments ]]/(1+Table2[Compounded CPI])</f>
        <v>879.71739623389044</v>
      </c>
      <c r="CM118" s="73">
        <f t="shared" si="24"/>
        <v>2.7699999999999999E-2</v>
      </c>
      <c r="CN118" s="75">
        <f>(1+Table2[[#This Row],[CPI]])*(1+CN117)-1</f>
        <v>7.9706687639921086</v>
      </c>
      <c r="CO118" s="11">
        <f t="shared" si="23"/>
        <v>1.8100000000000002E-2</v>
      </c>
      <c r="CP118" s="75">
        <f>Table2[[#This Row],[CPI]]+2%</f>
        <v>4.7699999999999999E-2</v>
      </c>
      <c r="CQ118" s="76">
        <f>(1+Table2[[#This Row],[Salary growth]])*(1+CQ117)-1</f>
        <v>52.723793645403276</v>
      </c>
      <c r="CR118" s="77">
        <f t="shared" si="25"/>
        <v>89.706687639921057</v>
      </c>
      <c r="CS118" s="74">
        <f t="shared" si="26"/>
        <v>116.61869393189744</v>
      </c>
      <c r="CT118" s="74">
        <f>CT117*(1+Table2[[#This Row],[Salary growth]])</f>
        <v>537.23793645403293</v>
      </c>
      <c r="CU118" s="78">
        <f t="shared" si="38"/>
        <v>698.40931739024234</v>
      </c>
      <c r="CV118" s="116">
        <f>('Cash flows as at 31032017'!B103)/1000000000</f>
        <v>2.7361900000000001E-4</v>
      </c>
      <c r="CW118" s="117">
        <v>0</v>
      </c>
      <c r="CX118" s="117">
        <f>Table2[[#This Row],[Annual contributions (closed scheme)]]-Table2[[#This Row],[Annual benefit payments (closed scheme)]]</f>
        <v>-2.7361900000000001E-4</v>
      </c>
      <c r="CY118" s="117">
        <v>0.01</v>
      </c>
      <c r="CZ118" s="117">
        <v>0</v>
      </c>
      <c r="DA118" s="117">
        <v>-0.01</v>
      </c>
    </row>
    <row r="119" spans="1:105" x14ac:dyDescent="0.2">
      <c r="A119" s="7">
        <v>2112</v>
      </c>
      <c r="E119" s="6">
        <v>6.0999999999999999E-2</v>
      </c>
      <c r="F119" s="1">
        <f>F118*(1+Table2[[#This Row],[2008 discount rate]])</f>
        <v>15923.610154818447</v>
      </c>
      <c r="G119" s="1">
        <v>21.061</v>
      </c>
      <c r="H119">
        <f>H118*(1+Table2[[#This Row],[2011 discount rate]])</f>
        <v>4.992716949253325E+24</v>
      </c>
      <c r="I119" s="1">
        <v>21.052</v>
      </c>
      <c r="J119" s="1">
        <f>J118*(1+Table2[[#This Row],[2014 discount rate]])</f>
        <v>2.670008973193013E+24</v>
      </c>
      <c r="K119" s="9">
        <f>Table2[CPI]+1.7%</f>
        <v>4.4700000000000004E-2</v>
      </c>
      <c r="L119" s="108">
        <f t="shared" si="21"/>
        <v>36.564146300652723</v>
      </c>
      <c r="M119" s="17">
        <f>Table2[[#This Row],[Annual benefit payments (closed scheme)]]/((1+L118)*(1+Table2[[#This Row],[Discount rate A1]])^0.5)+M118</f>
        <v>64.922552515155502</v>
      </c>
      <c r="N119" s="74">
        <f>N118*(1+Table2[Discount rate A1])</f>
        <v>2438.7608694682922</v>
      </c>
      <c r="O119" s="74">
        <f>Table2[[#This Row],[Asset growth A1, under the assumption of full-funding at Year 0]]/(1+Table2[[#This Row],[Compounded CPI]])</f>
        <v>264.5318934925786</v>
      </c>
      <c r="P119" s="74">
        <f>(P118*((1+Table2[Discount rate A1])^0.5)-Table2[Annual benefit payments (closed scheme)])*(1+Table2[Discount rate A1])^0.5</f>
        <v>6.0857717787056421E-4</v>
      </c>
      <c r="Q119" s="74">
        <f>Table2[[#This Row],[Asset growth A1 with benefit payments deducted]]/(1+Table2[Compounded CPI])</f>
        <v>6.6012242206251804E-5</v>
      </c>
      <c r="R119" s="74">
        <f>Table2[[#This Row],[Asset growth A1 with benefit payments deducted]]/(1+Table2[Compounded discount rate A1])</f>
        <v>1.6201011810562283E-5</v>
      </c>
      <c r="S119" s="73">
        <f>Table2[CPI]+1.7%</f>
        <v>4.4700000000000004E-2</v>
      </c>
      <c r="T119" s="72">
        <f t="shared" si="32"/>
        <v>34.678666090604111</v>
      </c>
      <c r="U119" s="17">
        <f>Table2[[#This Row],[Annual benefit payments (closed scheme)]]/((1+T118)*(1+Table2[[#This Row],[Discount rate A2]])^0.5)+U118</f>
        <v>67.511288975737799</v>
      </c>
      <c r="V119" s="74">
        <f>V118*(1+Table2[Discount rate A2])</f>
        <v>2408.7133452888061</v>
      </c>
      <c r="W119" s="74">
        <f>Table2[[#This Row],[Asset growth A2, under the assumption of full-funding at Year 0]]/(1+Table2[Compounded CPI])</f>
        <v>261.27264468082592</v>
      </c>
      <c r="X119" s="74">
        <f>(X118*((1+Table2[Discount rate A2])^0.5)-Table2[Annual benefit payments (closed scheme)])*(1+Table2[Discount rate A2])^0.5</f>
        <v>6.0857717857735452E-4</v>
      </c>
      <c r="Y119" s="74">
        <f>Table2[[#This Row],[Asset growth A2 with benefit payments deducted]]/(1+Table2[[#This Row],[Compounded CPI]])</f>
        <v>6.6012242282917203E-5</v>
      </c>
      <c r="Z119" s="78">
        <f>Table2[[#This Row],[Asset growth A2 with benefit payments deducted]]/(1+Table2[Compounded discount rate A2])</f>
        <v>1.7057172962461783E-5</v>
      </c>
      <c r="AA119" s="109">
        <f>Table2[CPI]+2.8%</f>
        <v>5.57E-2</v>
      </c>
      <c r="AB119" s="72">
        <f t="shared" si="33"/>
        <v>85.625181726365099</v>
      </c>
      <c r="AC119" s="74">
        <f>Table2[[#This Row],[Annual benefit payments (closed scheme)]]/((1+AB118)*(1+Table2[[#This Row],[Discount rate B]])^0.5)+AC118</f>
        <v>60.426891619326561</v>
      </c>
      <c r="AD119" s="110">
        <f>AD118*(1+Table2[Discount rate B])</f>
        <v>5197.5109035819059</v>
      </c>
      <c r="AE119" s="71">
        <f>Table2[[#This Row],[Asset growth B]]/(1+Table2[Compounded CPI])</f>
        <v>563.77294632934104</v>
      </c>
      <c r="AF119" s="74">
        <f>(AF118*((1+Table2[Discount rate B])^0.5)-Table2[Annual benefit payments (closed scheme)])*(1+Table2[Discount rate B])^0.5</f>
        <v>-36.979564101625286</v>
      </c>
      <c r="AG119" s="74">
        <f>Table2[[#This Row],[Asset growth B with benefit payments deducted]]/(1+Table2[Compounded CPI])</f>
        <v>-4.0111657665172773</v>
      </c>
      <c r="AH119" s="78">
        <f>Table2[[#This Row],[Asset growth B with benefit payments deducted]]/(1+Table2[Compounded discount rate B])</f>
        <v>-0.42689161932655717</v>
      </c>
      <c r="AI119" s="75">
        <f>Table2[CPI]+2.56%</f>
        <v>5.33E-2</v>
      </c>
      <c r="AJ119" s="72">
        <f t="shared" si="34"/>
        <v>87.714111106022983</v>
      </c>
      <c r="AK119" s="74">
        <f>Table2[[#This Row],[Annual benefit payments (closed scheme)]]/((1+AJ118)*(1+Table2[[#This Row],[Discount rate C]])^0.5)+AK118</f>
        <v>52.353428526370024</v>
      </c>
      <c r="AL119" s="74">
        <f>AL118*(1+Table2[Discount rate C])</f>
        <v>5322.846666361379</v>
      </c>
      <c r="AM119" s="74">
        <f>Table2[[#This Row],[Asset growth C]]/(1+Table2[Compounded CPI])</f>
        <v>577.36809092325086</v>
      </c>
      <c r="AN119" s="74">
        <f>(AN118*((1+Table2[Discount rate C])^0.5)-Table2[Annual benefit payments (closed scheme)])*(1+Table2[Discount rate C])^0.5</f>
        <v>678.35879129174941</v>
      </c>
      <c r="AO119" s="74">
        <f>Table2[[#This Row],[Asset growth C with benefit payments deducted]]/(1+Table2[Compounded CPI])</f>
        <v>73.581439563964807</v>
      </c>
      <c r="AP119" s="78">
        <f>Table2[[#This Row],[Asset growth C with benefit payments deducted]]/(1+Table2[Compounded discount rate C])</f>
        <v>7.6465714736299066</v>
      </c>
      <c r="AQ119" s="75">
        <f>Table2[CPI]+2.56%</f>
        <v>5.33E-2</v>
      </c>
      <c r="AR119" s="72">
        <f t="shared" si="35"/>
        <v>82.042362857588202</v>
      </c>
      <c r="AS119" s="74">
        <f>Table2[[#This Row],[Annual benefit payments (closed scheme)]]/((1+AR118)*(1+Table2[[#This Row],[Discount rate D]])^0.5)+AS118</f>
        <v>54.852920662333737</v>
      </c>
      <c r="AT119" s="71">
        <f>AT118*(1+Table2[Discount rate D])</f>
        <v>4982.5417714552896</v>
      </c>
      <c r="AU119" s="74">
        <f>Table2[[#This Row],[Asset growth D]]/(1+Table2[Compounded CPI])</f>
        <v>540.45528846635091</v>
      </c>
      <c r="AV119" s="74">
        <f>(AV118*((1+Table2[Discount rate D])^0.5)-Table2[Annual benefit payments (closed scheme)])*(1+Table2[Discount rate D])^0.5</f>
        <v>427.42563001527344</v>
      </c>
      <c r="AW119" s="74">
        <f>Table2[[#This Row],[Asset growth D with benefit payments deducted]]/(1+Table2[Compounded CPI])</f>
        <v>46.362770803293259</v>
      </c>
      <c r="AX119" s="78">
        <f>Table2[[#This Row],[Asset growth D with benefit payments deducted]]/(1+Table2[Compounded discount rate D])</f>
        <v>5.1470793376662254</v>
      </c>
      <c r="AY119" s="75">
        <f>Table2[CPI]+4%</f>
        <v>6.7699999999999996E-2</v>
      </c>
      <c r="AZ119" s="72">
        <f t="shared" si="36"/>
        <v>262.83692115448036</v>
      </c>
      <c r="BA119" s="74">
        <f>Table2[[#This Row],[Annual benefit payments (closed scheme)]]/((1+AZ118)*(1+Table2[[#This Row],[Discount rate E]])^0.5)+BA118</f>
        <v>48.29757846550968</v>
      </c>
      <c r="BB119" s="17">
        <f>BB118*(1+Table2[Discount rate E])</f>
        <v>15830.215269268849</v>
      </c>
      <c r="BC119" s="71">
        <f>Table2[[#This Row],[Asset growth E]]/(1+Table2[Compounded CPI])</f>
        <v>1717.1002175739413</v>
      </c>
      <c r="BD119" s="74">
        <f>(BD118*((1+Table2[Discount rate E])^0.5)-Table2[Annual benefit payments (closed scheme)])*(1+Table2[Discount rate E])^0.5</f>
        <v>3087.5308677118064</v>
      </c>
      <c r="BE119" s="74">
        <f>Table2[[#This Row],[Asset growth E with benefit payments deducted]]/(1+Table2[Compounded CPI])</f>
        <v>334.90384271692017</v>
      </c>
      <c r="BF119" s="78">
        <f>Table2[[#This Row],[Asset growth E with benefit payments deducted]]/(1+Table2[Compounded discount rate E])</f>
        <v>11.702421534490284</v>
      </c>
      <c r="BG119" s="75">
        <f>Table2[[#This Row],[Long-dated forward gilt yields]]+0.75%</f>
        <v>2.5600000000000001E-2</v>
      </c>
      <c r="BH119" s="75">
        <f t="shared" si="37"/>
        <v>8.6204252172817419</v>
      </c>
      <c r="BI119" s="17">
        <f>((Table2[[#This Row],[Annual benefit payments (closed scheme)]])*1.005^(Table2[[#This Row],[Year]]-2018))/((1+BH118)*(1+Table2[[#This Row],[Discount rate F]])^0.5)+BI118</f>
        <v>82.343388638287507</v>
      </c>
      <c r="BJ119" s="74">
        <f>BJ118*(1+Table2[Discount rate F])</f>
        <v>792.17943440744114</v>
      </c>
      <c r="BK119" s="74">
        <f>Table2[[#This Row],[Asset growth F, under the assumption of full-funding at Year 0]]/(1+Table2[[#This Row],[Compounded CPI]])</f>
        <v>85.927541479443505</v>
      </c>
      <c r="BL119" s="74">
        <f>(BL118*((1+Table2[Discount rate F])^0.5)-Table2[Annual benefit payments (closed scheme)]*1.005^(Table2[Year]-2018))*(1+Table2[Discount rate F])^0.5</f>
        <v>1.0218752288753297E-3</v>
      </c>
      <c r="BM119" s="74">
        <f>Table2[[#This Row],[Asset growth F with benefit payments deducted]]/(1+Table2[Compounded CPI])</f>
        <v>1.1084259739926407E-4</v>
      </c>
      <c r="BN119" s="78">
        <f>Table2[[#This Row],[Asset growth F with benefit payments deducted]]/(1+Table2[Compounded discount rate F])</f>
        <v>1.0621934122409418E-4</v>
      </c>
      <c r="BO119" s="18">
        <f>(1+BO118)*(1+Table2[Discount rate A2])-1</f>
        <v>19.065869503786221</v>
      </c>
      <c r="BP119" s="74">
        <f>Table2[[#This Row],[Annual benefit payments (ongoing scheme)]]/((1+BO118)*(1+Table2[[#This Row],[Discount rate A2]])^0.5)+BP118</f>
        <v>112.50470570148333</v>
      </c>
      <c r="BQ119" s="74">
        <f>(BQ118*((1+Table2[Discount rate A2])^0.5)-Table2[Annual benefit payments (ongoing scheme)])*(1+Table2[Discount rate A2])^0.5</f>
        <v>8.9643955891786239E-2</v>
      </c>
      <c r="BR119" s="18">
        <f>(1+BR118)*(1+Table2[Discount rate B])-1</f>
        <v>43.147425212047089</v>
      </c>
      <c r="BS119" s="74">
        <f>Table2[[#This Row],[Annual benefit payments (ongoing scheme)]]/((1+BR118)*(1+Table2[[#This Row],[Discount rate B]])^0.5)+BS118</f>
        <v>93.510964218491452</v>
      </c>
      <c r="BT119" s="18">
        <f>(1+BT118)*(1+Table2[Discount rate E])-1</f>
        <v>102.37685414943296</v>
      </c>
      <c r="BU119" s="74">
        <f>Table2[[#This Row],[Annual benefit payments (ongoing scheme)]]/((1+BT118)*(1+Table2[[#This Row],[Discount rate E]])^0.5)+BU118</f>
        <v>78.139003957444629</v>
      </c>
      <c r="BV119" s="18">
        <f>Table2[CPI]+0.75%+0.75%</f>
        <v>4.2699999999999995E-2</v>
      </c>
      <c r="BW119" s="18">
        <f>(1+BW118)*(1+Table2[Self-sufficiency discount rate, from 2037])-1</f>
        <v>16.370252820873095</v>
      </c>
      <c r="BX119" s="17">
        <f>(Table2[[#This Row],[Annual benefit payments (ongoing scheme)]]*1.005^(Table2[[#This Row],[Year]]-2038))/((1+BW118)*(1+Table2[[#This Row],[Self-sufficiency discount rate, from 2037]])^0.5)+BX118</f>
        <v>128.04290799135859</v>
      </c>
      <c r="BY119" s="74">
        <f>(BY118*((1+Table2[Self-sufficiency discount rate, from 2037])^0.5)-Table2[Annual benefit payments (ongoing scheme)]*1.005^(Table2[Year]-2038))*(1+Table2[Self-sufficiency discount rate, from 2037])^0.5</f>
        <v>0.13224775898300711</v>
      </c>
      <c r="BZ119" s="74">
        <f>(BZ118*((1+Table2[Discount rate B])^0.5)-Table2[Annual benefit payments (ongoing scheme)])*(1+Table2[Discount rate B])^0.5</f>
        <v>8.7327031224289572E-2</v>
      </c>
      <c r="CA119" s="74">
        <f>(CA118*((1+Table2[Discount rate A2])^0.5)+Table2[Net cashflow (ongoing scheme)])*(1+Table2[Discount rate A2])^0.5</f>
        <v>-6.5514617516432585</v>
      </c>
      <c r="CB119" s="74">
        <f>Table2[[#This Row],[Asset growth, ongoing scheme, with November de-risking, net of contributions and payments]]/(1+Table2[Compounded discount rate A2])</f>
        <v>-0.18362406641005477</v>
      </c>
      <c r="CC119" s="74">
        <f>Table2[[#This Row],[Asset growth, ongoing scheme, with November de-risking, net of contributions and payments]]/(1+Table2[Compounded CPI])</f>
        <v>-0.71063571832864758</v>
      </c>
      <c r="CD119" s="74">
        <f>(CD118*((1+Table2[Discount rate A1])^0.5)+Table2[Net cashflow (ongoing scheme)])*(1+Table2[Discount rate A1])^0.5</f>
        <v>108.67926275641776</v>
      </c>
      <c r="CE119" s="74">
        <f>Table2[[#This Row],[Asset growth, ongoing scheme, with September de-risking, net of contributions and payments]]/(1+Table2[Compounded discount rate A1])</f>
        <v>2.893164718467975</v>
      </c>
      <c r="CF119" s="74">
        <f>Table2[[#This Row],[Asset growth, ongoing scheme, with September de-risking, net of contributions and payments]]/(1+Table2[Compounded CPI])</f>
        <v>11.788417437828031</v>
      </c>
      <c r="CG119" s="74">
        <f>(CG118*((1+Table2[Discount rate B])^0.5)+Table2[Net cashflow (ongoing scheme)])*(1+Table2[Discount rate B])^0.5</f>
        <v>1325.955560572221</v>
      </c>
      <c r="CH119" s="74">
        <f>Table2[[#This Row],[Asset growth, ongoing scheme, no de-risking, net of contributions and payments]]/(1+Table2[Compounded discount rate B])</f>
        <v>15.306814186672641</v>
      </c>
      <c r="CI119" s="74">
        <f>Table2[[#This Row],[Asset growth, ongoing scheme, no de-risking, net of contributions and payments]]/(1+Table2[Compounded CPI])</f>
        <v>143.82612888226987</v>
      </c>
      <c r="CJ119" s="74">
        <f>(CJ118*((1+Table2[Discount rate E])^0.5)+Table2[Net cashflow (ongoing scheme)])*(1+Table2[Discount rate E])^0.5</f>
        <v>8425.8046379911993</v>
      </c>
      <c r="CK119" s="74">
        <f>Table2[[#This Row],[Asset growth, ongoing scheme, best-estimates, no de-risking, net of contributions and payments ]]/(1+Table2[Compounded discount rate E])</f>
        <v>31.935654043877232</v>
      </c>
      <c r="CL119" s="74">
        <f>Table2[[#This Row],[Asset growth, ongoing scheme, best-estimates, no de-risking, net of contributions and payments ]]/(1+Table2[Compounded CPI])</f>
        <v>913.94530845179361</v>
      </c>
      <c r="CM119" s="73">
        <f t="shared" si="24"/>
        <v>2.7699999999999999E-2</v>
      </c>
      <c r="CN119" s="75">
        <f>(1+Table2[[#This Row],[CPI]])*(1+CN118)-1</f>
        <v>8.2191562887546912</v>
      </c>
      <c r="CO119" s="11">
        <f t="shared" si="23"/>
        <v>1.8100000000000002E-2</v>
      </c>
      <c r="CP119" s="75">
        <f>Table2[[#This Row],[CPI]]+2%</f>
        <v>4.7699999999999999E-2</v>
      </c>
      <c r="CQ119" s="76">
        <f>(1+Table2[[#This Row],[Salary growth]])*(1+CQ118)-1</f>
        <v>55.286418602289018</v>
      </c>
      <c r="CR119" s="77">
        <f t="shared" si="25"/>
        <v>92.19156288754688</v>
      </c>
      <c r="CS119" s="74">
        <f t="shared" si="26"/>
        <v>119.849031753811</v>
      </c>
      <c r="CT119" s="74">
        <f>CT118*(1+Table2[[#This Row],[Salary growth]])</f>
        <v>562.86418602289029</v>
      </c>
      <c r="CU119" s="78">
        <f t="shared" si="38"/>
        <v>731.72344182975689</v>
      </c>
      <c r="CV119" s="116">
        <f>('Cash flows as at 31032017'!B104)/1000000000</f>
        <v>2.32501E-4</v>
      </c>
      <c r="CW119" s="117">
        <v>0</v>
      </c>
      <c r="CX119" s="117">
        <f>Table2[[#This Row],[Annual contributions (closed scheme)]]-Table2[[#This Row],[Annual benefit payments (closed scheme)]]</f>
        <v>-2.32501E-4</v>
      </c>
      <c r="CY119" s="117">
        <v>0.11</v>
      </c>
      <c r="CZ119" s="117">
        <v>0</v>
      </c>
      <c r="DA119" s="117">
        <v>-0.11</v>
      </c>
    </row>
    <row r="120" spans="1:105" x14ac:dyDescent="0.2">
      <c r="A120" s="7">
        <v>2113</v>
      </c>
      <c r="E120" s="6">
        <v>6.0999999999999999E-2</v>
      </c>
      <c r="F120" s="1">
        <f>F119*(1+Table2[[#This Row],[2008 discount rate]])</f>
        <v>16894.950374262371</v>
      </c>
      <c r="G120" s="1">
        <v>22.061</v>
      </c>
      <c r="H120">
        <f>H119*(1+Table2[[#This Row],[2011 discount rate]])</f>
        <v>1.1513704556673093E+26</v>
      </c>
      <c r="I120" s="1">
        <v>22.052</v>
      </c>
      <c r="J120" s="1">
        <f>J119*(1+Table2[[#This Row],[2014 discount rate]])</f>
        <v>6.1549046850045333E+25</v>
      </c>
      <c r="K120" s="9">
        <f>Table2[CPI]+1.7%</f>
        <v>4.4700000000000004E-2</v>
      </c>
      <c r="L120" s="108">
        <f t="shared" si="21"/>
        <v>38.2432636402919</v>
      </c>
      <c r="M120" s="17">
        <f>Table2[[#This Row],[Annual benefit payments (closed scheme)]]/((1+L119)*(1+Table2[[#This Row],[Discount rate A1]])^0.5)+M119</f>
        <v>64.922557588039993</v>
      </c>
      <c r="N120" s="74">
        <f>N119*(1+Table2[Discount rate A1])</f>
        <v>2547.7734803335247</v>
      </c>
      <c r="O120" s="74">
        <f>Table2[[#This Row],[Asset growth A1, under the assumption of full-funding at Year 0]]/(1+Table2[[#This Row],[Compounded CPI]])</f>
        <v>268.90772514517545</v>
      </c>
      <c r="P120" s="74">
        <f>(P119*((1+Table2[Discount rate A1])^0.5)-Table2[Annual benefit payments (closed scheme)])*(1+Table2[Discount rate A1])^0.5</f>
        <v>4.3670403433137298E-4</v>
      </c>
      <c r="Q120" s="74">
        <f>Table2[[#This Row],[Asset growth A1 with benefit payments deducted]]/(1+Table2[Compounded CPI])</f>
        <v>4.6092436921981442E-5</v>
      </c>
      <c r="R120" s="74">
        <f>Table2[[#This Row],[Asset growth A1 with benefit payments deducted]]/(1+Table2[Compounded discount rate A1])</f>
        <v>1.112812732229028E-5</v>
      </c>
      <c r="S120" s="73">
        <f>Table2[CPI]+1.7%</f>
        <v>4.4700000000000004E-2</v>
      </c>
      <c r="T120" s="72">
        <f t="shared" si="32"/>
        <v>36.273502464854111</v>
      </c>
      <c r="U120" s="17">
        <f>Table2[[#This Row],[Annual benefit payments (closed scheme)]]/((1+T119)*(1+Table2[[#This Row],[Discount rate A2]])^0.5)+U119</f>
        <v>67.511294316704706</v>
      </c>
      <c r="V120" s="74">
        <f>V119*(1+Table2[Discount rate A2])</f>
        <v>2516.3828318232154</v>
      </c>
      <c r="W120" s="74">
        <f>Table2[[#This Row],[Asset growth A2, under the assumption of full-funding at Year 0]]/(1+Table2[Compounded CPI])</f>
        <v>265.59456251635572</v>
      </c>
      <c r="X120" s="74">
        <f>(X119*((1+Table2[Discount rate A2])^0.5)-Table2[Annual benefit payments (closed scheme)])*(1+Table2[Discount rate A2])^0.5</f>
        <v>4.3670403506975678E-4</v>
      </c>
      <c r="Y120" s="74">
        <f>Table2[[#This Row],[Asset growth A2 with benefit payments deducted]]/(1+Table2[[#This Row],[Compounded CPI]])</f>
        <v>4.6092436999915019E-5</v>
      </c>
      <c r="Z120" s="78">
        <f>Table2[[#This Row],[Asset growth A2 with benefit payments deducted]]/(1+Table2[Compounded discount rate A2])</f>
        <v>1.1716206049633604E-5</v>
      </c>
      <c r="AA120" s="109">
        <f>Table2[CPI]+2.8%</f>
        <v>5.57E-2</v>
      </c>
      <c r="AB120" s="72">
        <f t="shared" si="33"/>
        <v>90.450204348523641</v>
      </c>
      <c r="AC120" s="74">
        <f>Table2[[#This Row],[Annual benefit payments (closed scheme)]]/((1+AB119)*(1+Table2[[#This Row],[Discount rate B]])^0.5)+AC119</f>
        <v>60.426893807641747</v>
      </c>
      <c r="AD120" s="110">
        <f>AD119*(1+Table2[Discount rate B])</f>
        <v>5487.0122609114187</v>
      </c>
      <c r="AE120" s="71">
        <f>Table2[[#This Row],[Asset growth B]]/(1+Table2[Compounded CPI])</f>
        <v>579.1331122310844</v>
      </c>
      <c r="AF120" s="74">
        <f>(AF119*((1+Table2[Discount rate B])^0.5)-Table2[Annual benefit payments (closed scheme)])*(1+Table2[Discount rate B])^0.5</f>
        <v>-39.03952594395691</v>
      </c>
      <c r="AG120" s="74">
        <f>Table2[[#This Row],[Asset growth B with benefit payments deducted]]/(1+Table2[Compounded CPI])</f>
        <v>-4.1204723235290261</v>
      </c>
      <c r="AH120" s="78">
        <f>Table2[[#This Row],[Asset growth B with benefit payments deducted]]/(1+Table2[Compounded discount rate B])</f>
        <v>-0.42689380764174484</v>
      </c>
      <c r="AI120" s="75">
        <f>Table2[CPI]+2.56%</f>
        <v>5.33E-2</v>
      </c>
      <c r="AJ120" s="72">
        <f t="shared" si="34"/>
        <v>92.442573227973995</v>
      </c>
      <c r="AK120" s="74">
        <f>Table2[[#This Row],[Annual benefit payments (closed scheme)]]/((1+AJ119)*(1+Table2[[#This Row],[Discount rate C]])^0.5)+AK119</f>
        <v>52.353430665590501</v>
      </c>
      <c r="AL120" s="74">
        <f>AL119*(1+Table2[Discount rate C])</f>
        <v>5606.5543936784397</v>
      </c>
      <c r="AM120" s="74">
        <f>Table2[[#This Row],[Asset growth C]]/(1+Table2[Compounded CPI])</f>
        <v>591.7503261355065</v>
      </c>
      <c r="AN120" s="74">
        <f>(AN119*((1+Table2[Discount rate C])^0.5)-Table2[Annual benefit payments (closed scheme)])*(1+Table2[Discount rate C])^0.5</f>
        <v>714.51511497333377</v>
      </c>
      <c r="AO120" s="74">
        <f>Table2[[#This Row],[Asset growth C with benefit payments deducted]]/(1+Table2[Compounded CPI])</f>
        <v>75.414331624242408</v>
      </c>
      <c r="AP120" s="78">
        <f>Table2[[#This Row],[Asset growth C with benefit payments deducted]]/(1+Table2[Compounded discount rate C])</f>
        <v>7.6465693344094321</v>
      </c>
      <c r="AQ120" s="75">
        <f>Table2[CPI]+2.56%</f>
        <v>5.33E-2</v>
      </c>
      <c r="AR120" s="72">
        <f t="shared" si="35"/>
        <v>86.468520797897639</v>
      </c>
      <c r="AS120" s="74">
        <f>Table2[[#This Row],[Annual benefit payments (closed scheme)]]/((1+AR119)*(1+Table2[[#This Row],[Discount rate D]])^0.5)+AS119</f>
        <v>54.85292294766181</v>
      </c>
      <c r="AT120" s="71">
        <f>AT119*(1+Table2[Discount rate D])</f>
        <v>5248.111247873856</v>
      </c>
      <c r="AU120" s="74">
        <f>Table2[[#This Row],[Asset growth D]]/(1+Table2[Compounded CPI])</f>
        <v>553.91802602083033</v>
      </c>
      <c r="AV120" s="74">
        <f>(AV119*((1+Table2[Discount rate D])^0.5)-Table2[Annual benefit payments (closed scheme)])*(1+Table2[Discount rate D])^0.5</f>
        <v>450.20721620082162</v>
      </c>
      <c r="AW120" s="74">
        <f>Table2[[#This Row],[Asset growth D with benefit payments deducted]]/(1+Table2[Compounded CPI])</f>
        <v>47.517646010137767</v>
      </c>
      <c r="AX120" s="78">
        <f>Table2[[#This Row],[Asset growth D with benefit payments deducted]]/(1+Table2[Compounded discount rate D])</f>
        <v>5.1470770523381555</v>
      </c>
      <c r="AY120" s="75">
        <f>Table2[CPI]+4%</f>
        <v>6.7699999999999996E-2</v>
      </c>
      <c r="AZ120" s="72">
        <f t="shared" si="36"/>
        <v>280.69868071663871</v>
      </c>
      <c r="BA120" s="74">
        <f>Table2[[#This Row],[Annual benefit payments (closed scheme)]]/((1+AZ119)*(1+Table2[[#This Row],[Discount rate E]])^0.5)+BA119</f>
        <v>48.29757917994695</v>
      </c>
      <c r="BB120" s="17">
        <f>BB119*(1+Table2[Discount rate E])</f>
        <v>16901.920842998352</v>
      </c>
      <c r="BC120" s="71">
        <f>Table2[[#This Row],[Asset growth E]]/(1+Table2[Compounded CPI])</f>
        <v>1783.9329593302491</v>
      </c>
      <c r="BD120" s="74">
        <f>(BD119*((1+Table2[Discount rate E])^0.5)-Table2[Annual benefit payments (closed scheme)])*(1+Table2[Discount rate E])^0.5</f>
        <v>3296.5565061998586</v>
      </c>
      <c r="BE120" s="74">
        <f>Table2[[#This Row],[Asset growth E with benefit payments deducted]]/(1+Table2[Compounded CPI])</f>
        <v>347.93890341408422</v>
      </c>
      <c r="BF120" s="78">
        <f>Table2[[#This Row],[Asset growth E with benefit payments deducted]]/(1+Table2[Compounded discount rate E])</f>
        <v>11.702420820053012</v>
      </c>
      <c r="BG120" s="75">
        <f>Table2[[#This Row],[Long-dated forward gilt yields]]+0.75%</f>
        <v>2.5600000000000001E-2</v>
      </c>
      <c r="BH120" s="75">
        <f t="shared" si="37"/>
        <v>8.8667081028441554</v>
      </c>
      <c r="BI120" s="17">
        <f>((Table2[[#This Row],[Annual benefit payments (closed scheme)]])*1.005^(Table2[[#This Row],[Year]]-2018))/((1+BH119)*(1+Table2[[#This Row],[Discount rate F]])^0.5)+BI119</f>
        <v>82.343420746556063</v>
      </c>
      <c r="BJ120" s="74">
        <f>BJ119*(1+Table2[Discount rate F])</f>
        <v>812.45922792827173</v>
      </c>
      <c r="BK120" s="74">
        <f>Table2[[#This Row],[Asset growth F, under the assumption of full-funding at Year 0]]/(1+Table2[[#This Row],[Compounded CPI]])</f>
        <v>85.751957323457489</v>
      </c>
      <c r="BL120" s="74">
        <f>(BL119*((1+Table2[Discount rate F])^0.5)-Table2[Annual benefit payments (closed scheme)]*1.005^(Table2[Year]-2018))*(1+Table2[Discount rate F])^0.5</f>
        <v>7.312323212097133E-4</v>
      </c>
      <c r="BM120" s="74">
        <f>Table2[[#This Row],[Asset growth F with benefit payments deducted]]/(1+Table2[Compounded CPI])</f>
        <v>7.7178768664861537E-5</v>
      </c>
      <c r="BN120" s="78">
        <f>Table2[[#This Row],[Asset growth F with benefit payments deducted]]/(1+Table2[Compounded discount rate F])</f>
        <v>7.4111072668596518E-5</v>
      </c>
      <c r="BO120" s="18">
        <f>(1+BO119)*(1+Table2[Discount rate A2])-1</f>
        <v>19.962813870605466</v>
      </c>
      <c r="BP120" s="74">
        <f>Table2[[#This Row],[Annual benefit payments (ongoing scheme)]]/((1+BO119)*(1+Table2[[#This Row],[Discount rate A2]])^0.5)+BP119</f>
        <v>112.50470570148333</v>
      </c>
      <c r="BQ120" s="74">
        <f>(BQ119*((1+Table2[Discount rate A2])^0.5)-Table2[Annual benefit payments (ongoing scheme)])*(1+Table2[Discount rate A2])^0.5</f>
        <v>9.3651040720149084E-2</v>
      </c>
      <c r="BR120" s="18">
        <f>(1+BR119)*(1+Table2[Discount rate B])-1</f>
        <v>45.606436796358118</v>
      </c>
      <c r="BS120" s="74">
        <f>Table2[[#This Row],[Annual benefit payments (ongoing scheme)]]/((1+BR119)*(1+Table2[[#This Row],[Discount rate B]])^0.5)+BS119</f>
        <v>93.510964218491452</v>
      </c>
      <c r="BT120" s="18">
        <f>(1+BT119)*(1+Table2[Discount rate E])-1</f>
        <v>109.37546717534958</v>
      </c>
      <c r="BU120" s="74">
        <f>Table2[[#This Row],[Annual benefit payments (ongoing scheme)]]/((1+BT119)*(1+Table2[[#This Row],[Discount rate E]])^0.5)+BU119</f>
        <v>78.139003957444629</v>
      </c>
      <c r="BV120" s="18">
        <f>Table2[CPI]+0.75%+0.75%</f>
        <v>4.2699999999999995E-2</v>
      </c>
      <c r="BW120" s="18">
        <f>(1+BW119)*(1+Table2[Self-sufficiency discount rate, from 2037])-1</f>
        <v>17.111962616324377</v>
      </c>
      <c r="BX120" s="17">
        <f>(Table2[[#This Row],[Annual benefit payments (ongoing scheme)]]*1.005^(Table2[[#This Row],[Year]]-2038))/((1+BW119)*(1+Table2[[#This Row],[Self-sufficiency discount rate, from 2037]])^0.5)+BX119</f>
        <v>128.04290799135859</v>
      </c>
      <c r="BY120" s="74">
        <f>(BY119*((1+Table2[Self-sufficiency discount rate, from 2037])^0.5)-Table2[Annual benefit payments (ongoing scheme)]*1.005^(Table2[Year]-2038))*(1+Table2[Self-sufficiency discount rate, from 2037])^0.5</f>
        <v>0.1378947382915815</v>
      </c>
      <c r="BZ120" s="74">
        <f>(BZ119*((1+Table2[Discount rate B])^0.5)-Table2[Annual benefit payments (ongoing scheme)])*(1+Table2[Discount rate B])^0.5</f>
        <v>9.2191146863482495E-2</v>
      </c>
      <c r="CA120" s="74">
        <f>(CA119*((1+Table2[Discount rate A2])^0.5)+Table2[Net cashflow (ongoing scheme)])*(1+Table2[Discount rate A2])^0.5</f>
        <v>-6.8443120919417115</v>
      </c>
      <c r="CB120" s="74">
        <f>Table2[[#This Row],[Asset growth, ongoing scheme, with November de-risking, net of contributions and payments]]/(1+Table2[Compounded discount rate A2])</f>
        <v>-0.18362406641005477</v>
      </c>
      <c r="CC120" s="74">
        <f>Table2[[#This Row],[Asset growth, ongoing scheme, with November de-risking, net of contributions and payments]]/(1+Table2[Compounded CPI])</f>
        <v>-0.72239090681905027</v>
      </c>
      <c r="CD120" s="74">
        <f>(CD119*((1+Table2[Discount rate A1])^0.5)+Table2[Net cashflow (ongoing scheme)])*(1+Table2[Discount rate A1])^0.5</f>
        <v>113.53722580162962</v>
      </c>
      <c r="CE120" s="74">
        <f>Table2[[#This Row],[Asset growth, ongoing scheme, with September de-risking, net of contributions and payments]]/(1+Table2[Compounded discount rate A1])</f>
        <v>2.8931647184679745</v>
      </c>
      <c r="CF120" s="74">
        <f>Table2[[#This Row],[Asset growth, ongoing scheme, with September de-risking, net of contributions and payments]]/(1+Table2[Compounded CPI])</f>
        <v>11.983418991241551</v>
      </c>
      <c r="CG120" s="74">
        <f>(CG119*((1+Table2[Discount rate B])^0.5)+Table2[Net cashflow (ongoing scheme)])*(1+Table2[Discount rate B])^0.5</f>
        <v>1399.8112852960935</v>
      </c>
      <c r="CH120" s="74">
        <f>Table2[[#This Row],[Asset growth, ongoing scheme, no de-risking, net of contributions and payments]]/(1+Table2[Compounded discount rate B])</f>
        <v>15.306814186672639</v>
      </c>
      <c r="CI120" s="74">
        <f>Table2[[#This Row],[Asset growth, ongoing scheme, no de-risking, net of contributions and payments]]/(1+Table2[Compounded CPI])</f>
        <v>147.744715637844</v>
      </c>
      <c r="CJ120" s="74">
        <f>(CJ119*((1+Table2[Discount rate E])^0.5)+Table2[Net cashflow (ongoing scheme)])*(1+Table2[Discount rate E])^0.5</f>
        <v>8996.231611983203</v>
      </c>
      <c r="CK120" s="74">
        <f>Table2[[#This Row],[Asset growth, ongoing scheme, best-estimates, no de-risking, net of contributions and payments ]]/(1+Table2[Compounded discount rate E])</f>
        <v>31.935654043877229</v>
      </c>
      <c r="CL120" s="74">
        <f>Table2[[#This Row],[Asset growth, ongoing scheme, best-estimates, no de-risking, net of contributions and payments ]]/(1+Table2[Compounded CPI])</f>
        <v>949.51776377734745</v>
      </c>
      <c r="CM120" s="73">
        <f t="shared" si="24"/>
        <v>2.7699999999999999E-2</v>
      </c>
      <c r="CN120" s="75">
        <f>(1+Table2[[#This Row],[CPI]])*(1+CN119)-1</f>
        <v>8.474526917953197</v>
      </c>
      <c r="CO120" s="11">
        <f t="shared" si="23"/>
        <v>1.8100000000000002E-2</v>
      </c>
      <c r="CP120" s="75">
        <f>Table2[[#This Row],[CPI]]+2%</f>
        <v>4.7699999999999999E-2</v>
      </c>
      <c r="CQ120" s="76">
        <f>(1+Table2[[#This Row],[Salary growth]])*(1+CQ119)-1</f>
        <v>57.971280769618211</v>
      </c>
      <c r="CR120" s="77">
        <f t="shared" si="25"/>
        <v>94.745269179531931</v>
      </c>
      <c r="CS120" s="74">
        <f t="shared" si="26"/>
        <v>123.16884993339157</v>
      </c>
      <c r="CT120" s="74">
        <f>CT119*(1+Table2[[#This Row],[Salary growth]])</f>
        <v>589.71280769618215</v>
      </c>
      <c r="CU120" s="78">
        <f t="shared" si="38"/>
        <v>766.62665000503637</v>
      </c>
      <c r="CV120" s="116">
        <f>('Cash flows as at 31032017'!B105)/1000000000</f>
        <v>1.94771E-4</v>
      </c>
      <c r="CW120" s="117">
        <v>0</v>
      </c>
      <c r="CX120" s="117">
        <f>Table2[[#This Row],[Annual contributions (closed scheme)]]-Table2[[#This Row],[Annual benefit payments (closed scheme)]]</f>
        <v>-1.94771E-4</v>
      </c>
      <c r="CY120" s="117">
        <v>0</v>
      </c>
      <c r="CZ120" s="117">
        <v>0</v>
      </c>
      <c r="DA120" s="117">
        <v>0</v>
      </c>
    </row>
    <row r="121" spans="1:105" x14ac:dyDescent="0.2">
      <c r="A121" s="7">
        <v>2114</v>
      </c>
      <c r="E121" s="6">
        <v>6.0999999999999999E-2</v>
      </c>
      <c r="F121" s="1">
        <f>F120*(1+Table2[[#This Row],[2008 discount rate]])</f>
        <v>17925.542347092374</v>
      </c>
      <c r="G121" s="1">
        <v>23.061</v>
      </c>
      <c r="H121">
        <f>H120*(1+Table2[[#This Row],[2011 discount rate]])</f>
        <v>2.770312453381113E+27</v>
      </c>
      <c r="I121" s="1">
        <v>23.052</v>
      </c>
      <c r="J121" s="1">
        <f>J120*(1+Table2[[#This Row],[2014 discount rate]])</f>
        <v>1.4803776748372903E+27</v>
      </c>
      <c r="K121" s="9">
        <f>Table2[CPI]+1.7%</f>
        <v>4.4700000000000004E-2</v>
      </c>
      <c r="L121" s="108">
        <f t="shared" si="21"/>
        <v>39.997437525012948</v>
      </c>
      <c r="M121" s="17">
        <f>Table2[[#This Row],[Annual benefit payments (closed scheme)]]/((1+L120)*(1+Table2[[#This Row],[Discount rate A1]])^0.5)+M120</f>
        <v>64.922561587515219</v>
      </c>
      <c r="N121" s="74">
        <f>N120*(1+Table2[Discount rate A1])</f>
        <v>2661.6589549044334</v>
      </c>
      <c r="O121" s="74">
        <f>Table2[[#This Row],[Asset growth A1, under the assumption of full-funding at Year 0]]/(1+Table2[[#This Row],[Compounded CPI]])</f>
        <v>273.35594089633628</v>
      </c>
      <c r="P121" s="74">
        <f>(P120*((1+Table2[Discount rate A1])^0.5)-Table2[Annual benefit payments (closed scheme)])*(1+Table2[Discount rate A1])^0.5</f>
        <v>2.9225646892395263E-4</v>
      </c>
      <c r="Q121" s="74">
        <f>Table2[[#This Row],[Asset growth A1 with benefit payments deducted]]/(1+Table2[Compounded CPI])</f>
        <v>3.0015130938748081E-5</v>
      </c>
      <c r="R121" s="74">
        <f>Table2[[#This Row],[Asset growth A1 with benefit payments deducted]]/(1+Table2[Compounded discount rate A1])</f>
        <v>7.1286520955277756E-6</v>
      </c>
      <c r="S121" s="73">
        <f>Table2[CPI]+1.7%</f>
        <v>4.4700000000000004E-2</v>
      </c>
      <c r="T121" s="72">
        <f t="shared" si="32"/>
        <v>37.939628025033088</v>
      </c>
      <c r="U121" s="17">
        <f>Table2[[#This Row],[Annual benefit payments (closed scheme)]]/((1+T120)*(1+Table2[[#This Row],[Discount rate A2]])^0.5)+U120</f>
        <v>67.511298527536809</v>
      </c>
      <c r="V121" s="74">
        <f>V120*(1+Table2[Discount rate A2])</f>
        <v>2628.8651444057132</v>
      </c>
      <c r="W121" s="74">
        <f>Table2[[#This Row],[Asset growth A2, under the assumption of full-funding at Year 0]]/(1+Table2[Compounded CPI])</f>
        <v>269.98797261928269</v>
      </c>
      <c r="X121" s="74">
        <f>(X120*((1+Table2[Discount rate A2])^0.5)-Table2[Annual benefit payments (closed scheme)])*(1+Table2[Discount rate A2])^0.5</f>
        <v>2.9225646969534226E-4</v>
      </c>
      <c r="Y121" s="74">
        <f>Table2[[#This Row],[Asset growth A2 with benefit payments deducted]]/(1+Table2[[#This Row],[Compounded CPI]])</f>
        <v>3.0015131017970829E-5</v>
      </c>
      <c r="Z121" s="78">
        <f>Table2[[#This Row],[Asset growth A2 with benefit payments deducted]]/(1+Table2[Compounded discount rate A2])</f>
        <v>7.5053739472667686E-6</v>
      </c>
      <c r="AA121" s="109">
        <f>Table2[CPI]+2.8%</f>
        <v>5.57E-2</v>
      </c>
      <c r="AB121" s="72">
        <f t="shared" si="33"/>
        <v>95.543980730736422</v>
      </c>
      <c r="AC121" s="74">
        <f>Table2[[#This Row],[Annual benefit payments (closed scheme)]]/((1+AB120)*(1+Table2[[#This Row],[Discount rate B]])^0.5)+AC120</f>
        <v>60.426895514938387</v>
      </c>
      <c r="AD121" s="110">
        <f>AD120*(1+Table2[Discount rate B])</f>
        <v>5792.6388438441854</v>
      </c>
      <c r="AE121" s="71">
        <f>Table2[[#This Row],[Asset growth B]]/(1+Table2[Compounded CPI])</f>
        <v>594.91177053844103</v>
      </c>
      <c r="AF121" s="74">
        <f>(AF120*((1+Table2[Discount rate B])^0.5)-Table2[Annual benefit payments (closed scheme)])*(1+Table2[Discount rate B])^0.5</f>
        <v>-41.214192368249137</v>
      </c>
      <c r="AG121" s="74">
        <f>Table2[[#This Row],[Asset growth B with benefit payments deducted]]/(1+Table2[Compounded CPI])</f>
        <v>-4.2327527771152242</v>
      </c>
      <c r="AH121" s="78">
        <f>Table2[[#This Row],[Asset growth B with benefit payments deducted]]/(1+Table2[Compounded discount rate B])</f>
        <v>-0.4268955149383839</v>
      </c>
      <c r="AI121" s="75">
        <f>Table2[CPI]+2.56%</f>
        <v>5.33E-2</v>
      </c>
      <c r="AJ121" s="72">
        <f t="shared" si="34"/>
        <v>97.423062381025005</v>
      </c>
      <c r="AK121" s="74">
        <f>Table2[[#This Row],[Annual benefit payments (closed scheme)]]/((1+AJ120)*(1+Table2[[#This Row],[Discount rate C]])^0.5)+AK120</f>
        <v>52.353432338386938</v>
      </c>
      <c r="AL121" s="74">
        <f>AL120*(1+Table2[Discount rate C])</f>
        <v>5905.3837428614997</v>
      </c>
      <c r="AM121" s="74">
        <f>Table2[[#This Row],[Asset growth C]]/(1+Table2[Compounded CPI])</f>
        <v>606.49082272893736</v>
      </c>
      <c r="AN121" s="74">
        <f>(AN120*((1+Table2[Discount rate C])^0.5)-Table2[Annual benefit payments (closed scheme)])*(1+Table2[Discount rate C])^0.5</f>
        <v>752.59860595966427</v>
      </c>
      <c r="AO121" s="74">
        <f>Table2[[#This Row],[Asset growth C with benefit payments deducted]]/(1+Table2[Compounded CPI])</f>
        <v>77.29288520240253</v>
      </c>
      <c r="AP121" s="78">
        <f>Table2[[#This Row],[Asset growth C with benefit payments deducted]]/(1+Table2[Compounded discount rate C])</f>
        <v>7.6465676616129947</v>
      </c>
      <c r="AQ121" s="75">
        <f>Table2[CPI]+2.56%</f>
        <v>5.33E-2</v>
      </c>
      <c r="AR121" s="72">
        <f t="shared" si="35"/>
        <v>91.130592956425573</v>
      </c>
      <c r="AS121" s="74">
        <f>Table2[[#This Row],[Annual benefit payments (closed scheme)]]/((1+AR120)*(1+Table2[[#This Row],[Discount rate D]])^0.5)+AS120</f>
        <v>54.852924734709333</v>
      </c>
      <c r="AT121" s="71">
        <f>AT120*(1+Table2[Discount rate D])</f>
        <v>5527.8355773855319</v>
      </c>
      <c r="AU121" s="74">
        <f>Table2[[#This Row],[Asset growth D]]/(1+Table2[Compounded CPI])</f>
        <v>567.71612027609274</v>
      </c>
      <c r="AV121" s="74">
        <f>(AV120*((1+Table2[Discount rate D])^0.5)-Table2[Annual benefit payments (closed scheme)])*(1+Table2[Discount rate D])^0.5</f>
        <v>474.20309618257727</v>
      </c>
      <c r="AW121" s="74">
        <f>Table2[[#This Row],[Asset growth D with benefit payments deducted]]/(1+Table2[Compounded CPI])</f>
        <v>48.701293339663977</v>
      </c>
      <c r="AX121" s="78">
        <f>Table2[[#This Row],[Asset growth D with benefit payments deducted]]/(1+Table2[Compounded discount rate D])</f>
        <v>5.1470752652906304</v>
      </c>
      <c r="AY121" s="75">
        <f>Table2[CPI]+4%</f>
        <v>6.7699999999999996E-2</v>
      </c>
      <c r="AZ121" s="72">
        <f t="shared" si="36"/>
        <v>299.7696814011552</v>
      </c>
      <c r="BA121" s="74">
        <f>Table2[[#This Row],[Annual benefit payments (closed scheme)]]/((1+AZ120)*(1+Table2[[#This Row],[Discount rate E]])^0.5)+BA120</f>
        <v>48.297579731077512</v>
      </c>
      <c r="BB121" s="17">
        <f>BB120*(1+Table2[Discount rate E])</f>
        <v>18046.180884069341</v>
      </c>
      <c r="BC121" s="71">
        <f>Table2[[#This Row],[Asset growth E]]/(1+Table2[Compounded CPI])</f>
        <v>1853.3669559958228</v>
      </c>
      <c r="BD121" s="74">
        <f>(BD120*((1+Table2[Discount rate E])^0.5)-Table2[Annual benefit payments (closed scheme)])*(1+Table2[Discount rate E])^0.5</f>
        <v>3519.7332159062262</v>
      </c>
      <c r="BE121" s="74">
        <f>Table2[[#This Row],[Asset growth E with benefit payments deducted]]/(1+Table2[Compounded CPI])</f>
        <v>361.48131719327642</v>
      </c>
      <c r="BF121" s="78">
        <f>Table2[[#This Row],[Asset growth E with benefit payments deducted]]/(1+Table2[Compounded discount rate E])</f>
        <v>11.702420268922451</v>
      </c>
      <c r="BG121" s="75">
        <f>Table2[[#This Row],[Long-dated forward gilt yields]]+0.75%</f>
        <v>2.5600000000000001E-2</v>
      </c>
      <c r="BH121" s="75">
        <f t="shared" si="37"/>
        <v>9.1192958302769664</v>
      </c>
      <c r="BI121" s="17">
        <f>((Table2[[#This Row],[Annual benefit payments (closed scheme)]])*1.005^(Table2[[#This Row],[Year]]-2018))/((1+BH120)*(1+Table2[[#This Row],[Discount rate F]])^0.5)+BI120</f>
        <v>82.343446661159589</v>
      </c>
      <c r="BJ121" s="74">
        <f>BJ120*(1+Table2[Discount rate F])</f>
        <v>833.25818416323557</v>
      </c>
      <c r="BK121" s="74">
        <f>Table2[[#This Row],[Asset growth F, under the assumption of full-funding at Year 0]]/(1+Table2[[#This Row],[Compounded CPI]])</f>
        <v>85.576731955763364</v>
      </c>
      <c r="BL121" s="74">
        <f>(BL120*((1+Table2[Discount rate F])^0.5)-Table2[Annual benefit payments (closed scheme)]*1.005^(Table2[Year]-2018))*(1+Table2[Discount rate F])^0.5</f>
        <v>4.877143292739127E-4</v>
      </c>
      <c r="BM121" s="74">
        <f>Table2[[#This Row],[Asset growth F with benefit payments deducted]]/(1+Table2[Compounded CPI])</f>
        <v>5.0088915081189587E-5</v>
      </c>
      <c r="BN121" s="78">
        <f>Table2[[#This Row],[Asset growth F with benefit payments deducted]]/(1+Table2[Compounded discount rate F])</f>
        <v>4.8196469147059604E-5</v>
      </c>
      <c r="BO121" s="18">
        <f>(1+BO120)*(1+Table2[Discount rate A2])-1</f>
        <v>20.899851650621528</v>
      </c>
      <c r="BP121" s="74">
        <f>Table2[[#This Row],[Annual benefit payments (ongoing scheme)]]/((1+BO120)*(1+Table2[[#This Row],[Discount rate A2]])^0.5)+BP120</f>
        <v>112.50470570148333</v>
      </c>
      <c r="BQ121" s="74">
        <f>(BQ120*((1+Table2[Discount rate A2])^0.5)-Table2[Annual benefit payments (ongoing scheme)])*(1+Table2[Discount rate A2])^0.5</f>
        <v>9.7837242240339725E-2</v>
      </c>
      <c r="BR121" s="18">
        <f>(1+BR120)*(1+Table2[Discount rate B])-1</f>
        <v>48.202415325915268</v>
      </c>
      <c r="BS121" s="74">
        <f>Table2[[#This Row],[Annual benefit payments (ongoing scheme)]]/((1+BR120)*(1+Table2[[#This Row],[Discount rate B]])^0.5)+BS120</f>
        <v>93.510964218491452</v>
      </c>
      <c r="BT121" s="18">
        <f>(1+BT120)*(1+Table2[Discount rate E])-1</f>
        <v>116.84788630312076</v>
      </c>
      <c r="BU121" s="74">
        <f>Table2[[#This Row],[Annual benefit payments (ongoing scheme)]]/((1+BT120)*(1+Table2[[#This Row],[Discount rate E]])^0.5)+BU120</f>
        <v>78.139003957444629</v>
      </c>
      <c r="BV121" s="18">
        <f>Table2[CPI]+0.75%+0.75%</f>
        <v>4.2699999999999995E-2</v>
      </c>
      <c r="BW121" s="18">
        <f>(1+BW120)*(1+Table2[Self-sufficiency discount rate, from 2037])-1</f>
        <v>17.885343420041426</v>
      </c>
      <c r="BX121" s="17">
        <f>(Table2[[#This Row],[Annual benefit payments (ongoing scheme)]]*1.005^(Table2[[#This Row],[Year]]-2038))/((1+BW120)*(1+Table2[[#This Row],[Self-sufficiency discount rate, from 2037]])^0.5)+BX120</f>
        <v>128.04290799135859</v>
      </c>
      <c r="BY121" s="74">
        <f>(BY120*((1+Table2[Self-sufficiency discount rate, from 2037])^0.5)-Table2[Annual benefit payments (ongoing scheme)]*1.005^(Table2[Year]-2038))*(1+Table2[Self-sufficiency discount rate, from 2037])^0.5</f>
        <v>0.14378284361663199</v>
      </c>
      <c r="BZ121" s="74">
        <f>(BZ120*((1+Table2[Discount rate B])^0.5)-Table2[Annual benefit payments (ongoing scheme)])*(1+Table2[Discount rate B])^0.5</f>
        <v>9.7326193743778461E-2</v>
      </c>
      <c r="CA121" s="74">
        <f>(CA120*((1+Table2[Discount rate A2])^0.5)+Table2[Net cashflow (ongoing scheme)])*(1+Table2[Discount rate A2])^0.5</f>
        <v>-7.1502528424515051</v>
      </c>
      <c r="CB121" s="74">
        <f>Table2[[#This Row],[Asset growth, ongoing scheme, with November de-risking, net of contributions and payments]]/(1+Table2[Compounded discount rate A2])</f>
        <v>-0.18362406641005477</v>
      </c>
      <c r="CC121" s="74">
        <f>Table2[[#This Row],[Asset growth, ongoing scheme, with November de-risking, net of contributions and payments]]/(1+Table2[Compounded CPI])</f>
        <v>-0.7343405471965182</v>
      </c>
      <c r="CD121" s="74">
        <f>(CD120*((1+Table2[Discount rate A1])^0.5)+Table2[Net cashflow (ongoing scheme)])*(1+Table2[Discount rate A1])^0.5</f>
        <v>118.61233979496244</v>
      </c>
      <c r="CE121" s="74">
        <f>Table2[[#This Row],[Asset growth, ongoing scheme, with September de-risking, net of contributions and payments]]/(1+Table2[Compounded discount rate A1])</f>
        <v>2.8931647184679741</v>
      </c>
      <c r="CF121" s="74">
        <f>Table2[[#This Row],[Asset growth, ongoing scheme, with September de-risking, net of contributions and payments]]/(1+Table2[Compounded CPI])</f>
        <v>12.181646219859925</v>
      </c>
      <c r="CG121" s="74">
        <f>(CG120*((1+Table2[Discount rate B])^0.5)+Table2[Net cashflow (ongoing scheme)])*(1+Table2[Discount rate B])^0.5</f>
        <v>1477.7807738870858</v>
      </c>
      <c r="CH121" s="74">
        <f>Table2[[#This Row],[Asset growth, ongoing scheme, no de-risking, net of contributions and payments]]/(1+Table2[Compounded discount rate B])</f>
        <v>15.306814186672636</v>
      </c>
      <c r="CI121" s="74">
        <f>Table2[[#This Row],[Asset growth, ongoing scheme, no de-risking, net of contributions and payments]]/(1+Table2[Compounded CPI])</f>
        <v>151.77006548493907</v>
      </c>
      <c r="CJ121" s="74">
        <f>(CJ120*((1+Table2[Discount rate E])^0.5)+Table2[Net cashflow (ongoing scheme)])*(1+Table2[Discount rate E])^0.5</f>
        <v>9605.2764921144644</v>
      </c>
      <c r="CK121" s="74">
        <f>Table2[[#This Row],[Asset growth, ongoing scheme, best-estimates, no de-risking, net of contributions and payments ]]/(1+Table2[Compounded discount rate E])</f>
        <v>31.935654043877218</v>
      </c>
      <c r="CL121" s="74">
        <f>Table2[[#This Row],[Asset growth, ongoing scheme, best-estimates, no de-risking, net of contributions and payments ]]/(1+Table2[Compounded CPI])</f>
        <v>986.47476538393857</v>
      </c>
      <c r="CM121" s="73">
        <f t="shared" si="24"/>
        <v>2.7699999999999999E-2</v>
      </c>
      <c r="CN121" s="75">
        <f>(1+Table2[[#This Row],[CPI]])*(1+CN120)-1</f>
        <v>8.7369713135805007</v>
      </c>
      <c r="CO121" s="11">
        <f t="shared" si="23"/>
        <v>1.8100000000000002E-2</v>
      </c>
      <c r="CP121" s="75">
        <f>Table2[[#This Row],[CPI]]+2%</f>
        <v>4.7699999999999999E-2</v>
      </c>
      <c r="CQ121" s="76">
        <f>(1+Table2[[#This Row],[Salary growth]])*(1+CQ120)-1</f>
        <v>60.784210862329004</v>
      </c>
      <c r="CR121" s="77">
        <f t="shared" ref="CR121:CR144" si="39">CR120*(1+CM121)</f>
        <v>97.369713135804972</v>
      </c>
      <c r="CS121" s="74">
        <f t="shared" ref="CS121:CS144" si="40">CS120*(1+CM121)</f>
        <v>126.58062707654652</v>
      </c>
      <c r="CT121" s="74">
        <f>CT120*(1+Table2[[#This Row],[Salary growth]])</f>
        <v>617.84210862329007</v>
      </c>
      <c r="CU121" s="78">
        <f t="shared" si="38"/>
        <v>803.19474121027667</v>
      </c>
      <c r="CV121" s="116">
        <f>('Cash flows as at 31032017'!B106)/1000000000</f>
        <v>1.6042199999999999E-4</v>
      </c>
      <c r="CW121" s="117">
        <v>0</v>
      </c>
      <c r="CX121" s="117">
        <f>Table2[[#This Row],[Annual contributions (closed scheme)]]-Table2[[#This Row],[Annual benefit payments (closed scheme)]]</f>
        <v>-1.6042199999999999E-4</v>
      </c>
      <c r="CY121" s="117">
        <v>0</v>
      </c>
      <c r="CZ121" s="117">
        <v>0</v>
      </c>
      <c r="DA121" s="117">
        <v>0</v>
      </c>
    </row>
    <row r="122" spans="1:105" x14ac:dyDescent="0.2">
      <c r="A122" s="7">
        <v>2115</v>
      </c>
      <c r="E122" s="6">
        <v>6.0999999999999999E-2</v>
      </c>
      <c r="F122" s="1">
        <f>F121*(1+Table2[[#This Row],[2008 discount rate]])</f>
        <v>19019.000430265009</v>
      </c>
      <c r="G122" s="1">
        <v>24.061</v>
      </c>
      <c r="H122">
        <f>H121*(1+Table2[[#This Row],[2011 discount rate]])</f>
        <v>6.9426800394184068E+28</v>
      </c>
      <c r="I122" s="1">
        <v>24.052</v>
      </c>
      <c r="J122" s="1">
        <f>J121*(1+Table2[[#This Row],[2014 discount rate]])</f>
        <v>3.7086421510023797E+28</v>
      </c>
      <c r="K122" s="9">
        <f>Table2[CPI]+1.7%</f>
        <v>4.4700000000000004E-2</v>
      </c>
      <c r="L122" s="108">
        <f t="shared" si="21"/>
        <v>41.830022982381024</v>
      </c>
      <c r="M122" s="17">
        <f>Table2[[#This Row],[Annual benefit payments (closed scheme)]]/((1+L121)*(1+Table2[[#This Row],[Discount rate A1]])^0.5)+M121</f>
        <v>64.922564676406154</v>
      </c>
      <c r="N122" s="74">
        <f>N121*(1+Table2[Discount rate A1])</f>
        <v>2780.6351101886612</v>
      </c>
      <c r="O122" s="74">
        <f>Table2[[#This Row],[Asset growth A1, under the assumption of full-funding at Year 0]]/(1+Table2[[#This Row],[Compounded CPI]])</f>
        <v>277.877738108789</v>
      </c>
      <c r="P122" s="74">
        <f>(P121*((1+Table2[Discount rate A1])^0.5)-Table2[Annual benefit payments (closed scheme)])*(1+Table2[Discount rate A1])^0.5</f>
        <v>1.7302306362364632E-4</v>
      </c>
      <c r="Q122" s="74">
        <f>Table2[[#This Row],[Asset growth A1 with benefit payments deducted]]/(1+Table2[Compounded CPI])</f>
        <v>1.729074677372172E-5</v>
      </c>
      <c r="R122" s="74">
        <f>Table2[[#This Row],[Asset growth A1 with benefit payments deducted]]/(1+Table2[Compounded discount rate A1])</f>
        <v>4.039761166946438E-6</v>
      </c>
      <c r="S122" s="73">
        <f>Table2[CPI]+1.7%</f>
        <v>4.4700000000000004E-2</v>
      </c>
      <c r="T122" s="72">
        <f t="shared" si="32"/>
        <v>39.680229397752065</v>
      </c>
      <c r="U122" s="17">
        <f>Table2[[#This Row],[Annual benefit payments (closed scheme)]]/((1+T121)*(1+Table2[[#This Row],[Discount rate A2]])^0.5)+U121</f>
        <v>67.511301779663739</v>
      </c>
      <c r="V122" s="74">
        <f>V121*(1+Table2[Discount rate A2])</f>
        <v>2746.3754163606486</v>
      </c>
      <c r="W122" s="74">
        <f>Table2[[#This Row],[Asset growth A2, under the assumption of full-funding at Year 0]]/(1+Table2[Compounded CPI])</f>
        <v>274.4540575998488</v>
      </c>
      <c r="X122" s="74">
        <f>(X121*((1+Table2[Discount rate A2])^0.5)-Table2[Annual benefit payments (closed scheme)])*(1+Table2[Discount rate A2])^0.5</f>
        <v>1.730230644295171E-4</v>
      </c>
      <c r="Y122" s="74">
        <f>Table2[[#This Row],[Asset growth A2 with benefit payments deducted]]/(1+Table2[[#This Row],[Compounded CPI]])</f>
        <v>1.729074685425496E-5</v>
      </c>
      <c r="Z122" s="78">
        <f>Table2[[#This Row],[Asset growth A2 with benefit payments deducted]]/(1+Table2[Compounded discount rate A2])</f>
        <v>4.2532470192775784E-6</v>
      </c>
      <c r="AA122" s="109">
        <f>Table2[CPI]+2.8%</f>
        <v>5.57E-2</v>
      </c>
      <c r="AB122" s="72">
        <f t="shared" si="33"/>
        <v>100.92148045743845</v>
      </c>
      <c r="AC122" s="74">
        <f>Table2[[#This Row],[Annual benefit payments (closed scheme)]]/((1+AB121)*(1+Table2[[#This Row],[Discount rate B]])^0.5)+AC121</f>
        <v>60.426896819785476</v>
      </c>
      <c r="AD122" s="110">
        <f>AD121*(1+Table2[Discount rate B])</f>
        <v>6115.2888274463066</v>
      </c>
      <c r="AE122" s="71">
        <f>Table2[[#This Row],[Asset growth B]]/(1+Table2[Compounded CPI])</f>
        <v>611.12032320466301</v>
      </c>
      <c r="AF122" s="74">
        <f>(AF121*((1+Table2[Discount rate B])^0.5)-Table2[Annual benefit payments (closed scheme)])*(1+Table2[Discount rate B])^0.5</f>
        <v>-43.509955875107607</v>
      </c>
      <c r="AG122" s="74">
        <f>Table2[[#This Row],[Asset growth B with benefit payments deducted]]/(1+Table2[Compounded CPI])</f>
        <v>-4.3480887080390076</v>
      </c>
      <c r="AH122" s="78">
        <f>Table2[[#This Row],[Asset growth B with benefit payments deducted]]/(1+Table2[Compounded discount rate B])</f>
        <v>-0.426896819785472</v>
      </c>
      <c r="AI122" s="75">
        <f>Table2[CPI]+2.56%</f>
        <v>5.33E-2</v>
      </c>
      <c r="AJ122" s="72">
        <f t="shared" si="34"/>
        <v>102.66901160593363</v>
      </c>
      <c r="AK122" s="74">
        <f>Table2[[#This Row],[Annual benefit payments (closed scheme)]]/((1+AJ121)*(1+Table2[[#This Row],[Discount rate C]])^0.5)+AK121</f>
        <v>52.353433619779409</v>
      </c>
      <c r="AL122" s="74">
        <f>AL121*(1+Table2[Discount rate C])</f>
        <v>6220.1406963560175</v>
      </c>
      <c r="AM122" s="74">
        <f>Table2[[#This Row],[Asset growth C]]/(1+Table2[Compounded CPI])</f>
        <v>621.59850499210825</v>
      </c>
      <c r="AN122" s="74">
        <f>(AN121*((1+Table2[Discount rate C])^0.5)-Table2[Annual benefit payments (closed scheme)])*(1+Table2[Discount rate C])^0.5</f>
        <v>792.71197881662351</v>
      </c>
      <c r="AO122" s="74">
        <f>Table2[[#This Row],[Asset growth C with benefit payments deducted]]/(1+Table2[Compounded CPI])</f>
        <v>79.218237171133254</v>
      </c>
      <c r="AP122" s="78">
        <f>Table2[[#This Row],[Asset growth C with benefit payments deducted]]/(1+Table2[Compounded discount rate C])</f>
        <v>7.6465663802205244</v>
      </c>
      <c r="AQ122" s="75">
        <f>Table2[CPI]+2.56%</f>
        <v>5.33E-2</v>
      </c>
      <c r="AR122" s="72">
        <f t="shared" si="35"/>
        <v>96.041153561003043</v>
      </c>
      <c r="AS122" s="74">
        <f>Table2[[#This Row],[Annual benefit payments (closed scheme)]]/((1+AR121)*(1+Table2[[#This Row],[Discount rate D]])^0.5)+AS121</f>
        <v>54.852926103620213</v>
      </c>
      <c r="AT122" s="71">
        <f>AT121*(1+Table2[Discount rate D])</f>
        <v>5822.4692136601798</v>
      </c>
      <c r="AU122" s="74">
        <f>Table2[[#This Row],[Asset growth D]]/(1+Table2[Compounded CPI])</f>
        <v>581.85792496527029</v>
      </c>
      <c r="AV122" s="74">
        <f>(AV121*((1+Table2[Discount rate D])^0.5)-Table2[Annual benefit payments (closed scheme)])*(1+Table2[Discount rate D])^0.5</f>
        <v>499.47798836841775</v>
      </c>
      <c r="AW122" s="74">
        <f>Table2[[#This Row],[Asset growth D with benefit payments deducted]]/(1+Table2[Compounded CPI])</f>
        <v>49.914428949840541</v>
      </c>
      <c r="AX122" s="78">
        <f>Table2[[#This Row],[Asset growth D with benefit payments deducted]]/(1+Table2[Compounded discount rate D])</f>
        <v>5.1470738963797515</v>
      </c>
      <c r="AY122" s="75">
        <f>Table2[CPI]+4%</f>
        <v>6.7699999999999996E-2</v>
      </c>
      <c r="AZ122" s="72">
        <f t="shared" si="36"/>
        <v>320.13178883201346</v>
      </c>
      <c r="BA122" s="74">
        <f>Table2[[#This Row],[Annual benefit payments (closed scheme)]]/((1+AZ121)*(1+Table2[[#This Row],[Discount rate E]])^0.5)+BA121</f>
        <v>48.297580147559678</v>
      </c>
      <c r="BB122" s="17">
        <f>BB121*(1+Table2[Discount rate E])</f>
        <v>19267.907329920836</v>
      </c>
      <c r="BC122" s="71">
        <f>Table2[[#This Row],[Asset growth E]]/(1+Table2[Compounded CPI])</f>
        <v>1925.5034532613993</v>
      </c>
      <c r="BD122" s="74">
        <f>(BD121*((1+Table2[Discount rate E])^0.5)-Table2[Annual benefit payments (closed scheme)])*(1+Table2[Discount rate E])^0.5</f>
        <v>3758.0190208774156</v>
      </c>
      <c r="BE122" s="74">
        <f>Table2[[#This Row],[Asset growth E with benefit payments deducted]]/(1+Table2[Compounded CPI])</f>
        <v>375.55083062314151</v>
      </c>
      <c r="BF122" s="78">
        <f>Table2[[#This Row],[Asset growth E with benefit payments deducted]]/(1+Table2[Compounded discount rate E])</f>
        <v>11.702419852440284</v>
      </c>
      <c r="BG122" s="75">
        <f>Table2[[#This Row],[Long-dated forward gilt yields]]+0.75%</f>
        <v>2.5600000000000001E-2</v>
      </c>
      <c r="BH122" s="75">
        <f t="shared" si="37"/>
        <v>9.3783498035320569</v>
      </c>
      <c r="BI122" s="17">
        <f>((Table2[[#This Row],[Annual benefit payments (closed scheme)]])*1.005^(Table2[[#This Row],[Year]]-2018))/((1+BH121)*(1+Table2[[#This Row],[Discount rate F]])^0.5)+BI121</f>
        <v>82.343467150301734</v>
      </c>
      <c r="BJ122" s="74">
        <f>BJ121*(1+Table2[Discount rate F])</f>
        <v>854.58959367781449</v>
      </c>
      <c r="BK122" s="74">
        <f>Table2[[#This Row],[Asset growth F, under the assumption of full-funding at Year 0]]/(1+Table2[[#This Row],[Compounded CPI]])</f>
        <v>85.401864643213884</v>
      </c>
      <c r="BL122" s="74">
        <f>(BL121*((1+Table2[Discount rate F])^0.5)-Table2[Annual benefit payments (closed scheme)]*1.005^(Table2[Year]-2018))*(1+Table2[Discount rate F])^0.5</f>
        <v>2.8755633182333916E-4</v>
      </c>
      <c r="BM122" s="74">
        <f>Table2[[#This Row],[Asset growth F with benefit payments deducted]]/(1+Table2[Compounded CPI])</f>
        <v>2.8736421680480194E-5</v>
      </c>
      <c r="BN122" s="78">
        <f>Table2[[#This Row],[Asset growth F with benefit payments deducted]]/(1+Table2[Compounded discount rate F])</f>
        <v>2.7707327009297307E-5</v>
      </c>
      <c r="BO122" s="18">
        <f>(1+BO121)*(1+Table2[Discount rate A2])-1</f>
        <v>21.878775019404308</v>
      </c>
      <c r="BP122" s="74">
        <f>Table2[[#This Row],[Annual benefit payments (ongoing scheme)]]/((1+BO121)*(1+Table2[[#This Row],[Discount rate A2]])^0.5)+BP121</f>
        <v>112.5091731857294</v>
      </c>
      <c r="BQ122" s="74">
        <f>(BQ121*((1+Table2[Discount rate A2])^0.5)-Table2[Annual benefit payments (ongoing scheme)])*(1+Table2[Discount rate A2])^0.5</f>
        <v>9.1618109217100792E-14</v>
      </c>
      <c r="BR122" s="18">
        <f>(1+BR121)*(1+Table2[Discount rate B])-1</f>
        <v>50.942989859568755</v>
      </c>
      <c r="BS122" s="74">
        <f>Table2[[#This Row],[Annual benefit payments (ongoing scheme)]]/((1+BR121)*(1+Table2[[#This Row],[Discount rate B]])^0.5)+BS121</f>
        <v>93.512942296053311</v>
      </c>
      <c r="BT122" s="18">
        <f>(1+BT121)*(1+Table2[Discount rate E])-1</f>
        <v>124.82618820584204</v>
      </c>
      <c r="BU122" s="74">
        <f>Table2[[#This Row],[Annual benefit payments (ongoing scheme)]]/((1+BT121)*(1+Table2[[#This Row],[Discount rate E]])^0.5)+BU121</f>
        <v>78.139825166219183</v>
      </c>
      <c r="BV122" s="18">
        <f>Table2[CPI]+0.75%+0.75%</f>
        <v>4.2699999999999995E-2</v>
      </c>
      <c r="BW122" s="18">
        <f>(1+BW121)*(1+Table2[Self-sufficiency discount rate, from 2037])-1</f>
        <v>18.691747584077195</v>
      </c>
      <c r="BX122" s="17">
        <f>(Table2[[#This Row],[Annual benefit payments (ongoing scheme)]]*1.005^(Table2[[#This Row],[Year]]-2038))/((1+BW121)*(1+Table2[[#This Row],[Self-sufficiency discount rate, from 2037]])^0.5)+BX121</f>
        <v>128.05052145331271</v>
      </c>
      <c r="BY122" s="74">
        <f>(BY121*((1+Table2[Self-sufficiency discount rate, from 2037])^0.5)-Table2[Annual benefit payments (ongoing scheme)]*1.005^(Table2[Year]-2038))*(1+Table2[Self-sufficiency discount rate, from 2037])^0.5</f>
        <v>-2.6689909885550265E-12</v>
      </c>
      <c r="BZ122" s="74">
        <f>(BZ121*((1+Table2[Discount rate B])^0.5)-Table2[Annual benefit payments (ongoing scheme)])*(1+Table2[Discount rate B])^0.5</f>
        <v>-1.9553431289621687E-12</v>
      </c>
      <c r="CA122" s="74">
        <f>(CA121*((1+Table2[Discount rate A2])^0.5)+Table2[Net cashflow (ongoing scheme)])*(1+Table2[Discount rate A2])^0.5</f>
        <v>-7.5720797114774774</v>
      </c>
      <c r="CB122" s="74">
        <f>Table2[[#This Row],[Asset growth, ongoing scheme, with November de-risking, net of contributions and payments]]/(1+Table2[Compounded discount rate A2])</f>
        <v>-0.18613660305209342</v>
      </c>
      <c r="CC122" s="74">
        <f>Table2[[#This Row],[Asset growth, ongoing scheme, with November de-risking, net of contributions and payments]]/(1+Table2[Compounded CPI])</f>
        <v>-0.75670208410122997</v>
      </c>
      <c r="CD122" s="74">
        <f>(CD121*((1+Table2[Discount rate A1])^0.5)+Table2[Net cashflow (ongoing scheme)])*(1+Table2[Discount rate A1])^0.5</f>
        <v>123.81210081682885</v>
      </c>
      <c r="CE122" s="74">
        <f>Table2[[#This Row],[Asset growth, ongoing scheme, with September de-risking, net of contributions and payments]]/(1+Table2[Compounded discount rate A1])</f>
        <v>2.8907782951169883</v>
      </c>
      <c r="CF122" s="74">
        <f>Table2[[#This Row],[Asset growth, ongoing scheme, with September de-risking, net of contributions and payments]]/(1+Table2[Compounded CPI])</f>
        <v>12.372938254075148</v>
      </c>
      <c r="CG122" s="74">
        <f>(CG121*((1+Table2[Discount rate B])^0.5)+Table2[Net cashflow (ongoing scheme)])*(1+Table2[Discount rate B])^0.5</f>
        <v>1559.9904157298593</v>
      </c>
      <c r="CH122" s="74">
        <f>Table2[[#This Row],[Asset growth, ongoing scheme, no de-risking, net of contributions and payments]]/(1+Table2[Compounded discount rate B])</f>
        <v>15.305806084530905</v>
      </c>
      <c r="CI122" s="74">
        <f>Table2[[#This Row],[Asset growth, ongoing scheme, no de-risking, net of contributions and payments]]/(1+Table2[Compounded CPI])</f>
        <v>155.89481935477374</v>
      </c>
      <c r="CJ122" s="74">
        <f>(CJ121*((1+Table2[Discount rate E])^0.5)+Table2[Net cashflow (ongoing scheme)])*(1+Table2[Discount rate E])^0.5</f>
        <v>10255.450381060789</v>
      </c>
      <c r="CK122" s="74">
        <f>Table2[[#This Row],[Asset growth, ongoing scheme, best-estimates, no de-risking, net of contributions and payments ]]/(1+Table2[Compounded discount rate E])</f>
        <v>31.935332277009472</v>
      </c>
      <c r="CL122" s="74">
        <f>Table2[[#This Row],[Asset growth, ongoing scheme, best-estimates, no de-risking, net of contributions and payments ]]/(1+Table2[Compounded CPI])</f>
        <v>1024.8598763405312</v>
      </c>
      <c r="CM122" s="73">
        <f t="shared" si="24"/>
        <v>2.7699999999999999E-2</v>
      </c>
      <c r="CN122" s="75">
        <f>(1+Table2[[#This Row],[CPI]])*(1+CN121)-1</f>
        <v>9.006685418966681</v>
      </c>
      <c r="CO122" s="11">
        <f t="shared" si="23"/>
        <v>1.8100000000000002E-2</v>
      </c>
      <c r="CP122" s="75">
        <f>Table2[[#This Row],[CPI]]+2%</f>
        <v>4.7699999999999999E-2</v>
      </c>
      <c r="CQ122" s="76">
        <f>(1+Table2[[#This Row],[Salary growth]])*(1+CQ121)-1</f>
        <v>63.731317720462101</v>
      </c>
      <c r="CR122" s="77">
        <f t="shared" si="39"/>
        <v>100.06685418966677</v>
      </c>
      <c r="CS122" s="74">
        <f t="shared" si="40"/>
        <v>130.08691044656686</v>
      </c>
      <c r="CT122" s="74">
        <f>CT121*(1+Table2[[#This Row],[Salary growth]])</f>
        <v>647.31317720462107</v>
      </c>
      <c r="CU122" s="78">
        <f t="shared" si="38"/>
        <v>841.50713036600689</v>
      </c>
      <c r="CV122" s="116">
        <f>('Cash flows as at 31032017'!B107)/1000000000</f>
        <v>1.29436E-4</v>
      </c>
      <c r="CW122" s="117">
        <v>0</v>
      </c>
      <c r="CX122" s="117">
        <f>Table2[[#This Row],[Annual contributions (closed scheme)]]-Table2[[#This Row],[Annual benefit payments (closed scheme)]]</f>
        <v>-1.29436E-4</v>
      </c>
      <c r="CY122" s="117">
        <v>0.1</v>
      </c>
      <c r="CZ122" s="117">
        <v>0</v>
      </c>
      <c r="DA122" s="117">
        <v>-0.1</v>
      </c>
    </row>
    <row r="123" spans="1:105" x14ac:dyDescent="0.2">
      <c r="A123" s="7">
        <v>2116</v>
      </c>
      <c r="E123" s="6">
        <v>6.0999999999999999E-2</v>
      </c>
      <c r="F123" s="1">
        <f>F122*(1+Table2[[#This Row],[2008 discount rate]])</f>
        <v>20179.159456511174</v>
      </c>
      <c r="G123" s="1">
        <v>25.061</v>
      </c>
      <c r="H123">
        <f>H122*(1+Table2[[#This Row],[2011 discount rate]])</f>
        <v>1.8093318450728309E+30</v>
      </c>
      <c r="I123" s="1">
        <v>25.052</v>
      </c>
      <c r="J123" s="1">
        <f>J122*(1+Table2[[#This Row],[2014 discount rate]])</f>
        <v>9.6617545317913997E+29</v>
      </c>
      <c r="K123" s="9">
        <f>Table2[CPI]+1.7%</f>
        <v>4.4700000000000004E-2</v>
      </c>
      <c r="L123" s="108">
        <f t="shared" si="21"/>
        <v>43.744525009693454</v>
      </c>
      <c r="M123" s="17">
        <f>Table2[[#This Row],[Annual benefit payments (closed scheme)]]/((1+L122)*(1+Table2[[#This Row],[Discount rate A1]])^0.5)+M122</f>
        <v>64.922567006178511</v>
      </c>
      <c r="N123" s="74">
        <f>N122*(1+Table2[Discount rate A1])</f>
        <v>2904.9294996140943</v>
      </c>
      <c r="O123" s="74">
        <f>Table2[[#This Row],[Asset growth A1, under the assumption of full-funding at Year 0]]/(1+Table2[[#This Row],[Compounded CPI]])</f>
        <v>282.47433395178734</v>
      </c>
      <c r="P123" s="74">
        <f>(P122*((1+Table2[Discount rate A1])^0.5)-Table2[Annual benefit payments (closed scheme)])*(1+Table2[Discount rate A1])^0.5</f>
        <v>7.6512637316561018E-5</v>
      </c>
      <c r="Q123" s="74">
        <f>Table2[[#This Row],[Asset growth A1 with benefit payments deducted]]/(1+Table2[Compounded CPI])</f>
        <v>7.4400622348189201E-6</v>
      </c>
      <c r="R123" s="74">
        <f>Table2[[#This Row],[Asset growth A1 with benefit payments deducted]]/(1+Table2[Compounded discount rate A1])</f>
        <v>1.7099888153910522E-6</v>
      </c>
      <c r="S123" s="73">
        <f>Table2[CPI]+1.7%</f>
        <v>4.4700000000000004E-2</v>
      </c>
      <c r="T123" s="72">
        <f t="shared" si="32"/>
        <v>41.498635651831577</v>
      </c>
      <c r="U123" s="17">
        <f>Table2[[#This Row],[Annual benefit payments (closed scheme)]]/((1+T122)*(1+Table2[[#This Row],[Discount rate A2]])^0.5)+U122</f>
        <v>67.511304232555588</v>
      </c>
      <c r="V123" s="74">
        <f>V122*(1+Table2[Discount rate A2])</f>
        <v>2869.1383974719697</v>
      </c>
      <c r="W123" s="74">
        <f>Table2[[#This Row],[Asset growth A2, under the assumption of full-funding at Year 0]]/(1+Table2[Compounded CPI])</f>
        <v>278.99401963078918</v>
      </c>
      <c r="X123" s="74">
        <f>(X122*((1+Table2[Discount rate A2])^0.5)-Table2[Annual benefit payments (closed scheme)])*(1+Table2[Discount rate A2])^0.5</f>
        <v>7.6512638158454224E-5</v>
      </c>
      <c r="Y123" s="74">
        <f>Table2[[#This Row],[Asset growth A2 with benefit payments deducted]]/(1+Table2[[#This Row],[Compounded CPI]])</f>
        <v>7.4400623166843224E-6</v>
      </c>
      <c r="Z123" s="78">
        <f>Table2[[#This Row],[Asset growth A2 with benefit payments deducted]]/(1+Table2[Compounded discount rate A2])</f>
        <v>1.8003551639935231E-6</v>
      </c>
      <c r="AA123" s="109">
        <f>Table2[CPI]+2.8%</f>
        <v>5.57E-2</v>
      </c>
      <c r="AB123" s="72">
        <f t="shared" si="33"/>
        <v>106.59850691891778</v>
      </c>
      <c r="AC123" s="74">
        <f>Table2[[#This Row],[Annual benefit payments (closed scheme)]]/((1+AB122)*(1+Table2[[#This Row],[Discount rate B]])^0.5)+AC122</f>
        <v>60.426897793701713</v>
      </c>
      <c r="AD123" s="110">
        <f>AD122*(1+Table2[Discount rate B])</f>
        <v>6455.9104151350666</v>
      </c>
      <c r="AE123" s="71">
        <f>Table2[[#This Row],[Asset growth B]]/(1+Table2[Compounded CPI])</f>
        <v>627.7704828326971</v>
      </c>
      <c r="AF123" s="74">
        <f>(AF122*((1+Table2[Discount rate B])^0.5)-Table2[Annual benefit payments (closed scheme)])*(1+Table2[Discount rate B])^0.5</f>
        <v>-45.93356520928436</v>
      </c>
      <c r="AG123" s="74">
        <f>Table2[[#This Row],[Asset growth B with benefit payments deducted]]/(1+Table2[Compounded CPI])</f>
        <v>-4.4665639012056113</v>
      </c>
      <c r="AH123" s="78">
        <f>Table2[[#This Row],[Asset growth B with benefit payments deducted]]/(1+Table2[Compounded discount rate B])</f>
        <v>-0.42689779370171171</v>
      </c>
      <c r="AI123" s="75">
        <f>Table2[CPI]+2.56%</f>
        <v>5.33E-2</v>
      </c>
      <c r="AJ123" s="72">
        <f t="shared" si="34"/>
        <v>108.19456992452989</v>
      </c>
      <c r="AK123" s="74">
        <f>Table2[[#This Row],[Annual benefit payments (closed scheme)]]/((1+AJ122)*(1+Table2[[#This Row],[Discount rate C]])^0.5)+AK122</f>
        <v>52.353434578368741</v>
      </c>
      <c r="AL123" s="74">
        <f>AL122*(1+Table2[Discount rate C])</f>
        <v>6551.6741954717927</v>
      </c>
      <c r="AM123" s="74">
        <f>Table2[[#This Row],[Asset growth C]]/(1+Table2[Compounded CPI])</f>
        <v>637.08251951755142</v>
      </c>
      <c r="AN123" s="74">
        <f>(AN122*((1+Table2[Discount rate C])^0.5)-Table2[Annual benefit payments (closed scheme)])*(1+Table2[Discount rate C])^0.5</f>
        <v>834.96342261479958</v>
      </c>
      <c r="AO123" s="74">
        <f>Table2[[#This Row],[Asset growth C with benefit payments deducted]]/(1+Table2[Compounded CPI])</f>
        <v>81.191552741143127</v>
      </c>
      <c r="AP123" s="78">
        <f>Table2[[#This Row],[Asset growth C with benefit payments deducted]]/(1+Table2[Compounded discount rate C])</f>
        <v>7.646565421631192</v>
      </c>
      <c r="AQ123" s="75">
        <f>Table2[CPI]+2.56%</f>
        <v>5.33E-2</v>
      </c>
      <c r="AR123" s="72">
        <f t="shared" si="35"/>
        <v>101.2134470458045</v>
      </c>
      <c r="AS123" s="74">
        <f>Table2[[#This Row],[Annual benefit payments (closed scheme)]]/((1+AR122)*(1+Table2[[#This Row],[Discount rate D]])^0.5)+AS122</f>
        <v>54.852927127680672</v>
      </c>
      <c r="AT123" s="71">
        <f>AT122*(1+Table2[Discount rate D])</f>
        <v>6132.8068227482672</v>
      </c>
      <c r="AU123" s="74">
        <f>Table2[[#This Row],[Asset growth D]]/(1+Table2[Compounded CPI])</f>
        <v>596.35200191293097</v>
      </c>
      <c r="AV123" s="74">
        <f>(AV122*((1+Table2[Discount rate D])^0.5)-Table2[Annual benefit payments (closed scheme)])*(1+Table2[Discount rate D])^0.5</f>
        <v>526.10006047570437</v>
      </c>
      <c r="AW123" s="74">
        <f>Table2[[#This Row],[Asset growth D with benefit payments deducted]]/(1+Table2[Compounded CPI])</f>
        <v>51.157786856655811</v>
      </c>
      <c r="AX123" s="78">
        <f>Table2[[#This Row],[Asset growth D with benefit payments deducted]]/(1+Table2[Compounded discount rate D])</f>
        <v>5.1470728723192876</v>
      </c>
      <c r="AY123" s="75">
        <f>Table2[CPI]+4%</f>
        <v>6.7699999999999996E-2</v>
      </c>
      <c r="AZ123" s="72">
        <f t="shared" si="36"/>
        <v>341.87241093594082</v>
      </c>
      <c r="BA123" s="74">
        <f>Table2[[#This Row],[Annual benefit payments (closed scheme)]]/((1+AZ122)*(1+Table2[[#This Row],[Discount rate E]])^0.5)+BA122</f>
        <v>48.297580454921324</v>
      </c>
      <c r="BB123" s="17">
        <f>BB122*(1+Table2[Discount rate E])</f>
        <v>20572.344656156478</v>
      </c>
      <c r="BC123" s="71">
        <f>Table2[[#This Row],[Asset growth E]]/(1+Table2[Compounded CPI])</f>
        <v>2000.4476374887574</v>
      </c>
      <c r="BD123" s="74">
        <f>(BD122*((1+Table2[Discount rate E])^0.5)-Table2[Annual benefit payments (closed scheme)])*(1+Table2[Discount rate E])^0.5</f>
        <v>4012.4368032049879</v>
      </c>
      <c r="BE123" s="74">
        <f>Table2[[#This Row],[Asset growth E with benefit payments deducted]]/(1+Table2[Compounded CPI])</f>
        <v>390.16795886424643</v>
      </c>
      <c r="BF123" s="78">
        <f>Table2[[#This Row],[Asset growth E with benefit payments deducted]]/(1+Table2[Compounded discount rate E])</f>
        <v>11.702419545078637</v>
      </c>
      <c r="BG123" s="75">
        <f>Table2[[#This Row],[Long-dated forward gilt yields]]+0.75%</f>
        <v>2.5600000000000001E-2</v>
      </c>
      <c r="BH123" s="75">
        <f t="shared" si="37"/>
        <v>9.6440355585024786</v>
      </c>
      <c r="BI123" s="17">
        <f>((Table2[[#This Row],[Annual benefit payments (closed scheme)]])*1.005^(Table2[[#This Row],[Year]]-2018))/((1+BH122)*(1+Table2[[#This Row],[Discount rate F]])^0.5)+BI122</f>
        <v>82.343482970587843</v>
      </c>
      <c r="BJ123" s="74">
        <f>BJ122*(1+Table2[Discount rate F])</f>
        <v>876.46708727596661</v>
      </c>
      <c r="BK123" s="74">
        <f>Table2[[#This Row],[Asset growth F, under the assumption of full-funding at Year 0]]/(1+Table2[[#This Row],[Compounded CPI]])</f>
        <v>85.227354654159925</v>
      </c>
      <c r="BL123" s="74">
        <f>(BL122*((1+Table2[Discount rate F])^0.5)-Table2[Annual benefit payments (closed scheme)]*1.005^(Table2[Year]-2018))*(1+Table2[Discount rate F])^0.5</f>
        <v>1.2652608608368677E-4</v>
      </c>
      <c r="BM123" s="74">
        <f>Table2[[#This Row],[Asset growth F with benefit payments deducted]]/(1+Table2[Compounded CPI])</f>
        <v>1.2303352593845691E-5</v>
      </c>
      <c r="BN123" s="78">
        <f>Table2[[#This Row],[Asset growth F with benefit payments deducted]]/(1+Table2[Compounded discount rate F])</f>
        <v>1.1887040905516091E-5</v>
      </c>
      <c r="BO123" s="18">
        <f>(1+BO122)*(1+Table2[Discount rate A2])-1</f>
        <v>22.901456262771681</v>
      </c>
      <c r="BP123" s="74">
        <f>Table2[[#This Row],[Annual benefit payments (ongoing scheme)]]/((1+BO122)*(1+Table2[[#This Row],[Discount rate A2]])^0.5)+BP122</f>
        <v>112.5091731857294</v>
      </c>
      <c r="BQ123" s="74">
        <f>(BQ122*((1+Table2[Discount rate A2])^0.5)-Table2[Annual benefit payments (ongoing scheme)])*(1+Table2[Discount rate A2])^0.5</f>
        <v>9.5713438699105198E-14</v>
      </c>
      <c r="BR123" s="18">
        <f>(1+BR122)*(1+Table2[Discount rate B])-1</f>
        <v>53.83621439474674</v>
      </c>
      <c r="BS123" s="74">
        <f>Table2[[#This Row],[Annual benefit payments (ongoing scheme)]]/((1+BR122)*(1+Table2[[#This Row],[Discount rate B]])^0.5)+BS122</f>
        <v>93.512942296053311</v>
      </c>
      <c r="BT123" s="18">
        <f>(1+BT122)*(1+Table2[Discount rate E])-1</f>
        <v>133.34462114737755</v>
      </c>
      <c r="BU123" s="74">
        <f>Table2[[#This Row],[Annual benefit payments (ongoing scheme)]]/((1+BT122)*(1+Table2[[#This Row],[Discount rate E]])^0.5)+BU122</f>
        <v>78.139825166219183</v>
      </c>
      <c r="BV123" s="18">
        <f>Table2[CPI]+0.75%+0.75%</f>
        <v>4.2699999999999995E-2</v>
      </c>
      <c r="BW123" s="18">
        <f>(1+BW122)*(1+Table2[Self-sufficiency discount rate, from 2037])-1</f>
        <v>19.53258520591729</v>
      </c>
      <c r="BX123" s="17">
        <f>(Table2[[#This Row],[Annual benefit payments (ongoing scheme)]]*1.005^(Table2[[#This Row],[Year]]-2038))/((1+BW122)*(1+Table2[[#This Row],[Self-sufficiency discount rate, from 2037]])^0.5)+BX122</f>
        <v>128.05052145331271</v>
      </c>
      <c r="BY123" s="74">
        <f>(BY122*((1+Table2[Self-sufficiency discount rate, from 2037])^0.5)-Table2[Annual benefit payments (ongoing scheme)]*1.005^(Table2[Year]-2038))*(1+Table2[Self-sufficiency discount rate, from 2037])^0.5</f>
        <v>-2.7829569037663261E-12</v>
      </c>
      <c r="BZ123" s="74">
        <f>(BZ122*((1+Table2[Discount rate B])^0.5)-Table2[Annual benefit payments (ongoing scheme)])*(1+Table2[Discount rate B])^0.5</f>
        <v>-2.064255741245361E-12</v>
      </c>
      <c r="CA123" s="74">
        <f>(CA122*((1+Table2[Discount rate A2])^0.5)+Table2[Net cashflow (ongoing scheme)])*(1+Table2[Discount rate A2])^0.5</f>
        <v>-7.9105516745805202</v>
      </c>
      <c r="CB123" s="74">
        <f>Table2[[#This Row],[Asset growth, ongoing scheme, with November de-risking, net of contributions and payments]]/(1+Table2[Compounded discount rate A2])</f>
        <v>-0.18613660305209342</v>
      </c>
      <c r="CC123" s="74">
        <f>Table2[[#This Row],[Asset growth, ongoing scheme, with November de-risking, net of contributions and payments]]/(1+Table2[Compounded CPI])</f>
        <v>-0.76921929284864732</v>
      </c>
      <c r="CD123" s="74">
        <f>(CD122*((1+Table2[Discount rate A1])^0.5)+Table2[Net cashflow (ongoing scheme)])*(1+Table2[Discount rate A1])^0.5</f>
        <v>129.34650172334108</v>
      </c>
      <c r="CE123" s="74">
        <f>Table2[[#This Row],[Asset growth, ongoing scheme, with September de-risking, net of contributions and payments]]/(1+Table2[Compounded discount rate A1])</f>
        <v>2.8907782951169883</v>
      </c>
      <c r="CF123" s="74">
        <f>Table2[[#This Row],[Asset growth, ongoing scheme, with September de-risking, net of contributions and payments]]/(1+Table2[Compounded CPI])</f>
        <v>12.577608829456363</v>
      </c>
      <c r="CG123" s="74">
        <f>(CG122*((1+Table2[Discount rate B])^0.5)+Table2[Net cashflow (ongoing scheme)])*(1+Table2[Discount rate B])^0.5</f>
        <v>1646.8818818860123</v>
      </c>
      <c r="CH123" s="74">
        <f>Table2[[#This Row],[Asset growth, ongoing scheme, no de-risking, net of contributions and payments]]/(1+Table2[Compounded discount rate B])</f>
        <v>15.305806084530904</v>
      </c>
      <c r="CI123" s="74">
        <f>Table2[[#This Row],[Asset growth, ongoing scheme, no de-risking, net of contributions and payments]]/(1+Table2[Compounded CPI])</f>
        <v>160.14222126382663</v>
      </c>
      <c r="CJ123" s="74">
        <f>(CJ122*((1+Table2[Discount rate E])^0.5)+Table2[Net cashflow (ongoing scheme)])*(1+Table2[Discount rate E])^0.5</f>
        <v>10949.744371858604</v>
      </c>
      <c r="CK123" s="74">
        <f>Table2[[#This Row],[Asset growth, ongoing scheme, best-estimates, no de-risking, net of contributions and payments ]]/(1+Table2[Compounded discount rate E])</f>
        <v>31.935332277009465</v>
      </c>
      <c r="CL123" s="74">
        <f>Table2[[#This Row],[Asset growth, ongoing scheme, best-estimates, no de-risking, net of contributions and payments ]]/(1+Table2[Compounded CPI])</f>
        <v>1064.7493334326991</v>
      </c>
      <c r="CM123" s="73">
        <f t="shared" si="24"/>
        <v>2.7699999999999999E-2</v>
      </c>
      <c r="CN123" s="75">
        <f>(1+Table2[[#This Row],[CPI]])*(1+CN122)-1</f>
        <v>9.2838706050720585</v>
      </c>
      <c r="CO123" s="11">
        <f t="shared" si="23"/>
        <v>1.8100000000000002E-2</v>
      </c>
      <c r="CP123" s="75">
        <f>Table2[[#This Row],[CPI]]+2%</f>
        <v>4.7699999999999999E-2</v>
      </c>
      <c r="CQ123" s="76">
        <f>(1+Table2[[#This Row],[Salary growth]])*(1+CQ122)-1</f>
        <v>66.819001575728151</v>
      </c>
      <c r="CR123" s="77">
        <f t="shared" si="39"/>
        <v>102.83870605072055</v>
      </c>
      <c r="CS123" s="74">
        <f t="shared" si="40"/>
        <v>133.69031786593678</v>
      </c>
      <c r="CT123" s="74">
        <f>CT122*(1+Table2[[#This Row],[Salary growth]])</f>
        <v>678.19001575728157</v>
      </c>
      <c r="CU123" s="78">
        <f t="shared" si="38"/>
        <v>881.64702048446543</v>
      </c>
      <c r="CV123" s="116">
        <f>('Cash flows as at 31032017'!B108)/1000000000</f>
        <v>1.0199E-4</v>
      </c>
      <c r="CW123" s="117">
        <v>0</v>
      </c>
      <c r="CX123" s="117">
        <f>Table2[[#This Row],[Annual contributions (closed scheme)]]-Table2[[#This Row],[Annual benefit payments (closed scheme)]]</f>
        <v>-1.0199E-4</v>
      </c>
      <c r="CY123" s="117">
        <v>0</v>
      </c>
      <c r="CZ123" s="117">
        <v>0</v>
      </c>
      <c r="DA123" s="117">
        <v>0</v>
      </c>
    </row>
    <row r="124" spans="1:105" x14ac:dyDescent="0.2">
      <c r="A124" s="7">
        <v>2117</v>
      </c>
      <c r="E124" s="6">
        <v>6.0999999999999999E-2</v>
      </c>
      <c r="F124" s="1">
        <f>F123*(1+Table2[[#This Row],[2008 discount rate]])</f>
        <v>21410.088183358355</v>
      </c>
      <c r="G124" s="1">
        <v>26.061</v>
      </c>
      <c r="H124">
        <f>H123*(1+Table2[[#This Row],[2011 discount rate]])</f>
        <v>4.8962329059515874E+31</v>
      </c>
      <c r="I124" s="1">
        <v>26.052</v>
      </c>
      <c r="J124" s="1">
        <f>J123*(1+Table2[[#This Row],[2014 discount rate]])</f>
        <v>2.6136978359402094E+31</v>
      </c>
      <c r="K124" s="9">
        <f>Table2[CPI]+1.7%</f>
        <v>4.4700000000000004E-2</v>
      </c>
      <c r="L124" s="108">
        <f t="shared" si="21"/>
        <v>45.744605277626754</v>
      </c>
      <c r="M124" s="17">
        <f>Table2[[#This Row],[Annual benefit payments (closed scheme)]]/((1+L123)*(1+Table2[[#This Row],[Discount rate A1]])^0.5)+M123</f>
        <v>64.922568716167319</v>
      </c>
      <c r="N124" s="74">
        <f>N123*(1+Table2[Discount rate A1])</f>
        <v>3034.7798482468443</v>
      </c>
      <c r="O124" s="74">
        <f>Table2[[#This Row],[Asset growth A1, under the assumption of full-funding at Year 0]]/(1+Table2[[#This Row],[Compounded CPI]])</f>
        <v>287.14696572874595</v>
      </c>
      <c r="P124" s="74">
        <f>(P123*((1+Table2[Discount rate A1])^0.5)-Table2[Annual benefit payments (closed scheme)])*(1+Table2[Discount rate A1])^0.5</f>
        <v>4.1265056722487745E-13</v>
      </c>
      <c r="Q124" s="74">
        <f>Table2[[#This Row],[Asset growth A1 with benefit payments deducted]]/(1+Table2[Compounded CPI])</f>
        <v>3.904446589538299E-14</v>
      </c>
      <c r="R124" s="74">
        <f>Table2[[#This Row],[Asset growth A1 with benefit payments deducted]]/(1+Table2[Compounded discount rate A1])</f>
        <v>8.8277687826018144E-15</v>
      </c>
      <c r="S124" s="73">
        <f>Table2[CPI]+1.7%</f>
        <v>4.4700000000000004E-2</v>
      </c>
      <c r="T124" s="72">
        <f t="shared" si="32"/>
        <v>43.398324665468451</v>
      </c>
      <c r="U124" s="17">
        <f>Table2[[#This Row],[Annual benefit payments (closed scheme)]]/((1+T123)*(1+Table2[[#This Row],[Discount rate A2]])^0.5)+U123</f>
        <v>67.511306032910724</v>
      </c>
      <c r="V124" s="74">
        <f>V123*(1+Table2[Discount rate A2])</f>
        <v>2997.3888838389666</v>
      </c>
      <c r="W124" s="74">
        <f>Table2[[#This Row],[Asset growth A2, under the assumption of full-funding at Year 0]]/(1+Table2[Compounded CPI])</f>
        <v>283.60908077093063</v>
      </c>
      <c r="X124" s="74">
        <f>(X123*((1+Table2[Discount rate A2])^0.5)-Table2[Annual benefit payments (closed scheme)])*(1+Table2[Discount rate A2])^0.5</f>
        <v>1.292176400875396E-12</v>
      </c>
      <c r="Y124" s="74">
        <f>Table2[[#This Row],[Asset growth A2 with benefit payments deducted]]/(1+Table2[[#This Row],[Compounded CPI]])</f>
        <v>1.2226406897752718E-13</v>
      </c>
      <c r="Z124" s="78">
        <f>Table2[[#This Row],[Asset growth A2 with benefit payments deducted]]/(1+Table2[Compounded discount rate A2])</f>
        <v>2.9104170272451924E-14</v>
      </c>
      <c r="AA124" s="109">
        <f>Table2[CPI]+2.8%</f>
        <v>5.57E-2</v>
      </c>
      <c r="AB124" s="72">
        <f t="shared" si="33"/>
        <v>112.5917437543015</v>
      </c>
      <c r="AC124" s="74">
        <f>Table2[[#This Row],[Annual benefit payments (closed scheme)]]/((1+AB123)*(1+Table2[[#This Row],[Discount rate B]])^0.5)+AC123</f>
        <v>60.426898501081197</v>
      </c>
      <c r="AD124" s="110">
        <f>AD123*(1+Table2[Discount rate B])</f>
        <v>6815.5046252580905</v>
      </c>
      <c r="AE124" s="71">
        <f>Table2[[#This Row],[Asset growth B]]/(1+Table2[Compounded CPI])</f>
        <v>644.87428113892997</v>
      </c>
      <c r="AF124" s="74">
        <f>(AF123*((1+Table2[Discount rate B])^0.5)-Table2[Annual benefit payments (closed scheme)])*(1+Table2[Discount rate B])^0.5</f>
        <v>-48.492145143910847</v>
      </c>
      <c r="AG124" s="74">
        <f>Table2[[#This Row],[Asset growth B with benefit payments deducted]]/(1+Table2[Compounded CPI])</f>
        <v>-4.5882644000670707</v>
      </c>
      <c r="AH124" s="78">
        <f>Table2[[#This Row],[Asset growth B with benefit payments deducted]]/(1+Table2[Compounded discount rate B])</f>
        <v>-0.42689850108119798</v>
      </c>
      <c r="AI124" s="75">
        <f>Table2[CPI]+2.56%</f>
        <v>5.33E-2</v>
      </c>
      <c r="AJ124" s="72">
        <f t="shared" si="34"/>
        <v>114.01464050150732</v>
      </c>
      <c r="AK124" s="74">
        <f>Table2[[#This Row],[Annual benefit payments (closed scheme)]]/((1+AJ123)*(1+Table2[[#This Row],[Discount rate C]])^0.5)+AK123</f>
        <v>52.353435276202354</v>
      </c>
      <c r="AL124" s="74">
        <f>AL123*(1+Table2[Discount rate C])</f>
        <v>6900.878430090439</v>
      </c>
      <c r="AM124" s="74">
        <f>Table2[[#This Row],[Asset growth C]]/(1+Table2[Compounded CPI])</f>
        <v>652.95224073935663</v>
      </c>
      <c r="AN124" s="74">
        <f>(AN123*((1+Table2[Discount rate C])^0.5)-Table2[Annual benefit payments (closed scheme)])*(1+Table2[Discount rate C])^0.5</f>
        <v>879.46689277908638</v>
      </c>
      <c r="AO124" s="74">
        <f>Table2[[#This Row],[Asset growth C with benefit payments deducted]]/(1+Table2[Compounded CPI])</f>
        <v>83.214026172702503</v>
      </c>
      <c r="AP124" s="78">
        <f>Table2[[#This Row],[Asset growth C with benefit payments deducted]]/(1+Table2[Compounded discount rate C])</f>
        <v>7.6465647237975816</v>
      </c>
      <c r="AQ124" s="75">
        <f>Table2[CPI]+2.56%</f>
        <v>5.33E-2</v>
      </c>
      <c r="AR124" s="72">
        <f t="shared" si="35"/>
        <v>106.66142377334587</v>
      </c>
      <c r="AS124" s="74">
        <f>Table2[[#This Row],[Annual benefit payments (closed scheme)]]/((1+AR123)*(1+Table2[[#This Row],[Discount rate D]])^0.5)+AS123</f>
        <v>54.852927873175936</v>
      </c>
      <c r="AT124" s="71">
        <f>AT123*(1+Table2[Discount rate D])</f>
        <v>6459.6854264007488</v>
      </c>
      <c r="AU124" s="74">
        <f>Table2[[#This Row],[Asset growth D]]/(1+Table2[Compounded CPI])</f>
        <v>611.2071262186339</v>
      </c>
      <c r="AV124" s="74">
        <f>(AV123*((1+Table2[Discount rate D])^0.5)-Table2[Annual benefit payments (closed scheme)])*(1+Table2[Discount rate D])^0.5</f>
        <v>554.14111343797742</v>
      </c>
      <c r="AW124" s="74">
        <f>Table2[[#This Row],[Asset growth D with benefit payments deducted]]/(1+Table2[Compounded CPI])</f>
        <v>52.43211938460238</v>
      </c>
      <c r="AX124" s="78">
        <f>Table2[[#This Row],[Asset growth D with benefit payments deducted]]/(1+Table2[Compounded discount rate D])</f>
        <v>5.1470721268240194</v>
      </c>
      <c r="AY124" s="75">
        <f>Table2[CPI]+4%</f>
        <v>6.7699999999999996E-2</v>
      </c>
      <c r="AZ124" s="72">
        <f t="shared" si="36"/>
        <v>365.08487315630407</v>
      </c>
      <c r="BA124" s="74">
        <f>Table2[[#This Row],[Annual benefit payments (closed scheme)]]/((1+AZ123)*(1+Table2[[#This Row],[Discount rate E]])^0.5)+BA123</f>
        <v>48.297580675656633</v>
      </c>
      <c r="BB124" s="17">
        <f>BB123*(1+Table2[Discount rate E])</f>
        <v>21965.092389378275</v>
      </c>
      <c r="BC124" s="71">
        <f>Table2[[#This Row],[Asset growth E]]/(1+Table2[Compounded CPI])</f>
        <v>2078.3087890889815</v>
      </c>
      <c r="BD124" s="74">
        <f>(BD123*((1+Table2[Discount rate E])^0.5)-Table2[Annual benefit payments (closed scheme)])*(1+Table2[Discount rate E])^0.5</f>
        <v>4284.0786939741092</v>
      </c>
      <c r="BE124" s="74">
        <f>Table2[[#This Row],[Asset growth E with benefit payments deducted]]/(1+Table2[Compounded CPI])</f>
        <v>405.35401558979083</v>
      </c>
      <c r="BF124" s="78">
        <f>Table2[[#This Row],[Asset growth E with benefit payments deducted]]/(1+Table2[Compounded discount rate E])</f>
        <v>11.70241932434333</v>
      </c>
      <c r="BG124" s="75">
        <f>Table2[[#This Row],[Long-dated forward gilt yields]]+0.75%</f>
        <v>2.5600000000000001E-2</v>
      </c>
      <c r="BH124" s="75">
        <f t="shared" si="37"/>
        <v>9.9165228688001434</v>
      </c>
      <c r="BI124" s="17">
        <f>((Table2[[#This Row],[Annual benefit payments (closed scheme)]])*1.005^(Table2[[#This Row],[Year]]-2018))/((1+BH123)*(1+Table2[[#This Row],[Discount rate F]])^0.5)+BI123</f>
        <v>82.34349485762877</v>
      </c>
      <c r="BJ124" s="74">
        <f>BJ123*(1+Table2[Discount rate F])</f>
        <v>898.90464471023142</v>
      </c>
      <c r="BK124" s="74">
        <f>Table2[[#This Row],[Asset growth F, under the assumption of full-funding at Year 0]]/(1+Table2[[#This Row],[Compounded CPI]])</f>
        <v>85.05320125844743</v>
      </c>
      <c r="BL124" s="74">
        <f>(BL123*((1+Table2[Discount rate F])^0.5)-Table2[Annual benefit payments (closed scheme)]*1.005^(Table2[Year]-2018))*(1+Table2[Discount rate F])^0.5</f>
        <v>-2.7643898628297953E-13</v>
      </c>
      <c r="BM124" s="74">
        <f>Table2[[#This Row],[Asset growth F with benefit payments deducted]]/(1+Table2[Compounded CPI])</f>
        <v>-2.6156301310009051E-14</v>
      </c>
      <c r="BN124" s="78">
        <f>Table2[[#This Row],[Asset growth F with benefit payments deducted]]/(1+Table2[Compounded discount rate F])</f>
        <v>-2.5322988794632872E-14</v>
      </c>
      <c r="BO124" s="18">
        <f>(1+BO123)*(1+Table2[Discount rate A2])-1</f>
        <v>23.969851357717573</v>
      </c>
      <c r="BP124" s="74">
        <f>Table2[[#This Row],[Annual benefit payments (ongoing scheme)]]/((1+BO123)*(1+Table2[[#This Row],[Discount rate A2]])^0.5)+BP123</f>
        <v>112.5091731857294</v>
      </c>
      <c r="BQ124" s="74">
        <f>(BQ123*((1+Table2[Discount rate A2])^0.5)-Table2[Annual benefit payments (ongoing scheme)])*(1+Table2[Discount rate A2])^0.5</f>
        <v>9.9991829408955191E-14</v>
      </c>
      <c r="BR124" s="18">
        <f>(1+BR123)*(1+Table2[Discount rate B])-1</f>
        <v>56.890591536534139</v>
      </c>
      <c r="BS124" s="74">
        <f>Table2[[#This Row],[Annual benefit payments (ongoing scheme)]]/((1+BR123)*(1+Table2[[#This Row],[Discount rate B]])^0.5)+BS123</f>
        <v>93.512942296053311</v>
      </c>
      <c r="BT124" s="18">
        <f>(1+BT123)*(1+Table2[Discount rate E])-1</f>
        <v>142.43975199905503</v>
      </c>
      <c r="BU124" s="74">
        <f>Table2[[#This Row],[Annual benefit payments (ongoing scheme)]]/((1+BT123)*(1+Table2[[#This Row],[Discount rate E]])^0.5)+BU123</f>
        <v>78.139825166219183</v>
      </c>
      <c r="BV124" s="18">
        <f>Table2[CPI]+0.75%+0.75%</f>
        <v>4.2699999999999995E-2</v>
      </c>
      <c r="BW124" s="18">
        <f>(1+BW123)*(1+Table2[Self-sufficiency discount rate, from 2037])-1</f>
        <v>20.409326594209958</v>
      </c>
      <c r="BX124" s="17">
        <f>(Table2[[#This Row],[Annual benefit payments (ongoing scheme)]]*1.005^(Table2[[#This Row],[Year]]-2038))/((1+BW123)*(1+Table2[[#This Row],[Self-sufficiency discount rate, from 2037]])^0.5)+BX123</f>
        <v>128.05052145331271</v>
      </c>
      <c r="BY124" s="74">
        <f>(BY123*((1+Table2[Self-sufficiency discount rate, from 2037])^0.5)-Table2[Annual benefit payments (ongoing scheme)]*1.005^(Table2[Year]-2038))*(1+Table2[Self-sufficiency discount rate, from 2037])^0.5</f>
        <v>-2.9017891635571479E-12</v>
      </c>
      <c r="BZ124" s="74">
        <f>(BZ123*((1+Table2[Discount rate B])^0.5)-Table2[Annual benefit payments (ongoing scheme)])*(1+Table2[Discount rate B])^0.5</f>
        <v>-2.1792347860327275E-12</v>
      </c>
      <c r="CA124" s="74">
        <f>(CA123*((1+Table2[Discount rate A2])^0.5)+Table2[Net cashflow (ongoing scheme)])*(1+Table2[Discount rate A2])^0.5</f>
        <v>-8.2641533344342673</v>
      </c>
      <c r="CB124" s="74">
        <f>Table2[[#This Row],[Asset growth, ongoing scheme, with November de-risking, net of contributions and payments]]/(1+Table2[Compounded discount rate A2])</f>
        <v>-0.18613660305209337</v>
      </c>
      <c r="CC124" s="74">
        <f>Table2[[#This Row],[Asset growth, ongoing scheme, with November de-risking, net of contributions and payments]]/(1+Table2[Compounded CPI])</f>
        <v>-0.78194355866398912</v>
      </c>
      <c r="CD124" s="74">
        <f>(CD123*((1+Table2[Discount rate A1])^0.5)+Table2[Net cashflow (ongoing scheme)])*(1+Table2[Discount rate A1])^0.5</f>
        <v>135.12829035037441</v>
      </c>
      <c r="CE124" s="74">
        <f>Table2[[#This Row],[Asset growth, ongoing scheme, with September de-risking, net of contributions and payments]]/(1+Table2[Compounded discount rate A1])</f>
        <v>2.8907782951169878</v>
      </c>
      <c r="CF124" s="74">
        <f>Table2[[#This Row],[Asset growth, ongoing scheme, with September de-risking, net of contributions and payments]]/(1+Table2[Compounded CPI])</f>
        <v>12.785665022996069</v>
      </c>
      <c r="CG124" s="74">
        <f>(CG123*((1+Table2[Discount rate B])^0.5)+Table2[Net cashflow (ongoing scheme)])*(1+Table2[Discount rate B])^0.5</f>
        <v>1738.613202707063</v>
      </c>
      <c r="CH124" s="74">
        <f>Table2[[#This Row],[Asset growth, ongoing scheme, no de-risking, net of contributions and payments]]/(1+Table2[Compounded discount rate B])</f>
        <v>15.305806084530902</v>
      </c>
      <c r="CI124" s="74">
        <f>Table2[[#This Row],[Asset growth, ongoing scheme, no de-risking, net of contributions and payments]]/(1+Table2[Compounded CPI])</f>
        <v>164.50534493356207</v>
      </c>
      <c r="CJ124" s="74">
        <f>(CJ123*((1+Table2[Discount rate E])^0.5)+Table2[Net cashflow (ongoing scheme)])*(1+Table2[Discount rate E])^0.5</f>
        <v>11691.042065833431</v>
      </c>
      <c r="CK124" s="74">
        <f>Table2[[#This Row],[Asset growth, ongoing scheme, best-estimates, no de-risking, net of contributions and payments ]]/(1+Table2[Compounded discount rate E])</f>
        <v>31.935332277009461</v>
      </c>
      <c r="CL124" s="74">
        <f>Table2[[#This Row],[Asset growth, ongoing scheme, best-estimates, no de-risking, net of contributions and payments ]]/(1+Table2[Compounded CPI])</f>
        <v>1106.1913625630953</v>
      </c>
      <c r="CM124" s="73">
        <f t="shared" si="24"/>
        <v>2.7699999999999999E-2</v>
      </c>
      <c r="CN124" s="75">
        <f>(1+Table2[[#This Row],[CPI]])*(1+CN123)-1</f>
        <v>9.5687338208325556</v>
      </c>
      <c r="CO124" s="11">
        <f t="shared" si="23"/>
        <v>1.8100000000000002E-2</v>
      </c>
      <c r="CP124" s="75">
        <f>Table2[[#This Row],[CPI]]+2%</f>
        <v>4.7699999999999999E-2</v>
      </c>
      <c r="CQ124" s="76">
        <f>(1+Table2[[#This Row],[Salary growth]])*(1+CQ123)-1</f>
        <v>70.053967950890396</v>
      </c>
      <c r="CR124" s="77">
        <f t="shared" si="39"/>
        <v>105.68733820832551</v>
      </c>
      <c r="CS124" s="74">
        <f t="shared" si="40"/>
        <v>137.39353967082323</v>
      </c>
      <c r="CT124" s="74">
        <f>CT123*(1+Table2[[#This Row],[Salary growth]])</f>
        <v>710.53967950890399</v>
      </c>
      <c r="CU124" s="78">
        <f t="shared" si="38"/>
        <v>923.70158336157454</v>
      </c>
      <c r="CV124" s="116">
        <f>('Cash flows as at 31032017'!B109)/1000000000</f>
        <v>7.8203999999999999E-5</v>
      </c>
      <c r="CW124" s="117">
        <v>0</v>
      </c>
      <c r="CX124" s="117">
        <f>Table2[[#This Row],[Annual contributions (closed scheme)]]-Table2[[#This Row],[Annual benefit payments (closed scheme)]]</f>
        <v>-7.8203999999999999E-5</v>
      </c>
      <c r="CY124" s="117">
        <v>0</v>
      </c>
      <c r="CZ124" s="117">
        <v>0</v>
      </c>
      <c r="DA124" s="117">
        <v>0</v>
      </c>
    </row>
    <row r="125" spans="1:105" x14ac:dyDescent="0.2">
      <c r="A125" s="7">
        <v>2118</v>
      </c>
      <c r="E125" s="6">
        <v>6.0999999999999999E-2</v>
      </c>
      <c r="F125" s="1">
        <f>F124*(1+Table2[[#This Row],[2008 discount rate]])</f>
        <v>22716.103562543212</v>
      </c>
      <c r="G125" s="1">
        <v>27.061</v>
      </c>
      <c r="H125">
        <f>H124*(1+Table2[[#This Row],[2011 discount rate]])</f>
        <v>1.3739319157390748E+33</v>
      </c>
      <c r="I125" s="1">
        <v>27.052</v>
      </c>
      <c r="J125" s="1">
        <f>J124*(1+Table2[[#This Row],[2014 discount rate]])</f>
        <v>7.331945169379475E+32</v>
      </c>
      <c r="K125" s="9">
        <f>Table2[CPI]+1.7%</f>
        <v>4.4700000000000004E-2</v>
      </c>
      <c r="L125" s="108">
        <f t="shared" si="21"/>
        <v>47.834089133536665</v>
      </c>
      <c r="M125" s="17">
        <f>Table2[[#This Row],[Annual benefit payments (closed scheme)]]/((1+L124)*(1+Table2[[#This Row],[Discount rate A1]])^0.5)+M124</f>
        <v>64.922568716167319</v>
      </c>
      <c r="N125" s="74">
        <f>N124*(1+Table2[Discount rate A1])</f>
        <v>3170.434507463478</v>
      </c>
      <c r="O125" s="74">
        <f>Table2[[#This Row],[Asset growth A1, under the assumption of full-funding at Year 0]]/(1+Table2[[#This Row],[Compounded CPI]])</f>
        <v>291.89689121029568</v>
      </c>
      <c r="P125" s="74">
        <f>(P124*((1+Table2[Discount rate A1])^0.5)-Table2[Annual benefit payments (closed scheme)])*(1+Table2[Discount rate A1])^0.5</f>
        <v>4.3109604757982941E-13</v>
      </c>
      <c r="Q125" s="74">
        <f>Table2[[#This Row],[Asset growth A1 with benefit payments deducted]]/(1+Table2[Compounded CPI])</f>
        <v>3.9690331342713441E-14</v>
      </c>
      <c r="R125" s="74">
        <f>Table2[[#This Row],[Asset growth A1 with benefit payments deducted]]/(1+Table2[Compounded discount rate A1])</f>
        <v>8.8277687826018128E-15</v>
      </c>
      <c r="S125" s="73">
        <f>Table2[CPI]+1.7%</f>
        <v>4.4700000000000004E-2</v>
      </c>
      <c r="T125" s="72">
        <f t="shared" si="32"/>
        <v>45.382929778014891</v>
      </c>
      <c r="U125" s="17">
        <f>Table2[[#This Row],[Annual benefit payments (closed scheme)]]/((1+T124)*(1+Table2[[#This Row],[Discount rate A2]])^0.5)+U124</f>
        <v>67.511306032910724</v>
      </c>
      <c r="V125" s="74">
        <f>V124*(1+Table2[Discount rate A2])</f>
        <v>3131.3721669465685</v>
      </c>
      <c r="W125" s="74">
        <f>Table2[[#This Row],[Asset growth A2, under the assumption of full-funding at Year 0]]/(1+Table2[Compounded CPI])</f>
        <v>288.30048329414348</v>
      </c>
      <c r="X125" s="74">
        <f>(X124*((1+Table2[Discount rate A2])^0.5)-Table2[Annual benefit payments (closed scheme)])*(1+Table2[Discount rate A2])^0.5</f>
        <v>1.3499366859945261E-12</v>
      </c>
      <c r="Y125" s="74">
        <f>Table2[[#This Row],[Asset growth A2 with benefit payments deducted]]/(1+Table2[[#This Row],[Compounded CPI]])</f>
        <v>1.2428653581864614E-13</v>
      </c>
      <c r="Z125" s="78">
        <f>Table2[[#This Row],[Asset growth A2 with benefit payments deducted]]/(1+Table2[Compounded discount rate A2])</f>
        <v>2.9104170272451924E-14</v>
      </c>
      <c r="AA125" s="109">
        <f>Table2[CPI]+2.8%</f>
        <v>5.57E-2</v>
      </c>
      <c r="AB125" s="72">
        <f t="shared" si="33"/>
        <v>118.91880388141611</v>
      </c>
      <c r="AC125" s="74">
        <f>Table2[[#This Row],[Annual benefit payments (closed scheme)]]/((1+AB124)*(1+Table2[[#This Row],[Discount rate B]])^0.5)+AC124</f>
        <v>60.426898501081197</v>
      </c>
      <c r="AD125" s="110">
        <f>AD124*(1+Table2[Discount rate B])</f>
        <v>7195.1282328849666</v>
      </c>
      <c r="AE125" s="71">
        <f>Table2[[#This Row],[Asset growth B]]/(1+Table2[Compounded CPI])</f>
        <v>662.4440776475318</v>
      </c>
      <c r="AF125" s="74">
        <f>(AF124*((1+Table2[Discount rate B])^0.5)-Table2[Annual benefit payments (closed scheme)])*(1+Table2[Discount rate B])^0.5</f>
        <v>-51.193157628426675</v>
      </c>
      <c r="AG125" s="74">
        <f>Table2[[#This Row],[Asset growth B with benefit payments deducted]]/(1+Table2[Compounded CPI])</f>
        <v>-4.713273063297466</v>
      </c>
      <c r="AH125" s="78">
        <f>Table2[[#This Row],[Asset growth B with benefit payments deducted]]/(1+Table2[Compounded discount rate B])</f>
        <v>-0.42689850108119792</v>
      </c>
      <c r="AI125" s="75">
        <f>Table2[CPI]+2.56%</f>
        <v>5.33E-2</v>
      </c>
      <c r="AJ125" s="72">
        <f t="shared" si="34"/>
        <v>120.14492084023765</v>
      </c>
      <c r="AK125" s="74">
        <f>Table2[[#This Row],[Annual benefit payments (closed scheme)]]/((1+AJ124)*(1+Table2[[#This Row],[Discount rate C]])^0.5)+AK124</f>
        <v>52.353435276202354</v>
      </c>
      <c r="AL125" s="74">
        <f>AL124*(1+Table2[Discount rate C])</f>
        <v>7268.6952504142591</v>
      </c>
      <c r="AM125" s="74">
        <f>Table2[[#This Row],[Asset growth C]]/(1+Table2[Compounded CPI])</f>
        <v>669.21727660870317</v>
      </c>
      <c r="AN125" s="74">
        <f>(AN124*((1+Table2[Discount rate C])^0.5)-Table2[Annual benefit payments (closed scheme)])*(1+Table2[Discount rate C])^0.5</f>
        <v>926.34247816421146</v>
      </c>
      <c r="AO125" s="74">
        <f>Table2[[#This Row],[Asset growth C with benefit payments deducted]]/(1+Table2[Compounded CPI])</f>
        <v>85.286886997866617</v>
      </c>
      <c r="AP125" s="78">
        <f>Table2[[#This Row],[Asset growth C with benefit payments deducted]]/(1+Table2[Compounded discount rate C])</f>
        <v>7.6465647237975798</v>
      </c>
      <c r="AQ125" s="75">
        <f>Table2[CPI]+2.56%</f>
        <v>5.33E-2</v>
      </c>
      <c r="AR125" s="72">
        <f t="shared" si="35"/>
        <v>112.3997776604652</v>
      </c>
      <c r="AS125" s="74">
        <f>Table2[[#This Row],[Annual benefit payments (closed scheme)]]/((1+AR124)*(1+Table2[[#This Row],[Discount rate D]])^0.5)+AS124</f>
        <v>54.852927873175936</v>
      </c>
      <c r="AT125" s="71">
        <f>AT124*(1+Table2[Discount rate D])</f>
        <v>6803.986659627908</v>
      </c>
      <c r="AU125" s="74">
        <f>Table2[[#This Row],[Asset growth D]]/(1+Table2[Compounded CPI])</f>
        <v>626.43229156960888</v>
      </c>
      <c r="AV125" s="74">
        <f>(AV124*((1+Table2[Discount rate D])^0.5)-Table2[Annual benefit payments (closed scheme)])*(1+Table2[Discount rate D])^0.5</f>
        <v>583.67683478422157</v>
      </c>
      <c r="AW125" s="74">
        <f>Table2[[#This Row],[Asset growth D with benefit payments deducted]]/(1+Table2[Compounded CPI])</f>
        <v>53.738203121340547</v>
      </c>
      <c r="AX125" s="78">
        <f>Table2[[#This Row],[Asset growth D with benefit payments deducted]]/(1+Table2[Compounded discount rate D])</f>
        <v>5.1470721268240194</v>
      </c>
      <c r="AY125" s="75">
        <f>Table2[CPI]+4%</f>
        <v>6.7699999999999996E-2</v>
      </c>
      <c r="AZ125" s="72">
        <f t="shared" si="36"/>
        <v>389.86881906898589</v>
      </c>
      <c r="BA125" s="74">
        <f>Table2[[#This Row],[Annual benefit payments (closed scheme)]]/((1+AZ124)*(1+Table2[[#This Row],[Discount rate E]])^0.5)+BA124</f>
        <v>48.297580675656633</v>
      </c>
      <c r="BB125" s="17">
        <f>BB124*(1+Table2[Discount rate E])</f>
        <v>23452.129144139188</v>
      </c>
      <c r="BC125" s="71">
        <f>Table2[[#This Row],[Asset growth E]]/(1+Table2[Compounded CPI])</f>
        <v>2159.2004418704933</v>
      </c>
      <c r="BD125" s="74">
        <f>(BD124*((1+Table2[Discount rate E])^0.5)-Table2[Annual benefit payments (closed scheme)])*(1+Table2[Discount rate E])^0.5</f>
        <v>4574.1108215561562</v>
      </c>
      <c r="BE125" s="74">
        <f>Table2[[#This Row],[Asset growth E with benefit payments deducted]]/(1+Table2[Compounded CPI])</f>
        <v>421.13114960126461</v>
      </c>
      <c r="BF125" s="78">
        <f>Table2[[#This Row],[Asset growth E with benefit payments deducted]]/(1+Table2[Compounded discount rate E])</f>
        <v>11.702419324343328</v>
      </c>
      <c r="BG125" s="75">
        <f>Table2[[#This Row],[Long-dated forward gilt yields]]+0.75%</f>
        <v>2.5600000000000001E-2</v>
      </c>
      <c r="BH125" s="75">
        <f t="shared" si="37"/>
        <v>10.195985854241428</v>
      </c>
      <c r="BI125" s="17">
        <f>((Table2[[#This Row],[Annual benefit payments (closed scheme)]])*1.005^(Table2[[#This Row],[Year]]-2018))/((1+BH124)*(1+Table2[[#This Row],[Discount rate F]])^0.5)+BI124</f>
        <v>82.34349485762877</v>
      </c>
      <c r="BJ125" s="74">
        <f>BJ124*(1+Table2[Discount rate F])</f>
        <v>921.91660361481343</v>
      </c>
      <c r="BK125" s="74">
        <f>Table2[[#This Row],[Asset growth F, under the assumption of full-funding at Year 0]]/(1+Table2[[#This Row],[Compounded CPI]])</f>
        <v>84.879403727414314</v>
      </c>
      <c r="BL125" s="74">
        <f>(BL124*((1+Table2[Discount rate F])^0.5)-Table2[Annual benefit payments (closed scheme)]*1.005^(Table2[Year]-2018))*(1+Table2[Discount rate F])^0.5</f>
        <v>-2.8351582433182381E-13</v>
      </c>
      <c r="BM125" s="74">
        <f>Table2[[#This Row],[Asset growth F with benefit payments deducted]]/(1+Table2[Compounded CPI])</f>
        <v>-2.6102853579396014E-14</v>
      </c>
      <c r="BN125" s="78">
        <f>Table2[[#This Row],[Asset growth F with benefit payments deducted]]/(1+Table2[Compounded discount rate F])</f>
        <v>-2.5322988794632869E-14</v>
      </c>
      <c r="BO125" s="18">
        <f>(1+BO124)*(1+Table2[Discount rate A2])-1</f>
        <v>25.086003713407546</v>
      </c>
      <c r="BP125" s="74">
        <f>Table2[[#This Row],[Annual benefit payments (ongoing scheme)]]/((1+BO124)*(1+Table2[[#This Row],[Discount rate A2]])^0.5)+BP124</f>
        <v>112.5091731857294</v>
      </c>
      <c r="BQ125" s="74">
        <f>(BQ124*((1+Table2[Discount rate A2])^0.5)-Table2[Annual benefit payments (ongoing scheme)])*(1+Table2[Discount rate A2])^0.5</f>
        <v>1.0446146418353547E-13</v>
      </c>
      <c r="BR125" s="18">
        <f>(1+BR124)*(1+Table2[Discount rate B])-1</f>
        <v>60.115097485119094</v>
      </c>
      <c r="BS125" s="74">
        <f>Table2[[#This Row],[Annual benefit payments (ongoing scheme)]]/((1+BR124)*(1+Table2[[#This Row],[Discount rate B]])^0.5)+BS124</f>
        <v>93.512942296053311</v>
      </c>
      <c r="BT125" s="18">
        <f>(1+BT124)*(1+Table2[Discount rate E])-1</f>
        <v>152.15062320939109</v>
      </c>
      <c r="BU125" s="74">
        <f>Table2[[#This Row],[Annual benefit payments (ongoing scheme)]]/((1+BT124)*(1+Table2[[#This Row],[Discount rate E]])^0.5)+BU124</f>
        <v>78.139825166219183</v>
      </c>
      <c r="BV125" s="18">
        <f>Table2[CPI]+0.75%+0.75%</f>
        <v>4.2699999999999995E-2</v>
      </c>
      <c r="BW125" s="18">
        <f>(1+BW124)*(1+Table2[Self-sufficiency discount rate, from 2037])-1</f>
        <v>21.323504839782721</v>
      </c>
      <c r="BX125" s="17">
        <f>(Table2[[#This Row],[Annual benefit payments (ongoing scheme)]]*1.005^(Table2[[#This Row],[Year]]-2038))/((1+BW124)*(1+Table2[[#This Row],[Self-sufficiency discount rate, from 2037]])^0.5)+BX124</f>
        <v>128.05052145331271</v>
      </c>
      <c r="BY125" s="74">
        <f>(BY124*((1+Table2[Self-sufficiency discount rate, from 2037])^0.5)-Table2[Annual benefit payments (ongoing scheme)]*1.005^(Table2[Year]-2038))*(1+Table2[Self-sufficiency discount rate, from 2037])^0.5</f>
        <v>-3.0256955608410378E-12</v>
      </c>
      <c r="BZ125" s="74">
        <f>(BZ124*((1+Table2[Discount rate B])^0.5)-Table2[Annual benefit payments (ongoing scheme)])*(1+Table2[Discount rate B])^0.5</f>
        <v>-2.3006181636147504E-12</v>
      </c>
      <c r="CA125" s="74">
        <f>(CA124*((1+Table2[Discount rate A2])^0.5)+Table2[Net cashflow (ongoing scheme)])*(1+Table2[Discount rate A2])^0.5</f>
        <v>-8.6335609884834774</v>
      </c>
      <c r="CB125" s="74">
        <f>Table2[[#This Row],[Asset growth, ongoing scheme, with November de-risking, net of contributions and payments]]/(1+Table2[Compounded discount rate A2])</f>
        <v>-0.18613660305209334</v>
      </c>
      <c r="CC125" s="74">
        <f>Table2[[#This Row],[Asset growth, ongoing scheme, with November de-risking, net of contributions and payments]]/(1+Table2[Compounded CPI])</f>
        <v>-0.79487830664227821</v>
      </c>
      <c r="CD125" s="74">
        <f>(CD124*((1+Table2[Discount rate A1])^0.5)+Table2[Net cashflow (ongoing scheme)])*(1+Table2[Discount rate A1])^0.5</f>
        <v>141.16852492903615</v>
      </c>
      <c r="CE125" s="74">
        <f>Table2[[#This Row],[Asset growth, ongoing scheme, with September de-risking, net of contributions and payments]]/(1+Table2[Compounded discount rate A1])</f>
        <v>2.8907782951169883</v>
      </c>
      <c r="CF125" s="74">
        <f>Table2[[#This Row],[Asset growth, ongoing scheme, with September de-risking, net of contributions and payments]]/(1+Table2[Compounded CPI])</f>
        <v>12.99716283888683</v>
      </c>
      <c r="CG125" s="74">
        <f>(CG124*((1+Table2[Discount rate B])^0.5)+Table2[Net cashflow (ongoing scheme)])*(1+Table2[Discount rate B])^0.5</f>
        <v>1835.4539580978462</v>
      </c>
      <c r="CH125" s="74">
        <f>Table2[[#This Row],[Asset growth, ongoing scheme, no de-risking, net of contributions and payments]]/(1+Table2[Compounded discount rate B])</f>
        <v>15.305806084530898</v>
      </c>
      <c r="CI125" s="74">
        <f>Table2[[#This Row],[Asset growth, ongoing scheme, no de-risking, net of contributions and payments]]/(1+Table2[Compounded CPI])</f>
        <v>168.98734323865085</v>
      </c>
      <c r="CJ125" s="74">
        <f>(CJ124*((1+Table2[Discount rate E])^0.5)+Table2[Net cashflow (ongoing scheme)])*(1+Table2[Discount rate E])^0.5</f>
        <v>12482.525613690355</v>
      </c>
      <c r="CK125" s="74">
        <f>Table2[[#This Row],[Asset growth, ongoing scheme, best-estimates, no de-risking, net of contributions and payments ]]/(1+Table2[Compounded discount rate E])</f>
        <v>31.935332277009458</v>
      </c>
      <c r="CL125" s="74">
        <f>Table2[[#This Row],[Asset growth, ongoing scheme, best-estimates, no de-risking, net of contributions and payments ]]/(1+Table2[Compounded CPI])</f>
        <v>1149.2463927299959</v>
      </c>
      <c r="CM125" s="73">
        <f t="shared" si="24"/>
        <v>2.7699999999999999E-2</v>
      </c>
      <c r="CN125" s="75">
        <f>(1+Table2[[#This Row],[CPI]])*(1+CN124)-1</f>
        <v>9.8614877476696172</v>
      </c>
      <c r="CO125" s="11">
        <f t="shared" si="23"/>
        <v>1.8100000000000002E-2</v>
      </c>
      <c r="CP125" s="75">
        <f>Table2[[#This Row],[CPI]]+2%</f>
        <v>4.7699999999999999E-2</v>
      </c>
      <c r="CQ125" s="76">
        <f>(1+Table2[[#This Row],[Salary growth]])*(1+CQ124)-1</f>
        <v>73.443242222147873</v>
      </c>
      <c r="CR125" s="77">
        <f t="shared" si="39"/>
        <v>108.61487747669614</v>
      </c>
      <c r="CS125" s="74">
        <f t="shared" si="40"/>
        <v>141.19934071970505</v>
      </c>
      <c r="CT125" s="74">
        <f>CT124*(1+Table2[[#This Row],[Salary growth]])</f>
        <v>744.43242222147876</v>
      </c>
      <c r="CU125" s="78">
        <f t="shared" si="38"/>
        <v>967.76214888792174</v>
      </c>
      <c r="CV125" s="116">
        <f>('Cash flows as at 31032017'!B110)/1000000000</f>
        <v>0</v>
      </c>
      <c r="CW125" s="117">
        <v>0</v>
      </c>
      <c r="CX125" s="117">
        <f>Table2[[#This Row],[Annual contributions (closed scheme)]]-Table2[[#This Row],[Annual benefit payments (closed scheme)]]</f>
        <v>0</v>
      </c>
      <c r="CY125" s="117">
        <v>0</v>
      </c>
      <c r="CZ125" s="117">
        <v>0</v>
      </c>
      <c r="DA125" s="117">
        <v>0</v>
      </c>
    </row>
    <row r="126" spans="1:105" x14ac:dyDescent="0.2">
      <c r="A126" s="7">
        <v>2119</v>
      </c>
      <c r="E126" s="6">
        <v>6.0999999999999999E-2</v>
      </c>
      <c r="F126" s="1">
        <f>F125*(1+Table2[[#This Row],[2008 discount rate]])</f>
        <v>24101.785879858347</v>
      </c>
      <c r="G126" s="1">
        <v>28.061</v>
      </c>
      <c r="H126">
        <f>H125*(1+Table2[[#This Row],[2011 discount rate]])</f>
        <v>3.9927835403293251E+34</v>
      </c>
      <c r="I126" s="1">
        <v>28.052</v>
      </c>
      <c r="J126" s="1">
        <f>J125*(1+Table2[[#This Row],[2014 discount rate]])</f>
        <v>2.1300767106081252E+34</v>
      </c>
      <c r="K126" s="9">
        <f>Table2[CPI]+1.7%</f>
        <v>4.4700000000000004E-2</v>
      </c>
      <c r="L126" s="108">
        <f t="shared" si="21"/>
        <v>50.016972917805752</v>
      </c>
      <c r="M126" s="17">
        <f>Table2[[#This Row],[Annual benefit payments (closed scheme)]]/((1+L125)*(1+Table2[[#This Row],[Discount rate A1]])^0.5)+M125</f>
        <v>64.922568716167319</v>
      </c>
      <c r="N126" s="74">
        <f>N125*(1+Table2[Discount rate A1])</f>
        <v>3312.1529299470953</v>
      </c>
      <c r="O126" s="74">
        <f>Table2[[#This Row],[Asset growth A1, under the assumption of full-funding at Year 0]]/(1+Table2[[#This Row],[Compounded CPI]])</f>
        <v>296.72538897284801</v>
      </c>
      <c r="P126" s="74">
        <f>(P125*((1+Table2[Discount rate A1])^0.5)-Table2[Annual benefit payments (closed scheme)])*(1+Table2[Discount rate A1])^0.5</f>
        <v>4.5036604090664774E-13</v>
      </c>
      <c r="Q126" s="74">
        <f>Table2[[#This Row],[Asset growth A1 with benefit payments deducted]]/(1+Table2[Compounded CPI])</f>
        <v>4.0346880562160866E-14</v>
      </c>
      <c r="R126" s="74">
        <f>Table2[[#This Row],[Asset growth A1 with benefit payments deducted]]/(1+Table2[Compounded discount rate A1])</f>
        <v>8.8277687826018128E-15</v>
      </c>
      <c r="S126" s="73">
        <f>Table2[CPI]+1.7%</f>
        <v>4.4700000000000004E-2</v>
      </c>
      <c r="T126" s="72">
        <f t="shared" si="32"/>
        <v>47.456246739092151</v>
      </c>
      <c r="U126" s="17">
        <f>Table2[[#This Row],[Annual benefit payments (closed scheme)]]/((1+T125)*(1+Table2[[#This Row],[Discount rate A2]])^0.5)+U125</f>
        <v>67.511306032910724</v>
      </c>
      <c r="V126" s="74">
        <f>V125*(1+Table2[Discount rate A2])</f>
        <v>3271.34450280908</v>
      </c>
      <c r="W126" s="74">
        <f>Table2[[#This Row],[Asset growth A2, under the assumption of full-funding at Year 0]]/(1+Table2[Compounded CPI])</f>
        <v>293.0694900237342</v>
      </c>
      <c r="X126" s="74">
        <f>(X125*((1+Table2[Discount rate A2])^0.5)-Table2[Annual benefit payments (closed scheme)])*(1+Table2[Discount rate A2])^0.5</f>
        <v>1.4102788558584813E-12</v>
      </c>
      <c r="Y126" s="74">
        <f>Table2[[#This Row],[Asset growth A2 with benefit payments deducted]]/(1+Table2[[#This Row],[Compounded CPI]])</f>
        <v>1.2634245788628939E-13</v>
      </c>
      <c r="Z126" s="78">
        <f>Table2[[#This Row],[Asset growth A2 with benefit payments deducted]]/(1+Table2[Compounded discount rate A2])</f>
        <v>2.9104170272451924E-14</v>
      </c>
      <c r="AA126" s="109">
        <f>Table2[CPI]+2.8%</f>
        <v>5.57E-2</v>
      </c>
      <c r="AB126" s="72">
        <f t="shared" si="33"/>
        <v>125.59828125761099</v>
      </c>
      <c r="AC126" s="74">
        <f>Table2[[#This Row],[Annual benefit payments (closed scheme)]]/((1+AB125)*(1+Table2[[#This Row],[Discount rate B]])^0.5)+AC125</f>
        <v>60.426898501081197</v>
      </c>
      <c r="AD126" s="110">
        <f>AD125*(1+Table2[Discount rate B])</f>
        <v>7595.8968754566595</v>
      </c>
      <c r="AE126" s="71">
        <f>Table2[[#This Row],[Asset growth B]]/(1+Table2[Compounded CPI])</f>
        <v>680.49256862167874</v>
      </c>
      <c r="AF126" s="74">
        <f>(AF125*((1+Table2[Discount rate B])^0.5)-Table2[Annual benefit payments (closed scheme)])*(1+Table2[Discount rate B])^0.5</f>
        <v>-54.044616508330037</v>
      </c>
      <c r="AG126" s="74">
        <f>Table2[[#This Row],[Asset growth B with benefit payments deducted]]/(1+Table2[Compounded CPI])</f>
        <v>-4.8416876256914803</v>
      </c>
      <c r="AH126" s="78">
        <f>Table2[[#This Row],[Asset growth B with benefit payments deducted]]/(1+Table2[Compounded discount rate B])</f>
        <v>-0.42689850108119787</v>
      </c>
      <c r="AI126" s="75">
        <f>Table2[CPI]+2.56%</f>
        <v>5.33E-2</v>
      </c>
      <c r="AJ126" s="72">
        <f t="shared" si="34"/>
        <v>126.6019451210223</v>
      </c>
      <c r="AK126" s="74">
        <f>Table2[[#This Row],[Annual benefit payments (closed scheme)]]/((1+AJ125)*(1+Table2[[#This Row],[Discount rate C]])^0.5)+AK125</f>
        <v>52.353435276202354</v>
      </c>
      <c r="AL126" s="74">
        <f>AL125*(1+Table2[Discount rate C])</f>
        <v>7656.1167072613389</v>
      </c>
      <c r="AM126" s="74">
        <f>Table2[[#This Row],[Asset growth C]]/(1+Table2[Compounded CPI])</f>
        <v>685.88747441076873</v>
      </c>
      <c r="AN126" s="74">
        <f>(AN125*((1+Table2[Discount rate C])^0.5)-Table2[Annual benefit payments (closed scheme)])*(1+Table2[Discount rate C])^0.5</f>
        <v>975.7165322503638</v>
      </c>
      <c r="AO126" s="74">
        <f>Table2[[#This Row],[Asset growth C with benefit payments deducted]]/(1+Table2[Compounded CPI])</f>
        <v>87.411382772066645</v>
      </c>
      <c r="AP126" s="78">
        <f>Table2[[#This Row],[Asset growth C with benefit payments deducted]]/(1+Table2[Compounded discount rate C])</f>
        <v>7.6465647237975798</v>
      </c>
      <c r="AQ126" s="75">
        <f>Table2[CPI]+2.56%</f>
        <v>5.33E-2</v>
      </c>
      <c r="AR126" s="72">
        <f t="shared" si="35"/>
        <v>118.44398580976799</v>
      </c>
      <c r="AS126" s="74">
        <f>Table2[[#This Row],[Annual benefit payments (closed scheme)]]/((1+AR125)*(1+Table2[[#This Row],[Discount rate D]])^0.5)+AS125</f>
        <v>54.852927873175936</v>
      </c>
      <c r="AT126" s="71">
        <f>AT125*(1+Table2[Discount rate D])</f>
        <v>7166.639148586075</v>
      </c>
      <c r="AU126" s="74">
        <f>Table2[[#This Row],[Asset growth D]]/(1+Table2[Compounded CPI])</f>
        <v>642.03671568577295</v>
      </c>
      <c r="AV126" s="74">
        <f>(AV125*((1+Table2[Discount rate D])^0.5)-Table2[Annual benefit payments (closed scheme)])*(1+Table2[Discount rate D])^0.5</f>
        <v>614.78681007822047</v>
      </c>
      <c r="AW126" s="74">
        <f>Table2[[#This Row],[Asset growth D with benefit payments deducted]]/(1+Table2[Compounded CPI])</f>
        <v>55.076821395064691</v>
      </c>
      <c r="AX126" s="78">
        <f>Table2[[#This Row],[Asset growth D with benefit payments deducted]]/(1+Table2[Compounded discount rate D])</f>
        <v>5.1470721268240185</v>
      </c>
      <c r="AY126" s="75">
        <f>Table2[CPI]+4%</f>
        <v>6.7699999999999996E-2</v>
      </c>
      <c r="AZ126" s="72">
        <f t="shared" si="36"/>
        <v>416.33063811995629</v>
      </c>
      <c r="BA126" s="74">
        <f>Table2[[#This Row],[Annual benefit payments (closed scheme)]]/((1+AZ125)*(1+Table2[[#This Row],[Discount rate E]])^0.5)+BA125</f>
        <v>48.297580675656633</v>
      </c>
      <c r="BB126" s="17">
        <f>BB125*(1+Table2[Discount rate E])</f>
        <v>25039.838287197414</v>
      </c>
      <c r="BC126" s="71">
        <f>Table2[[#This Row],[Asset growth E]]/(1+Table2[Compounded CPI])</f>
        <v>2243.240548589205</v>
      </c>
      <c r="BD126" s="74">
        <f>(BD125*((1+Table2[Discount rate E])^0.5)-Table2[Annual benefit payments (closed scheme)])*(1+Table2[Discount rate E])^0.5</f>
        <v>4883.7781241755074</v>
      </c>
      <c r="BE126" s="74">
        <f>Table2[[#This Row],[Asset growth E with benefit payments deducted]]/(1+Table2[Compounded CPI])</f>
        <v>437.52235908267988</v>
      </c>
      <c r="BF126" s="78">
        <f>Table2[[#This Row],[Asset growth E with benefit payments deducted]]/(1+Table2[Compounded discount rate E])</f>
        <v>11.702419324343325</v>
      </c>
      <c r="BG126" s="75">
        <f>Table2[[#This Row],[Long-dated forward gilt yields]]+0.75%</f>
        <v>2.5600000000000001E-2</v>
      </c>
      <c r="BH126" s="75">
        <f t="shared" si="37"/>
        <v>10.48260309211001</v>
      </c>
      <c r="BI126" s="17">
        <f>((Table2[[#This Row],[Annual benefit payments (closed scheme)]])*1.005^(Table2[[#This Row],[Year]]-2018))/((1+BH125)*(1+Table2[[#This Row],[Discount rate F]])^0.5)+BI125</f>
        <v>82.34349485762877</v>
      </c>
      <c r="BJ126" s="74">
        <f>BJ125*(1+Table2[Discount rate F])</f>
        <v>945.51766866735272</v>
      </c>
      <c r="BK126" s="74">
        <f>Table2[[#This Row],[Asset growth F, under the assumption of full-funding at Year 0]]/(1+Table2[[#This Row],[Compounded CPI]])</f>
        <v>84.705961333887444</v>
      </c>
      <c r="BL126" s="74">
        <f>(BL125*((1+Table2[Discount rate F])^0.5)-Table2[Annual benefit payments (closed scheme)]*1.005^(Table2[Year]-2018))*(1+Table2[Discount rate F])^0.5</f>
        <v>-2.9077382943471854E-13</v>
      </c>
      <c r="BM126" s="74">
        <f>Table2[[#This Row],[Asset growth F with benefit payments deducted]]/(1+Table2[Compounded CPI])</f>
        <v>-2.6049515063762335E-14</v>
      </c>
      <c r="BN126" s="78">
        <f>Table2[[#This Row],[Asset growth F with benefit payments deducted]]/(1+Table2[Compounded discount rate F])</f>
        <v>-2.5322988794632872E-14</v>
      </c>
      <c r="BO126" s="18">
        <f>(1+BO125)*(1+Table2[Discount rate A2])-1</f>
        <v>26.252048079396861</v>
      </c>
      <c r="BP126" s="74">
        <f>Table2[[#This Row],[Annual benefit payments (ongoing scheme)]]/((1+BO125)*(1+Table2[[#This Row],[Discount rate A2]])^0.5)+BP125</f>
        <v>112.5091731857294</v>
      </c>
      <c r="BQ126" s="74">
        <f>(BQ125*((1+Table2[Discount rate A2])^0.5)-Table2[Annual benefit payments (ongoing scheme)])*(1+Table2[Discount rate A2])^0.5</f>
        <v>1.0913089163253949E-13</v>
      </c>
      <c r="BR126" s="18">
        <f>(1+BR125)*(1+Table2[Discount rate B])-1</f>
        <v>63.519208415040239</v>
      </c>
      <c r="BS126" s="74">
        <f>Table2[[#This Row],[Annual benefit payments (ongoing scheme)]]/((1+BR125)*(1+Table2[[#This Row],[Discount rate B]])^0.5)+BS125</f>
        <v>93.512942296053311</v>
      </c>
      <c r="BT126" s="18">
        <f>(1+BT125)*(1+Table2[Discount rate E])-1</f>
        <v>162.51892040066687</v>
      </c>
      <c r="BU126" s="74">
        <f>Table2[[#This Row],[Annual benefit payments (ongoing scheme)]]/((1+BT125)*(1+Table2[[#This Row],[Discount rate E]])^0.5)+BU125</f>
        <v>78.139825166219183</v>
      </c>
      <c r="BV126" s="18">
        <f>Table2[CPI]+0.75%+0.75%</f>
        <v>4.2699999999999995E-2</v>
      </c>
      <c r="BW126" s="18">
        <f>(1+BW125)*(1+Table2[Self-sufficiency discount rate, from 2037])-1</f>
        <v>22.276718496441443</v>
      </c>
      <c r="BX126" s="17">
        <f>(Table2[[#This Row],[Annual benefit payments (ongoing scheme)]]*1.005^(Table2[[#This Row],[Year]]-2038))/((1+BW125)*(1+Table2[[#This Row],[Self-sufficiency discount rate, from 2037]])^0.5)+BX125</f>
        <v>128.05052145331271</v>
      </c>
      <c r="BY126" s="74">
        <f>(BY125*((1+Table2[Self-sufficiency discount rate, from 2037])^0.5)-Table2[Annual benefit payments (ongoing scheme)]*1.005^(Table2[Year]-2038))*(1+Table2[Self-sufficiency discount rate, from 2037])^0.5</f>
        <v>-3.1548927612889495E-12</v>
      </c>
      <c r="BZ126" s="74">
        <f>(BZ125*((1+Table2[Discount rate B])^0.5)-Table2[Annual benefit payments (ongoing scheme)])*(1+Table2[Discount rate B])^0.5</f>
        <v>-2.4287625953280917E-12</v>
      </c>
      <c r="CA126" s="74">
        <f>(CA125*((1+Table2[Discount rate A2])^0.5)+Table2[Net cashflow (ongoing scheme)])*(1+Table2[Discount rate A2])^0.5</f>
        <v>-9.0194811646686883</v>
      </c>
      <c r="CB126" s="74">
        <f>Table2[[#This Row],[Asset growth, ongoing scheme, with November de-risking, net of contributions and payments]]/(1+Table2[Compounded discount rate A2])</f>
        <v>-0.18613660305209334</v>
      </c>
      <c r="CC126" s="74">
        <f>Table2[[#This Row],[Asset growth, ongoing scheme, with November de-risking, net of contributions and payments]]/(1+Table2[Compounded CPI])</f>
        <v>-0.80802701853574765</v>
      </c>
      <c r="CD126" s="74">
        <f>(CD125*((1+Table2[Discount rate A1])^0.5)+Table2[Net cashflow (ongoing scheme)])*(1+Table2[Discount rate A1])^0.5</f>
        <v>147.47875799336404</v>
      </c>
      <c r="CE126" s="74">
        <f>Table2[[#This Row],[Asset growth, ongoing scheme, with September de-risking, net of contributions and payments]]/(1+Table2[Compounded discount rate A1])</f>
        <v>2.8907782951169878</v>
      </c>
      <c r="CF126" s="74">
        <f>Table2[[#This Row],[Asset growth, ongoing scheme, with September de-risking, net of contributions and payments]]/(1+Table2[Compounded CPI])</f>
        <v>13.21215920773092</v>
      </c>
      <c r="CG126" s="74">
        <f>(CG125*((1+Table2[Discount rate B])^0.5)+Table2[Net cashflow (ongoing scheme)])*(1+Table2[Discount rate B])^0.5</f>
        <v>1937.688743563896</v>
      </c>
      <c r="CH126" s="74">
        <f>Table2[[#This Row],[Asset growth, ongoing scheme, no de-risking, net of contributions and payments]]/(1+Table2[Compounded discount rate B])</f>
        <v>15.305806084530895</v>
      </c>
      <c r="CI126" s="74">
        <f>Table2[[#This Row],[Asset growth, ongoing scheme, no de-risking, net of contributions and payments]]/(1+Table2[Compounded CPI])</f>
        <v>173.59145495479581</v>
      </c>
      <c r="CJ126" s="74">
        <f>(CJ125*((1+Table2[Discount rate E])^0.5)+Table2[Net cashflow (ongoing scheme)])*(1+Table2[Discount rate E])^0.5</f>
        <v>13327.592597737192</v>
      </c>
      <c r="CK126" s="74">
        <f>Table2[[#This Row],[Asset growth, ongoing scheme, best-estimates, no de-risking, net of contributions and payments ]]/(1+Table2[Compounded discount rate E])</f>
        <v>31.935332277009454</v>
      </c>
      <c r="CL126" s="74">
        <f>Table2[[#This Row],[Asset growth, ongoing scheme, best-estimates, no de-risking, net of contributions and payments ]]/(1+Table2[Compounded CPI])</f>
        <v>1193.9772049409521</v>
      </c>
      <c r="CM126" s="73">
        <f t="shared" si="24"/>
        <v>2.7699999999999999E-2</v>
      </c>
      <c r="CN126" s="75">
        <f>(1+Table2[[#This Row],[CPI]])*(1+CN125)-1</f>
        <v>10.162350958280067</v>
      </c>
      <c r="CO126" s="11">
        <f t="shared" si="23"/>
        <v>1.8100000000000002E-2</v>
      </c>
      <c r="CP126" s="75">
        <f>Table2[[#This Row],[CPI]]+2%</f>
        <v>4.7699999999999999E-2</v>
      </c>
      <c r="CQ126" s="76">
        <f>(1+Table2[[#This Row],[Salary growth]])*(1+CQ125)-1</f>
        <v>76.994184876144331</v>
      </c>
      <c r="CR126" s="77">
        <f t="shared" si="39"/>
        <v>111.62350958280062</v>
      </c>
      <c r="CS126" s="74">
        <f t="shared" si="40"/>
        <v>145.1105624576409</v>
      </c>
      <c r="CT126" s="74">
        <f>CT125*(1+Table2[[#This Row],[Salary growth]])</f>
        <v>779.94184876144334</v>
      </c>
      <c r="CU126" s="78">
        <f t="shared" si="38"/>
        <v>1013.9244033898757</v>
      </c>
      <c r="CV126" s="116">
        <f>('Cash flows as at 31032017'!B111)/1000000000</f>
        <v>0</v>
      </c>
      <c r="CW126" s="117">
        <v>0</v>
      </c>
      <c r="CX126" s="117">
        <f>Table2[[#This Row],[Annual contributions (closed scheme)]]-Table2[[#This Row],[Annual benefit payments (closed scheme)]]</f>
        <v>0</v>
      </c>
      <c r="CY126" s="117">
        <v>0</v>
      </c>
      <c r="CZ126" s="117">
        <v>0</v>
      </c>
      <c r="DA126" s="117">
        <v>0</v>
      </c>
    </row>
    <row r="127" spans="1:105" x14ac:dyDescent="0.2">
      <c r="A127" s="7">
        <v>2120</v>
      </c>
      <c r="E127" s="6">
        <v>6.0999999999999999E-2</v>
      </c>
      <c r="F127" s="1">
        <f>F126*(1+Table2[[#This Row],[2008 discount rate]])</f>
        <v>25571.994818529703</v>
      </c>
      <c r="G127" s="1">
        <v>29.061</v>
      </c>
      <c r="H127">
        <f>H126*(1+Table2[[#This Row],[2011 discount rate]])</f>
        <v>1.2002706600583984E+36</v>
      </c>
      <c r="I127" s="1">
        <v>29.052</v>
      </c>
      <c r="J127" s="1">
        <f>J126*(1+Table2[[#This Row],[2014 discount rate]])</f>
        <v>6.4013065307195379E+35</v>
      </c>
      <c r="K127" s="9">
        <f>Table2[CPI]+1.7%</f>
        <v>4.4700000000000004E-2</v>
      </c>
      <c r="L127" s="108">
        <f t="shared" si="21"/>
        <v>52.297431607231665</v>
      </c>
      <c r="M127" s="17">
        <f>Table2[[#This Row],[Annual benefit payments (closed scheme)]]/((1+L126)*(1+Table2[[#This Row],[Discount rate A1]])^0.5)+M126</f>
        <v>64.922568716167319</v>
      </c>
      <c r="N127" s="74">
        <f>N126*(1+Table2[Discount rate A1])</f>
        <v>3460.2061659157303</v>
      </c>
      <c r="O127" s="74">
        <f>Table2[[#This Row],[Asset growth A1, under the assumption of full-funding at Year 0]]/(1+Table2[[#This Row],[Compounded CPI]])</f>
        <v>301.63375874275982</v>
      </c>
      <c r="P127" s="74">
        <f>(P126*((1+Table2[Discount rate A1])^0.5)-Table2[Annual benefit payments (closed scheme)])*(1+Table2[Discount rate A1])^0.5</f>
        <v>4.7049740293517485E-13</v>
      </c>
      <c r="Q127" s="74">
        <f>Table2[[#This Row],[Asset growth A1 with benefit payments deducted]]/(1+Table2[Compounded CPI])</f>
        <v>4.1014290282465169E-14</v>
      </c>
      <c r="R127" s="74">
        <f>Table2[[#This Row],[Asset growth A1 with benefit payments deducted]]/(1+Table2[Compounded discount rate A1])</f>
        <v>8.8277687826018128E-15</v>
      </c>
      <c r="S127" s="73">
        <f>Table2[CPI]+1.7%</f>
        <v>4.4700000000000004E-2</v>
      </c>
      <c r="T127" s="72">
        <f t="shared" si="32"/>
        <v>49.622240968329571</v>
      </c>
      <c r="U127" s="17">
        <f>Table2[[#This Row],[Annual benefit payments (closed scheme)]]/((1+T126)*(1+Table2[[#This Row],[Discount rate A2]])^0.5)+U126</f>
        <v>67.511306032910724</v>
      </c>
      <c r="V127" s="74">
        <f>V126*(1+Table2[Discount rate A2])</f>
        <v>3417.5736020846457</v>
      </c>
      <c r="W127" s="74">
        <f>Table2[[#This Row],[Asset growth A2, under the assumption of full-funding at Year 0]]/(1+Table2[Compounded CPI])</f>
        <v>297.91738467237047</v>
      </c>
      <c r="X127" s="74">
        <f>(X126*((1+Table2[Discount rate A2])^0.5)-Table2[Annual benefit payments (closed scheme)])*(1+Table2[Discount rate A2])^0.5</f>
        <v>1.4733183207153552E-12</v>
      </c>
      <c r="Y127" s="74">
        <f>Table2[[#This Row],[Asset growth A2 with benefit payments deducted]]/(1+Table2[[#This Row],[Compounded CPI]])</f>
        <v>1.2843238858986718E-13</v>
      </c>
      <c r="Z127" s="78">
        <f>Table2[[#This Row],[Asset growth A2 with benefit payments deducted]]/(1+Table2[Compounded discount rate A2])</f>
        <v>2.9104170272451917E-14</v>
      </c>
      <c r="AA127" s="109">
        <f>Table2[CPI]+2.8%</f>
        <v>5.57E-2</v>
      </c>
      <c r="AB127" s="72">
        <f t="shared" si="33"/>
        <v>132.64980552365992</v>
      </c>
      <c r="AC127" s="74">
        <f>Table2[[#This Row],[Annual benefit payments (closed scheme)]]/((1+AB126)*(1+Table2[[#This Row],[Discount rate B]])^0.5)+AC126</f>
        <v>60.426898501081197</v>
      </c>
      <c r="AD127" s="110">
        <f>AD126*(1+Table2[Discount rate B])</f>
        <v>8018.9883314195959</v>
      </c>
      <c r="AE127" s="71">
        <f>Table2[[#This Row],[Asset growth B]]/(1+Table2[Compounded CPI])</f>
        <v>699.03279623811056</v>
      </c>
      <c r="AF127" s="74">
        <f>(AF126*((1+Table2[Discount rate B])^0.5)-Table2[Annual benefit payments (closed scheme)])*(1+Table2[Discount rate B])^0.5</f>
        <v>-57.054901647844012</v>
      </c>
      <c r="AG127" s="74">
        <f>Table2[[#This Row],[Asset growth B with benefit payments deducted]]/(1+Table2[Compounded CPI])</f>
        <v>-4.9736008820107962</v>
      </c>
      <c r="AH127" s="78">
        <f>Table2[[#This Row],[Asset growth B with benefit payments deducted]]/(1+Table2[Compounded discount rate B])</f>
        <v>-0.42689850108119781</v>
      </c>
      <c r="AI127" s="75">
        <f>Table2[CPI]+2.56%</f>
        <v>5.33E-2</v>
      </c>
      <c r="AJ127" s="72">
        <f t="shared" si="34"/>
        <v>133.40312879597278</v>
      </c>
      <c r="AK127" s="74">
        <f>Table2[[#This Row],[Annual benefit payments (closed scheme)]]/((1+AJ126)*(1+Table2[[#This Row],[Discount rate C]])^0.5)+AK126</f>
        <v>52.353435276202354</v>
      </c>
      <c r="AL127" s="74">
        <f>AL126*(1+Table2[Discount rate C])</f>
        <v>8064.1877277583671</v>
      </c>
      <c r="AM127" s="74">
        <f>Table2[[#This Row],[Asset growth C]]/(1+Table2[Compounded CPI])</f>
        <v>702.97292672653748</v>
      </c>
      <c r="AN127" s="74">
        <f>(AN126*((1+Table2[Discount rate C])^0.5)-Table2[Annual benefit payments (closed scheme)])*(1+Table2[Discount rate C])^0.5</f>
        <v>1027.722223419308</v>
      </c>
      <c r="AO127" s="74">
        <f>Table2[[#This Row],[Asset growth C with benefit payments deducted]]/(1+Table2[Compounded CPI])</f>
        <v>89.588799721531359</v>
      </c>
      <c r="AP127" s="78">
        <f>Table2[[#This Row],[Asset growth C with benefit payments deducted]]/(1+Table2[Compounded discount rate C])</f>
        <v>7.6465647237975789</v>
      </c>
      <c r="AQ127" s="75">
        <f>Table2[CPI]+2.56%</f>
        <v>5.33E-2</v>
      </c>
      <c r="AR127" s="72">
        <f t="shared" si="35"/>
        <v>124.81035025342862</v>
      </c>
      <c r="AS127" s="74">
        <f>Table2[[#This Row],[Annual benefit payments (closed scheme)]]/((1+AR126)*(1+Table2[[#This Row],[Discount rate D]])^0.5)+AS126</f>
        <v>54.852927873175936</v>
      </c>
      <c r="AT127" s="71">
        <f>AT126*(1+Table2[Discount rate D])</f>
        <v>7548.621015205712</v>
      </c>
      <c r="AU127" s="74">
        <f>Table2[[#This Row],[Asset growth D]]/(1+Table2[Compounded CPI])</f>
        <v>658.02984590038398</v>
      </c>
      <c r="AV127" s="74">
        <f>(AV126*((1+Table2[Discount rate D])^0.5)-Table2[Annual benefit payments (closed scheme)])*(1+Table2[Discount rate D])^0.5</f>
        <v>647.55494705538945</v>
      </c>
      <c r="AW127" s="74">
        <f>Table2[[#This Row],[Asset growth D with benefit payments deducted]]/(1+Table2[Compounded CPI])</f>
        <v>56.44878464086954</v>
      </c>
      <c r="AX127" s="78">
        <f>Table2[[#This Row],[Asset growth D with benefit payments deducted]]/(1+Table2[Compounded discount rate D])</f>
        <v>5.1470721268240176</v>
      </c>
      <c r="AY127" s="75">
        <f>Table2[CPI]+4%</f>
        <v>6.7699999999999996E-2</v>
      </c>
      <c r="AZ127" s="72">
        <f t="shared" si="36"/>
        <v>444.58392232067735</v>
      </c>
      <c r="BA127" s="74">
        <f>Table2[[#This Row],[Annual benefit payments (closed scheme)]]/((1+AZ126)*(1+Table2[[#This Row],[Discount rate E]])^0.5)+BA126</f>
        <v>48.297580675656633</v>
      </c>
      <c r="BB127" s="17">
        <f>BB126*(1+Table2[Discount rate E])</f>
        <v>26735.03533924068</v>
      </c>
      <c r="BC127" s="71">
        <f>Table2[[#This Row],[Asset growth E]]/(1+Table2[Compounded CPI])</f>
        <v>2330.5516529421952</v>
      </c>
      <c r="BD127" s="74">
        <f>(BD126*((1+Table2[Discount rate E])^0.5)-Table2[Annual benefit payments (closed scheme)])*(1+Table2[Discount rate E])^0.5</f>
        <v>5214.4099031821888</v>
      </c>
      <c r="BE127" s="74">
        <f>Table2[[#This Row],[Asset growth E with benefit payments deducted]]/(1+Table2[Compounded CPI])</f>
        <v>454.551544996183</v>
      </c>
      <c r="BF127" s="78">
        <f>Table2[[#This Row],[Asset growth E with benefit payments deducted]]/(1+Table2[Compounded discount rate E])</f>
        <v>11.702419324343323</v>
      </c>
      <c r="BG127" s="75">
        <f>Table2[[#This Row],[Long-dated forward gilt yields]]+0.75%</f>
        <v>2.5600000000000001E-2</v>
      </c>
      <c r="BH127" s="75">
        <f t="shared" si="37"/>
        <v>10.776557731268026</v>
      </c>
      <c r="BI127" s="17">
        <f>((Table2[[#This Row],[Annual benefit payments (closed scheme)]])*1.005^(Table2[[#This Row],[Year]]-2018))/((1+BH126)*(1+Table2[[#This Row],[Discount rate F]])^0.5)+BI126</f>
        <v>82.34349485762877</v>
      </c>
      <c r="BJ127" s="74">
        <f>BJ126*(1+Table2[Discount rate F])</f>
        <v>969.72292098523701</v>
      </c>
      <c r="BK127" s="74">
        <f>Table2[[#This Row],[Asset growth F, under the assumption of full-funding at Year 0]]/(1+Table2[[#This Row],[Compounded CPI]])</f>
        <v>84.532873352179593</v>
      </c>
      <c r="BL127" s="74">
        <f>(BL126*((1+Table2[Discount rate F])^0.5)-Table2[Annual benefit payments (closed scheme)]*1.005^(Table2[Year]-2018))*(1+Table2[Discount rate F])^0.5</f>
        <v>-2.982176394682474E-13</v>
      </c>
      <c r="BM127" s="74">
        <f>Table2[[#This Row],[Asset growth F with benefit payments deducted]]/(1+Table2[Compounded CPI])</f>
        <v>-2.5996285539938364E-14</v>
      </c>
      <c r="BN127" s="78">
        <f>Table2[[#This Row],[Asset growth F with benefit payments deducted]]/(1+Table2[Compounded discount rate F])</f>
        <v>-2.5322988794632879E-14</v>
      </c>
      <c r="BO127" s="18">
        <f>(1+BO126)*(1+Table2[Discount rate A2])-1</f>
        <v>27.4702146285459</v>
      </c>
      <c r="BP127" s="74">
        <f>Table2[[#This Row],[Annual benefit payments (ongoing scheme)]]/((1+BO126)*(1+Table2[[#This Row],[Discount rate A2]])^0.5)+BP126</f>
        <v>112.5091731857294</v>
      </c>
      <c r="BQ127" s="74">
        <f>(BQ126*((1+Table2[Discount rate A2])^0.5)-Table2[Annual benefit payments (ongoing scheme)])*(1+Table2[Discount rate A2])^0.5</f>
        <v>1.1400904248851399E-13</v>
      </c>
      <c r="BR127" s="18">
        <f>(1+BR126)*(1+Table2[Discount rate B])-1</f>
        <v>67.112928323757984</v>
      </c>
      <c r="BS127" s="74">
        <f>Table2[[#This Row],[Annual benefit payments (ongoing scheme)]]/((1+BR126)*(1+Table2[[#This Row],[Discount rate B]])^0.5)+BS126</f>
        <v>93.512942296053311</v>
      </c>
      <c r="BT127" s="18">
        <f>(1+BT126)*(1+Table2[Discount rate E])-1</f>
        <v>173.58915131179202</v>
      </c>
      <c r="BU127" s="74">
        <f>Table2[[#This Row],[Annual benefit payments (ongoing scheme)]]/((1+BT126)*(1+Table2[[#This Row],[Discount rate E]])^0.5)+BU126</f>
        <v>78.139825166219183</v>
      </c>
      <c r="BV127" s="18">
        <f>Table2[CPI]+0.75%+0.75%</f>
        <v>4.2699999999999995E-2</v>
      </c>
      <c r="BW127" s="18">
        <f>(1+BW126)*(1+Table2[Self-sufficiency discount rate, from 2037])-1</f>
        <v>23.270634376239492</v>
      </c>
      <c r="BX127" s="17">
        <f>(Table2[[#This Row],[Annual benefit payments (ongoing scheme)]]*1.005^(Table2[[#This Row],[Year]]-2038))/((1+BW126)*(1+Table2[[#This Row],[Self-sufficiency discount rate, from 2037]])^0.5)+BX126</f>
        <v>128.05052145331271</v>
      </c>
      <c r="BY127" s="74">
        <f>(BY126*((1+Table2[Self-sufficiency discount rate, from 2037])^0.5)-Table2[Annual benefit payments (ongoing scheme)]*1.005^(Table2[Year]-2038))*(1+Table2[Self-sufficiency discount rate, from 2037])^0.5</f>
        <v>-3.2896066821959873E-12</v>
      </c>
      <c r="BZ127" s="74">
        <f>(BZ126*((1+Table2[Discount rate B])^0.5)-Table2[Annual benefit payments (ongoing scheme)])*(1+Table2[Discount rate B])^0.5</f>
        <v>-2.5640446718878662E-12</v>
      </c>
      <c r="CA127" s="74">
        <f>(CA126*((1+Table2[Discount rate A2])^0.5)+Table2[Net cashflow (ongoing scheme)])*(1+Table2[Discount rate A2])^0.5</f>
        <v>-9.4226519727293763</v>
      </c>
      <c r="CB127" s="74">
        <f>Table2[[#This Row],[Asset growth, ongoing scheme, with November de-risking, net of contributions and payments]]/(1+Table2[Compounded discount rate A2])</f>
        <v>-0.18613660305209329</v>
      </c>
      <c r="CC127" s="74">
        <f>Table2[[#This Row],[Asset growth, ongoing scheme, with November de-risking, net of contributions and payments]]/(1+Table2[Compounded CPI])</f>
        <v>-0.82139323369105322</v>
      </c>
      <c r="CD127" s="74">
        <f>(CD126*((1+Table2[Discount rate A1])^0.5)+Table2[Net cashflow (ongoing scheme)])*(1+Table2[Discount rate A1])^0.5</f>
        <v>154.0710584756674</v>
      </c>
      <c r="CE127" s="74">
        <f>Table2[[#This Row],[Asset growth, ongoing scheme, with September de-risking, net of contributions and payments]]/(1+Table2[Compounded discount rate A1])</f>
        <v>2.8907782951169874</v>
      </c>
      <c r="CF127" s="74">
        <f>Table2[[#This Row],[Asset growth, ongoing scheme, with September de-risking, net of contributions and payments]]/(1+Table2[Compounded CPI])</f>
        <v>13.430712001864835</v>
      </c>
      <c r="CG127" s="74">
        <f>(CG126*((1+Table2[Discount rate B])^0.5)+Table2[Net cashflow (ongoing scheme)])*(1+Table2[Discount rate B])^0.5</f>
        <v>2045.6180065804049</v>
      </c>
      <c r="CH127" s="74">
        <f>Table2[[#This Row],[Asset growth, ongoing scheme, no de-risking, net of contributions and payments]]/(1+Table2[Compounded discount rate B])</f>
        <v>15.305806084530895</v>
      </c>
      <c r="CI127" s="74">
        <f>Table2[[#This Row],[Asset growth, ongoing scheme, no de-risking, net of contributions and payments]]/(1+Table2[Compounded CPI])</f>
        <v>178.32100709913198</v>
      </c>
      <c r="CJ127" s="74">
        <f>(CJ126*((1+Table2[Discount rate E])^0.5)+Table2[Net cashflow (ongoing scheme)])*(1+Table2[Discount rate E])^0.5</f>
        <v>14229.870616603999</v>
      </c>
      <c r="CK127" s="74">
        <f>Table2[[#This Row],[Asset growth, ongoing scheme, best-estimates, no de-risking, net of contributions and payments ]]/(1+Table2[Compounded discount rate E])</f>
        <v>31.935332277009451</v>
      </c>
      <c r="CL127" s="74">
        <f>Table2[[#This Row],[Asset growth, ongoing scheme, best-estimates, no de-risking, net of contributions and payments ]]/(1+Table2[Compounded CPI])</f>
        <v>1240.4490237573752</v>
      </c>
      <c r="CM127" s="73">
        <f t="shared" si="24"/>
        <v>2.7699999999999999E-2</v>
      </c>
      <c r="CN127" s="75">
        <f>(1+Table2[[#This Row],[CPI]])*(1+CN126)-1</f>
        <v>10.471548079824425</v>
      </c>
      <c r="CO127" s="11">
        <f t="shared" si="23"/>
        <v>1.8100000000000002E-2</v>
      </c>
      <c r="CP127" s="75">
        <f>Table2[[#This Row],[CPI]]+2%</f>
        <v>4.7699999999999999E-2</v>
      </c>
      <c r="CQ127" s="76">
        <f>(1+Table2[[#This Row],[Salary growth]])*(1+CQ126)-1</f>
        <v>80.714507494736424</v>
      </c>
      <c r="CR127" s="77">
        <f t="shared" si="39"/>
        <v>114.7154807982442</v>
      </c>
      <c r="CS127" s="74">
        <f t="shared" si="40"/>
        <v>149.13012503771756</v>
      </c>
      <c r="CT127" s="74">
        <f>CT126*(1+Table2[[#This Row],[Salary growth]])</f>
        <v>817.14507494736426</v>
      </c>
      <c r="CU127" s="78">
        <f t="shared" si="38"/>
        <v>1062.288597431573</v>
      </c>
      <c r="CV127" s="116">
        <f>('Cash flows as at 31032017'!B112)/1000000000</f>
        <v>0</v>
      </c>
      <c r="CW127" s="117">
        <v>0</v>
      </c>
      <c r="CX127" s="117">
        <f>Table2[[#This Row],[Annual contributions (closed scheme)]]-Table2[[#This Row],[Annual benefit payments (closed scheme)]]</f>
        <v>0</v>
      </c>
      <c r="CY127" s="117">
        <v>0</v>
      </c>
      <c r="CZ127" s="117">
        <v>0</v>
      </c>
      <c r="DA127" s="117">
        <v>0</v>
      </c>
    </row>
    <row r="128" spans="1:105" x14ac:dyDescent="0.2">
      <c r="A128" s="7">
        <v>2121</v>
      </c>
      <c r="E128" s="6">
        <v>6.0999999999999999E-2</v>
      </c>
      <c r="F128" s="1">
        <f>F127*(1+Table2[[#This Row],[2008 discount rate]])</f>
        <v>27131.886502460013</v>
      </c>
      <c r="G128" s="1">
        <v>30.061</v>
      </c>
      <c r="H128">
        <f>H127*(1+Table2[[#This Row],[2011 discount rate]])</f>
        <v>3.7281606972073915E+37</v>
      </c>
      <c r="I128" s="1">
        <v>30.052</v>
      </c>
      <c r="J128" s="1">
        <f>J127*(1+Table2[[#This Row],[2014 discount rate]])</f>
        <v>1.987733703919031E+37</v>
      </c>
      <c r="K128" s="9">
        <f>Table2[CPI]+1.7%</f>
        <v>4.4700000000000004E-2</v>
      </c>
      <c r="L128" s="108">
        <f t="shared" si="21"/>
        <v>54.67982680007492</v>
      </c>
      <c r="M128" s="17">
        <f>Table2[[#This Row],[Annual benefit payments (closed scheme)]]/((1+L127)*(1+Table2[[#This Row],[Discount rate A1]])^0.5)+M127</f>
        <v>64.922568716167319</v>
      </c>
      <c r="N128" s="74">
        <f>N127*(1+Table2[Discount rate A1])</f>
        <v>3614.8773815321633</v>
      </c>
      <c r="O128" s="74">
        <f>Table2[[#This Row],[Asset growth A1, under the assumption of full-funding at Year 0]]/(1+Table2[[#This Row],[Compounded CPI]])</f>
        <v>306.62332174619166</v>
      </c>
      <c r="P128" s="74">
        <f>(P127*((1+Table2[Discount rate A1])^0.5)-Table2[Annual benefit payments (closed scheme)])*(1+Table2[Discount rate A1])^0.5</f>
        <v>4.9152863684637711E-13</v>
      </c>
      <c r="Q128" s="74">
        <f>Table2[[#This Row],[Asset growth A1 with benefit payments deducted]]/(1+Table2[Compounded CPI])</f>
        <v>4.1692740155776346E-14</v>
      </c>
      <c r="R128" s="74">
        <f>Table2[[#This Row],[Asset growth A1 with benefit payments deducted]]/(1+Table2[Compounded discount rate A1])</f>
        <v>8.8277687826018113E-15</v>
      </c>
      <c r="S128" s="73">
        <f>Table2[CPI]+1.7%</f>
        <v>4.4700000000000004E-2</v>
      </c>
      <c r="T128" s="72">
        <f t="shared" si="32"/>
        <v>51.885055139613904</v>
      </c>
      <c r="U128" s="17">
        <f>Table2[[#This Row],[Annual benefit payments (closed scheme)]]/((1+T127)*(1+Table2[[#This Row],[Discount rate A2]])^0.5)+U127</f>
        <v>67.511306032910724</v>
      </c>
      <c r="V128" s="74">
        <f>V127*(1+Table2[Discount rate A2])</f>
        <v>3570.3391420978292</v>
      </c>
      <c r="W128" s="74">
        <f>Table2[[#This Row],[Asset growth A2, under the assumption of full-funding at Year 0]]/(1+Table2[Compounded CPI])</f>
        <v>302.8454721876281</v>
      </c>
      <c r="X128" s="74">
        <f>(X127*((1+Table2[Discount rate A2])^0.5)-Table2[Annual benefit payments (closed scheme)])*(1+Table2[Discount rate A2])^0.5</f>
        <v>1.5391756496513315E-12</v>
      </c>
      <c r="Y128" s="74">
        <f>Table2[[#This Row],[Asset growth A2 with benefit payments deducted]]/(1+Table2[[#This Row],[Compounded CPI]])</f>
        <v>1.3055689049317334E-13</v>
      </c>
      <c r="Z128" s="78">
        <f>Table2[[#This Row],[Asset growth A2 with benefit payments deducted]]/(1+Table2[Compounded discount rate A2])</f>
        <v>2.9104170272451917E-14</v>
      </c>
      <c r="AA128" s="109">
        <f>Table2[CPI]+2.8%</f>
        <v>5.57E-2</v>
      </c>
      <c r="AB128" s="72">
        <f t="shared" si="33"/>
        <v>140.09409969132778</v>
      </c>
      <c r="AC128" s="74">
        <f>Table2[[#This Row],[Annual benefit payments (closed scheme)]]/((1+AB127)*(1+Table2[[#This Row],[Discount rate B]])^0.5)+AC127</f>
        <v>60.426898501081197</v>
      </c>
      <c r="AD128" s="110">
        <f>AD127*(1+Table2[Discount rate B])</f>
        <v>8465.6459814796672</v>
      </c>
      <c r="AE128" s="71">
        <f>Table2[[#This Row],[Asset growth B]]/(1+Table2[Compounded CPI])</f>
        <v>718.07815801165054</v>
      </c>
      <c r="AF128" s="74">
        <f>(AF127*((1+Table2[Discount rate B])^0.5)-Table2[Annual benefit payments (closed scheme)])*(1+Table2[Discount rate B])^0.5</f>
        <v>-60.232859669628922</v>
      </c>
      <c r="AG128" s="74">
        <f>Table2[[#This Row],[Asset growth B with benefit payments deducted]]/(1+Table2[Compounded CPI])</f>
        <v>-5.1091081552386859</v>
      </c>
      <c r="AH128" s="78">
        <f>Table2[[#This Row],[Asset growth B with benefit payments deducted]]/(1+Table2[Compounded discount rate B])</f>
        <v>-0.42689850108119781</v>
      </c>
      <c r="AI128" s="75">
        <f>Table2[CPI]+2.56%</f>
        <v>5.33E-2</v>
      </c>
      <c r="AJ128" s="72">
        <f t="shared" si="34"/>
        <v>140.56681556079812</v>
      </c>
      <c r="AK128" s="74">
        <f>Table2[[#This Row],[Annual benefit payments (closed scheme)]]/((1+AJ127)*(1+Table2[[#This Row],[Discount rate C]])^0.5)+AK127</f>
        <v>52.353435276202354</v>
      </c>
      <c r="AL128" s="74">
        <f>AL127*(1+Table2[Discount rate C])</f>
        <v>8494.0089336478868</v>
      </c>
      <c r="AM128" s="74">
        <f>Table2[[#This Row],[Asset growth C]]/(1+Table2[Compounded CPI])</f>
        <v>720.48397754311748</v>
      </c>
      <c r="AN128" s="74">
        <f>(AN127*((1+Table2[Discount rate C])^0.5)-Table2[Annual benefit payments (closed scheme)])*(1+Table2[Discount rate C])^0.5</f>
        <v>1082.4998179275569</v>
      </c>
      <c r="AO128" s="74">
        <f>Table2[[#This Row],[Asset growth C with benefit payments deducted]]/(1+Table2[Compounded CPI])</f>
        <v>91.820456112376135</v>
      </c>
      <c r="AP128" s="78">
        <f>Table2[[#This Row],[Asset growth C with benefit payments deducted]]/(1+Table2[Compounded discount rate C])</f>
        <v>7.646564723797578</v>
      </c>
      <c r="AQ128" s="75">
        <f>Table2[CPI]+2.56%</f>
        <v>5.33E-2</v>
      </c>
      <c r="AR128" s="72">
        <f t="shared" si="35"/>
        <v>131.51604192193636</v>
      </c>
      <c r="AS128" s="74">
        <f>Table2[[#This Row],[Annual benefit payments (closed scheme)]]/((1+AR127)*(1+Table2[[#This Row],[Discount rate D]])^0.5)+AS127</f>
        <v>54.852927873175936</v>
      </c>
      <c r="AT128" s="71">
        <f>AT127*(1+Table2[Discount rate D])</f>
        <v>7950.962515316176</v>
      </c>
      <c r="AU128" s="74">
        <f>Table2[[#This Row],[Asset growth D]]/(1+Table2[Compounded CPI])</f>
        <v>674.42136487970652</v>
      </c>
      <c r="AV128" s="74">
        <f>(AV127*((1+Table2[Discount rate D])^0.5)-Table2[Annual benefit payments (closed scheme)])*(1+Table2[Discount rate D])^0.5</f>
        <v>682.06962573344151</v>
      </c>
      <c r="AW128" s="74">
        <f>Table2[[#This Row],[Asset growth D with benefit payments deducted]]/(1+Table2[Compounded CPI])</f>
        <v>57.854923481782492</v>
      </c>
      <c r="AX128" s="78">
        <f>Table2[[#This Row],[Asset growth D with benefit payments deducted]]/(1+Table2[Compounded discount rate D])</f>
        <v>5.1470721268240167</v>
      </c>
      <c r="AY128" s="75">
        <f>Table2[CPI]+4%</f>
        <v>6.7699999999999996E-2</v>
      </c>
      <c r="AZ128" s="72">
        <f t="shared" si="36"/>
        <v>474.74995386178722</v>
      </c>
      <c r="BA128" s="74">
        <f>Table2[[#This Row],[Annual benefit payments (closed scheme)]]/((1+AZ127)*(1+Table2[[#This Row],[Discount rate E]])^0.5)+BA127</f>
        <v>48.297580675656633</v>
      </c>
      <c r="BB128" s="17">
        <f>BB127*(1+Table2[Discount rate E])</f>
        <v>28544.997231707275</v>
      </c>
      <c r="BC128" s="71">
        <f>Table2[[#This Row],[Asset growth E]]/(1+Table2[Compounded CPI])</f>
        <v>2421.2610682556992</v>
      </c>
      <c r="BD128" s="74">
        <f>(BD127*((1+Table2[Discount rate E])^0.5)-Table2[Annual benefit payments (closed scheme)])*(1+Table2[Discount rate E])^0.5</f>
        <v>5567.425453627623</v>
      </c>
      <c r="BE128" s="74">
        <f>Table2[[#This Row],[Asset growth E with benefit payments deducted]]/(1+Table2[Compounded CPI])</f>
        <v>472.2435385739268</v>
      </c>
      <c r="BF128" s="78">
        <f>Table2[[#This Row],[Asset growth E with benefit payments deducted]]/(1+Table2[Compounded discount rate E])</f>
        <v>11.702419324343323</v>
      </c>
      <c r="BG128" s="75">
        <f>Table2[[#This Row],[Long-dated forward gilt yields]]+0.75%</f>
        <v>2.5600000000000001E-2</v>
      </c>
      <c r="BH128" s="75">
        <f t="shared" si="37"/>
        <v>11.078037609188488</v>
      </c>
      <c r="BI128" s="17">
        <f>((Table2[[#This Row],[Annual benefit payments (closed scheme)]])*1.005^(Table2[[#This Row],[Year]]-2018))/((1+BH127)*(1+Table2[[#This Row],[Discount rate F]])^0.5)+BI127</f>
        <v>82.34349485762877</v>
      </c>
      <c r="BJ128" s="74">
        <f>BJ127*(1+Table2[Discount rate F])</f>
        <v>994.54782776245918</v>
      </c>
      <c r="BK128" s="74">
        <f>Table2[[#This Row],[Asset growth F, under the assumption of full-funding at Year 0]]/(1+Table2[[#This Row],[Compounded CPI]])</f>
        <v>84.360139058086389</v>
      </c>
      <c r="BL128" s="74">
        <f>(BL127*((1+Table2[Discount rate F])^0.5)-Table2[Annual benefit payments (closed scheme)]*1.005^(Table2[Year]-2018))*(1+Table2[Discount rate F])^0.5</f>
        <v>-3.0585201103863455E-13</v>
      </c>
      <c r="BM128" s="74">
        <f>Table2[[#This Row],[Asset growth F with benefit payments deducted]]/(1+Table2[Compounded CPI])</f>
        <v>-2.5943164785210457E-14</v>
      </c>
      <c r="BN128" s="78">
        <f>Table2[[#This Row],[Asset growth F with benefit payments deducted]]/(1+Table2[Compounded discount rate F])</f>
        <v>-2.5322988794632876E-14</v>
      </c>
      <c r="BO128" s="18">
        <f>(1+BO127)*(1+Table2[Discount rate A2])-1</f>
        <v>28.742833222441902</v>
      </c>
      <c r="BP128" s="74">
        <f>Table2[[#This Row],[Annual benefit payments (ongoing scheme)]]/((1+BO127)*(1+Table2[[#This Row],[Discount rate A2]])^0.5)+BP127</f>
        <v>112.5091731857294</v>
      </c>
      <c r="BQ128" s="74">
        <f>(BQ127*((1+Table2[Discount rate A2])^0.5)-Table2[Annual benefit payments (ongoing scheme)])*(1+Table2[Discount rate A2])^0.5</f>
        <v>1.1910524668775054E-13</v>
      </c>
      <c r="BR128" s="18">
        <f>(1+BR127)*(1+Table2[Discount rate B])-1</f>
        <v>70.906818431391315</v>
      </c>
      <c r="BS128" s="74">
        <f>Table2[[#This Row],[Annual benefit payments (ongoing scheme)]]/((1+BR127)*(1+Table2[[#This Row],[Discount rate B]])^0.5)+BS127</f>
        <v>93.512942296053311</v>
      </c>
      <c r="BT128" s="18">
        <f>(1+BT127)*(1+Table2[Discount rate E])-1</f>
        <v>185.40883685560036</v>
      </c>
      <c r="BU128" s="74">
        <f>Table2[[#This Row],[Annual benefit payments (ongoing scheme)]]/((1+BT127)*(1+Table2[[#This Row],[Discount rate E]])^0.5)+BU127</f>
        <v>78.139825166219183</v>
      </c>
      <c r="BV128" s="18">
        <f>Table2[CPI]+0.75%+0.75%</f>
        <v>4.2699999999999995E-2</v>
      </c>
      <c r="BW128" s="18">
        <f>(1+BW127)*(1+Table2[Self-sufficiency discount rate, from 2037])-1</f>
        <v>24.306990464104917</v>
      </c>
      <c r="BX128" s="17">
        <f>(Table2[[#This Row],[Annual benefit payments (ongoing scheme)]]*1.005^(Table2[[#This Row],[Year]]-2038))/((1+BW127)*(1+Table2[[#This Row],[Self-sufficiency discount rate, from 2037]])^0.5)+BX127</f>
        <v>128.05052145331271</v>
      </c>
      <c r="BY128" s="74">
        <f>(BY127*((1+Table2[Self-sufficiency discount rate, from 2037])^0.5)-Table2[Annual benefit payments (ongoing scheme)]*1.005^(Table2[Year]-2038))*(1+Table2[Self-sufficiency discount rate, from 2037])^0.5</f>
        <v>-3.4300728875257555E-12</v>
      </c>
      <c r="BZ128" s="74">
        <f>(BZ127*((1+Table2[Discount rate B])^0.5)-Table2[Annual benefit payments (ongoing scheme)])*(1+Table2[Discount rate B])^0.5</f>
        <v>-2.7068619601120196E-12</v>
      </c>
      <c r="CA128" s="74">
        <f>(CA127*((1+Table2[Discount rate A2])^0.5)+Table2[Net cashflow (ongoing scheme)])*(1+Table2[Discount rate A2])^0.5</f>
        <v>-9.8438445159103782</v>
      </c>
      <c r="CB128" s="74">
        <f>Table2[[#This Row],[Asset growth, ongoing scheme, with November de-risking, net of contributions and payments]]/(1+Table2[Compounded discount rate A2])</f>
        <v>-0.18613660305209326</v>
      </c>
      <c r="CC128" s="74">
        <f>Table2[[#This Row],[Asset growth, ongoing scheme, with November de-risking, net of contributions and payments]]/(1+Table2[Compounded CPI])</f>
        <v>-0.83498055000198812</v>
      </c>
      <c r="CD128" s="74">
        <f>(CD127*((1+Table2[Discount rate A1])^0.5)+Table2[Net cashflow (ongoing scheme)])*(1+Table2[Discount rate A1])^0.5</f>
        <v>160.95803478952971</v>
      </c>
      <c r="CE128" s="74">
        <f>Table2[[#This Row],[Asset growth, ongoing scheme, with September de-risking, net of contributions and payments]]/(1+Table2[Compounded discount rate A1])</f>
        <v>2.8907782951169869</v>
      </c>
      <c r="CF128" s="74">
        <f>Table2[[#This Row],[Asset growth, ongoing scheme, with September de-risking, net of contributions and payments]]/(1+Table2[Compounded CPI])</f>
        <v>13.652880050937229</v>
      </c>
      <c r="CG128" s="74">
        <f>(CG127*((1+Table2[Discount rate B])^0.5)+Table2[Net cashflow (ongoing scheme)])*(1+Table2[Discount rate B])^0.5</f>
        <v>2159.5589295469331</v>
      </c>
      <c r="CH128" s="74">
        <f>Table2[[#This Row],[Asset growth, ongoing scheme, no de-risking, net of contributions and payments]]/(1+Table2[Compounded discount rate B])</f>
        <v>15.305806084530893</v>
      </c>
      <c r="CI128" s="74">
        <f>Table2[[#This Row],[Asset growth, ongoing scheme, no de-risking, net of contributions and payments]]/(1+Table2[Compounded CPI])</f>
        <v>183.17941733439096</v>
      </c>
      <c r="CJ128" s="74">
        <f>(CJ127*((1+Table2[Discount rate E])^0.5)+Table2[Net cashflow (ongoing scheme)])*(1+Table2[Discount rate E])^0.5</f>
        <v>15193.232857348088</v>
      </c>
      <c r="CK128" s="74">
        <f>Table2[[#This Row],[Asset growth, ongoing scheme, best-estimates, no de-risking, net of contributions and payments ]]/(1+Table2[Compounded discount rate E])</f>
        <v>31.935332277009447</v>
      </c>
      <c r="CL128" s="74">
        <f>Table2[[#This Row],[Asset growth, ongoing scheme, best-estimates, no de-risking, net of contributions and payments ]]/(1+Table2[Compounded CPI])</f>
        <v>1288.7296124022082</v>
      </c>
      <c r="CM128" s="73">
        <f t="shared" si="24"/>
        <v>2.7699999999999999E-2</v>
      </c>
      <c r="CN128" s="75">
        <f>(1+Table2[[#This Row],[CPI]])*(1+CN127)-1</f>
        <v>10.789309961635562</v>
      </c>
      <c r="CO128" s="11">
        <f t="shared" si="23"/>
        <v>1.8100000000000002E-2</v>
      </c>
      <c r="CP128" s="75">
        <f>Table2[[#This Row],[CPI]]+2%</f>
        <v>4.7699999999999999E-2</v>
      </c>
      <c r="CQ128" s="76">
        <f>(1+Table2[[#This Row],[Salary growth]])*(1+CQ127)-1</f>
        <v>84.612289502235356</v>
      </c>
      <c r="CR128" s="77">
        <f t="shared" si="39"/>
        <v>117.89309961635557</v>
      </c>
      <c r="CS128" s="74">
        <f t="shared" si="40"/>
        <v>153.26102950126236</v>
      </c>
      <c r="CT128" s="74">
        <f>CT127*(1+Table2[[#This Row],[Salary growth]])</f>
        <v>856.12289502235365</v>
      </c>
      <c r="CU128" s="78">
        <f t="shared" si="38"/>
        <v>1112.959763529059</v>
      </c>
      <c r="CV128" s="116">
        <f>('Cash flows as at 31032017'!B113)/1000000000</f>
        <v>0</v>
      </c>
      <c r="CW128" s="117">
        <v>0</v>
      </c>
      <c r="CX128" s="117">
        <f>Table2[[#This Row],[Annual contributions (closed scheme)]]-Table2[[#This Row],[Annual benefit payments (closed scheme)]]</f>
        <v>0</v>
      </c>
      <c r="CY128" s="117">
        <v>0</v>
      </c>
      <c r="CZ128" s="117">
        <v>0</v>
      </c>
      <c r="DA128" s="117">
        <v>0</v>
      </c>
    </row>
    <row r="129" spans="1:105" x14ac:dyDescent="0.2">
      <c r="A129" s="7">
        <v>2122</v>
      </c>
      <c r="E129" s="6">
        <v>6.0999999999999999E-2</v>
      </c>
      <c r="F129" s="1">
        <f>F128*(1+Table2[[#This Row],[2008 discount rate]])</f>
        <v>28786.931579110071</v>
      </c>
      <c r="G129" s="1">
        <v>31.061</v>
      </c>
      <c r="H129">
        <f>H128*(1+Table2[[#This Row],[2011 discount rate]])</f>
        <v>1.1952856011316617E+39</v>
      </c>
      <c r="I129" s="1">
        <v>31.052</v>
      </c>
      <c r="J129" s="1">
        <f>J128*(1+Table2[[#This Row],[2014 discount rate]])</f>
        <v>6.3710840678012778E+38</v>
      </c>
      <c r="K129" s="9">
        <f>Table2[CPI]+1.7%</f>
        <v>4.4700000000000004E-2</v>
      </c>
      <c r="L129" s="108">
        <f t="shared" si="21"/>
        <v>57.168715058038266</v>
      </c>
      <c r="M129" s="17">
        <f>Table2[[#This Row],[Annual benefit payments (closed scheme)]]/((1+L128)*(1+Table2[[#This Row],[Discount rate A1]])^0.5)+M128</f>
        <v>64.922568716167319</v>
      </c>
      <c r="N129" s="74">
        <f>N128*(1+Table2[Discount rate A1])</f>
        <v>3776.4624004866509</v>
      </c>
      <c r="O129" s="74">
        <f>Table2[[#This Row],[Asset growth A1, under the assumption of full-funding at Year 0]]/(1+Table2[[#This Row],[Compounded CPI]])</f>
        <v>311.69542106475274</v>
      </c>
      <c r="P129" s="74">
        <f>(P128*((1+Table2[Discount rate A1])^0.5)-Table2[Annual benefit payments (closed scheme)])*(1+Table2[Discount rate A1])^0.5</f>
        <v>5.134999669134102E-13</v>
      </c>
      <c r="Q129" s="74">
        <f>Table2[[#This Row],[Asset growth A1 with benefit payments deducted]]/(1+Table2[Compounded CPI])</f>
        <v>4.2382412806012994E-14</v>
      </c>
      <c r="R129" s="74">
        <f>Table2[[#This Row],[Asset growth A1 with benefit payments deducted]]/(1+Table2[Compounded discount rate A1])</f>
        <v>8.8277687826018128E-15</v>
      </c>
      <c r="S129" s="73">
        <f>Table2[CPI]+1.7%</f>
        <v>4.4700000000000004E-2</v>
      </c>
      <c r="T129" s="72">
        <f t="shared" si="32"/>
        <v>54.249017104354643</v>
      </c>
      <c r="U129" s="17">
        <f>Table2[[#This Row],[Annual benefit payments (closed scheme)]]/((1+T128)*(1+Table2[[#This Row],[Discount rate A2]])^0.5)+U128</f>
        <v>67.511306032910724</v>
      </c>
      <c r="V129" s="74">
        <f>V128*(1+Table2[Discount rate A2])</f>
        <v>3729.9333017496019</v>
      </c>
      <c r="W129" s="74">
        <f>Table2[[#This Row],[Asset growth A2, under the assumption of full-funding at Year 0]]/(1+Table2[Compounded CPI])</f>
        <v>307.85507910325487</v>
      </c>
      <c r="X129" s="74">
        <f>(X128*((1+Table2[Discount rate A2])^0.5)-Table2[Annual benefit payments (closed scheme)])*(1+Table2[Discount rate A2])^0.5</f>
        <v>1.6079768011907458E-12</v>
      </c>
      <c r="Y129" s="74">
        <f>Table2[[#This Row],[Asset growth A2 with benefit payments deducted]]/(1+Table2[[#This Row],[Compounded CPI]])</f>
        <v>1.3271653546581508E-13</v>
      </c>
      <c r="Z129" s="78">
        <f>Table2[[#This Row],[Asset growth A2 with benefit payments deducted]]/(1+Table2[Compounded discount rate A2])</f>
        <v>2.9104170272451917E-14</v>
      </c>
      <c r="AA129" s="109">
        <f>Table2[CPI]+2.8%</f>
        <v>5.57E-2</v>
      </c>
      <c r="AB129" s="72">
        <f t="shared" si="33"/>
        <v>147.95304104413475</v>
      </c>
      <c r="AC129" s="74">
        <f>Table2[[#This Row],[Annual benefit payments (closed scheme)]]/((1+AB128)*(1+Table2[[#This Row],[Discount rate B]])^0.5)+AC128</f>
        <v>60.426898501081197</v>
      </c>
      <c r="AD129" s="110">
        <f>AD128*(1+Table2[Discount rate B])</f>
        <v>8937.1824626480848</v>
      </c>
      <c r="AE129" s="71">
        <f>Table2[[#This Row],[Asset growth B]]/(1+Table2[Compounded CPI])</f>
        <v>737.64241647650044</v>
      </c>
      <c r="AF129" s="74">
        <f>(AF128*((1+Table2[Discount rate B])^0.5)-Table2[Annual benefit payments (closed scheme)])*(1+Table2[Discount rate B])^0.5</f>
        <v>-63.587829953227249</v>
      </c>
      <c r="AG129" s="74">
        <f>Table2[[#This Row],[Asset growth B with benefit payments deducted]]/(1+Table2[Compounded CPI])</f>
        <v>-5.2483073654621775</v>
      </c>
      <c r="AH129" s="78">
        <f>Table2[[#This Row],[Asset growth B with benefit payments deducted]]/(1+Table2[Compounded discount rate B])</f>
        <v>-0.42689850108119776</v>
      </c>
      <c r="AI129" s="75">
        <f>Table2[CPI]+2.56%</f>
        <v>5.33E-2</v>
      </c>
      <c r="AJ129" s="72">
        <f t="shared" si="34"/>
        <v>148.11232683018864</v>
      </c>
      <c r="AK129" s="74">
        <f>Table2[[#This Row],[Annual benefit payments (closed scheme)]]/((1+AJ128)*(1+Table2[[#This Row],[Discount rate C]])^0.5)+AK128</f>
        <v>52.353435276202354</v>
      </c>
      <c r="AL129" s="74">
        <f>AL128*(1+Table2[Discount rate C])</f>
        <v>8946.7396098113186</v>
      </c>
      <c r="AM129" s="74">
        <f>Table2[[#This Row],[Asset growth C]]/(1+Table2[Compounded CPI])</f>
        <v>738.43122851626492</v>
      </c>
      <c r="AN129" s="74">
        <f>(AN128*((1+Table2[Discount rate C])^0.5)-Table2[Annual benefit payments (closed scheme)])*(1+Table2[Discount rate C])^0.5</f>
        <v>1140.1970582230954</v>
      </c>
      <c r="AO129" s="74">
        <f>Table2[[#This Row],[Asset growth C with benefit payments deducted]]/(1+Table2[Compounded CPI])</f>
        <v>94.107703048716317</v>
      </c>
      <c r="AP129" s="78">
        <f>Table2[[#This Row],[Asset growth C with benefit payments deducted]]/(1+Table2[Compounded discount rate C])</f>
        <v>7.6465647237975771</v>
      </c>
      <c r="AQ129" s="75">
        <f>Table2[CPI]+2.56%</f>
        <v>5.33E-2</v>
      </c>
      <c r="AR129" s="72">
        <f t="shared" si="35"/>
        <v>138.57914695637555</v>
      </c>
      <c r="AS129" s="74">
        <f>Table2[[#This Row],[Annual benefit payments (closed scheme)]]/((1+AR128)*(1+Table2[[#This Row],[Discount rate D]])^0.5)+AS128</f>
        <v>54.852927873175936</v>
      </c>
      <c r="AT129" s="71">
        <f>AT128*(1+Table2[Discount rate D])</f>
        <v>8374.7488173825277</v>
      </c>
      <c r="AU129" s="74">
        <f>Table2[[#This Row],[Asset growth D]]/(1+Table2[Compounded CPI])</f>
        <v>691.22119648515593</v>
      </c>
      <c r="AV129" s="74">
        <f>(AV128*((1+Table2[Discount rate D])^0.5)-Table2[Annual benefit payments (closed scheme)])*(1+Table2[Discount rate D])^0.5</f>
        <v>718.4239367850339</v>
      </c>
      <c r="AW129" s="74">
        <f>Table2[[#This Row],[Asset growth D with benefit payments deducted]]/(1+Table2[Compounded CPI])</f>
        <v>59.296089231644928</v>
      </c>
      <c r="AX129" s="78">
        <f>Table2[[#This Row],[Asset growth D with benefit payments deducted]]/(1+Table2[Compounded discount rate D])</f>
        <v>5.1470721268240167</v>
      </c>
      <c r="AY129" s="75">
        <f>Table2[CPI]+4%</f>
        <v>6.7699999999999996E-2</v>
      </c>
      <c r="AZ129" s="72">
        <f t="shared" si="36"/>
        <v>506.95822573823028</v>
      </c>
      <c r="BA129" s="74">
        <f>Table2[[#This Row],[Annual benefit payments (closed scheme)]]/((1+AZ128)*(1+Table2[[#This Row],[Discount rate E]])^0.5)+BA128</f>
        <v>48.297580675656633</v>
      </c>
      <c r="BB129" s="17">
        <f>BB128*(1+Table2[Discount rate E])</f>
        <v>30477.493544293862</v>
      </c>
      <c r="BC129" s="71">
        <f>Table2[[#This Row],[Asset growth E]]/(1+Table2[Compounded CPI])</f>
        <v>2515.5010631279656</v>
      </c>
      <c r="BD129" s="74">
        <f>(BD128*((1+Table2[Discount rate E])^0.5)-Table2[Annual benefit payments (closed scheme)])*(1+Table2[Discount rate E])^0.5</f>
        <v>5944.3401568382124</v>
      </c>
      <c r="BE129" s="74">
        <f>Table2[[#This Row],[Asset growth E with benefit payments deducted]]/(1+Table2[Compounded CPI])</f>
        <v>490.62413752591374</v>
      </c>
      <c r="BF129" s="78">
        <f>Table2[[#This Row],[Asset growth E with benefit payments deducted]]/(1+Table2[Compounded discount rate E])</f>
        <v>11.702419324343319</v>
      </c>
      <c r="BG129" s="75">
        <f>Table2[[#This Row],[Long-dated forward gilt yields]]+0.75%</f>
        <v>2.5600000000000001E-2</v>
      </c>
      <c r="BH129" s="75">
        <f t="shared" si="37"/>
        <v>11.387235371983714</v>
      </c>
      <c r="BI129" s="17">
        <f>((Table2[[#This Row],[Annual benefit payments (closed scheme)]])*1.005^(Table2[[#This Row],[Year]]-2018))/((1+BH128)*(1+Table2[[#This Row],[Discount rate F]])^0.5)+BI128</f>
        <v>82.34349485762877</v>
      </c>
      <c r="BJ129" s="74">
        <f>BJ128*(1+Table2[Discount rate F])</f>
        <v>1020.0082521531782</v>
      </c>
      <c r="BK129" s="74">
        <f>Table2[[#This Row],[Asset growth F, under the assumption of full-funding at Year 0]]/(1+Table2[[#This Row],[Compounded CPI]])</f>
        <v>84.187757728883341</v>
      </c>
      <c r="BL129" s="74">
        <f>(BL128*((1+Table2[Discount rate F])^0.5)-Table2[Annual benefit payments (closed scheme)]*1.005^(Table2[Year]-2018))*(1+Table2[Discount rate F])^0.5</f>
        <v>-3.1368182252122362E-13</v>
      </c>
      <c r="BM129" s="74">
        <f>Table2[[#This Row],[Asset growth F with benefit payments deducted]]/(1+Table2[Compounded CPI])</f>
        <v>-2.589015257732008E-14</v>
      </c>
      <c r="BN129" s="78">
        <f>Table2[[#This Row],[Asset growth F with benefit payments deducted]]/(1+Table2[Compounded discount rate F])</f>
        <v>-2.5322988794632879E-14</v>
      </c>
      <c r="BO129" s="18">
        <f>(1+BO128)*(1+Table2[Discount rate A2])-1</f>
        <v>30.072337867485054</v>
      </c>
      <c r="BP129" s="74">
        <f>Table2[[#This Row],[Annual benefit payments (ongoing scheme)]]/((1+BO128)*(1+Table2[[#This Row],[Discount rate A2]])^0.5)+BP128</f>
        <v>112.5091731857294</v>
      </c>
      <c r="BQ129" s="74">
        <f>(BQ128*((1+Table2[Discount rate A2])^0.5)-Table2[Annual benefit payments (ongoing scheme)])*(1+Table2[Discount rate A2])^0.5</f>
        <v>1.2442925121469297E-13</v>
      </c>
      <c r="BR129" s="18">
        <f>(1+BR128)*(1+Table2[Discount rate B])-1</f>
        <v>74.912028218019813</v>
      </c>
      <c r="BS129" s="74">
        <f>Table2[[#This Row],[Annual benefit payments (ongoing scheme)]]/((1+BR128)*(1+Table2[[#This Row],[Discount rate B]])^0.5)+BS128</f>
        <v>93.512942296053311</v>
      </c>
      <c r="BT129" s="18">
        <f>(1+BT128)*(1+Table2[Discount rate E])-1</f>
        <v>198.02871511072451</v>
      </c>
      <c r="BU129" s="74">
        <f>Table2[[#This Row],[Annual benefit payments (ongoing scheme)]]/((1+BT128)*(1+Table2[[#This Row],[Discount rate E]])^0.5)+BU128</f>
        <v>78.139825166219183</v>
      </c>
      <c r="BV129" s="18">
        <f>Table2[CPI]+0.75%+0.75%</f>
        <v>4.2699999999999995E-2</v>
      </c>
      <c r="BW129" s="18">
        <f>(1+BW128)*(1+Table2[Self-sufficiency discount rate, from 2037])-1</f>
        <v>25.387598956922197</v>
      </c>
      <c r="BX129" s="17">
        <f>(Table2[[#This Row],[Annual benefit payments (ongoing scheme)]]*1.005^(Table2[[#This Row],[Year]]-2038))/((1+BW128)*(1+Table2[[#This Row],[Self-sufficiency discount rate, from 2037]])^0.5)+BX128</f>
        <v>128.05052145331271</v>
      </c>
      <c r="BY129" s="74">
        <f>(BY128*((1+Table2[Self-sufficiency discount rate, from 2037])^0.5)-Table2[Annual benefit payments (ongoing scheme)]*1.005^(Table2[Year]-2038))*(1+Table2[Self-sufficiency discount rate, from 2037])^0.5</f>
        <v>-3.5765369998231048E-12</v>
      </c>
      <c r="BZ129" s="74">
        <f>(BZ128*((1+Table2[Discount rate B])^0.5)-Table2[Annual benefit payments (ongoing scheme)])*(1+Table2[Discount rate B])^0.5</f>
        <v>-2.8576341712902591E-12</v>
      </c>
      <c r="CA129" s="74">
        <f>(CA128*((1+Table2[Discount rate A2])^0.5)+Table2[Net cashflow (ongoing scheme)])*(1+Table2[Discount rate A2])^0.5</f>
        <v>-10.283864365771572</v>
      </c>
      <c r="CB129" s="74">
        <f>Table2[[#This Row],[Asset growth, ongoing scheme, with November de-risking, net of contributions and payments]]/(1+Table2[Compounded discount rate A2])</f>
        <v>-0.18613660305209329</v>
      </c>
      <c r="CC129" s="74">
        <f>Table2[[#This Row],[Asset growth, ongoing scheme, with November de-risking, net of contributions and payments]]/(1+Table2[Compounded CPI])</f>
        <v>-0.84879262487795748</v>
      </c>
      <c r="CD129" s="74">
        <f>(CD128*((1+Table2[Discount rate A1])^0.5)+Table2[Net cashflow (ongoing scheme)])*(1+Table2[Discount rate A1])^0.5</f>
        <v>168.15285894462167</v>
      </c>
      <c r="CE129" s="74">
        <f>Table2[[#This Row],[Asset growth, ongoing scheme, with September de-risking, net of contributions and payments]]/(1+Table2[Compounded discount rate A1])</f>
        <v>2.8907782951169869</v>
      </c>
      <c r="CF129" s="74">
        <f>Table2[[#This Row],[Asset growth, ongoing scheme, with September de-risking, net of contributions and payments]]/(1+Table2[Compounded CPI])</f>
        <v>13.878723157744595</v>
      </c>
      <c r="CG129" s="74">
        <f>(CG128*((1+Table2[Discount rate B])^0.5)+Table2[Net cashflow (ongoing scheme)])*(1+Table2[Discount rate B])^0.5</f>
        <v>2279.8463619226973</v>
      </c>
      <c r="CH129" s="74">
        <f>Table2[[#This Row],[Asset growth, ongoing scheme, no de-risking, net of contributions and payments]]/(1+Table2[Compounded discount rate B])</f>
        <v>15.305806084530891</v>
      </c>
      <c r="CI129" s="74">
        <f>Table2[[#This Row],[Asset growth, ongoing scheme, no de-risking, net of contributions and payments]]/(1+Table2[Compounded CPI])</f>
        <v>188.17019643856818</v>
      </c>
      <c r="CJ129" s="74">
        <f>(CJ128*((1+Table2[Discount rate E])^0.5)+Table2[Net cashflow (ongoing scheme)])*(1+Table2[Discount rate E])^0.5</f>
        <v>16221.814721790553</v>
      </c>
      <c r="CK129" s="74">
        <f>Table2[[#This Row],[Asset growth, ongoing scheme, best-estimates, no de-risking, net of contributions and payments ]]/(1+Table2[Compounded discount rate E])</f>
        <v>31.93533227700944</v>
      </c>
      <c r="CL129" s="74">
        <f>Table2[[#This Row],[Asset growth, ongoing scheme, best-estimates, no de-risking, net of contributions and payments ]]/(1+Table2[Compounded CPI])</f>
        <v>1338.8893715693659</v>
      </c>
      <c r="CM129" s="73">
        <f t="shared" si="24"/>
        <v>2.7699999999999999E-2</v>
      </c>
      <c r="CN129" s="75">
        <f>(1+Table2[[#This Row],[CPI]])*(1+CN128)-1</f>
        <v>11.115873847572868</v>
      </c>
      <c r="CO129" s="11">
        <f t="shared" si="23"/>
        <v>1.8100000000000002E-2</v>
      </c>
      <c r="CP129" s="75">
        <f>Table2[[#This Row],[CPI]]+2%</f>
        <v>4.7699999999999999E-2</v>
      </c>
      <c r="CQ129" s="76">
        <f>(1+Table2[[#This Row],[Salary growth]])*(1+CQ128)-1</f>
        <v>88.695995711491989</v>
      </c>
      <c r="CR129" s="77">
        <f t="shared" si="39"/>
        <v>121.15873847572863</v>
      </c>
      <c r="CS129" s="74">
        <f t="shared" si="40"/>
        <v>157.50636001844734</v>
      </c>
      <c r="CT129" s="74">
        <f>CT128*(1+Table2[[#This Row],[Salary growth]])</f>
        <v>896.95995711492003</v>
      </c>
      <c r="CU129" s="78">
        <f t="shared" si="38"/>
        <v>1166.0479442493952</v>
      </c>
      <c r="CV129" s="116">
        <f>('Cash flows as at 31032017'!B114)/1000000000</f>
        <v>0</v>
      </c>
      <c r="CW129" s="117">
        <v>0</v>
      </c>
      <c r="CX129" s="117">
        <f>Table2[[#This Row],[Annual contributions (closed scheme)]]-Table2[[#This Row],[Annual benefit payments (closed scheme)]]</f>
        <v>0</v>
      </c>
      <c r="CY129" s="117">
        <v>0</v>
      </c>
      <c r="CZ129" s="117">
        <v>0</v>
      </c>
      <c r="DA129" s="117">
        <v>0</v>
      </c>
    </row>
    <row r="130" spans="1:105" x14ac:dyDescent="0.2">
      <c r="A130" s="7">
        <v>2123</v>
      </c>
      <c r="E130" s="6">
        <v>6.0999999999999999E-2</v>
      </c>
      <c r="F130" s="1">
        <f>F129*(1+Table2[[#This Row],[2008 discount rate]])</f>
        <v>30542.934405435783</v>
      </c>
      <c r="G130" s="1">
        <v>32.061</v>
      </c>
      <c r="H130">
        <f>H129*(1+Table2[[#This Row],[2011 discount rate]])</f>
        <v>3.9517337259013869E+40</v>
      </c>
      <c r="I130" s="1">
        <v>32.052</v>
      </c>
      <c r="J130" s="1">
        <f>J129*(1+Table2[[#This Row],[2014 discount rate]])</f>
        <v>2.1057707060896784E+40</v>
      </c>
      <c r="K130" s="9">
        <f>Table2[CPI]+1.7%</f>
        <v>4.4700000000000004E-2</v>
      </c>
      <c r="L130" s="108">
        <f t="shared" si="21"/>
        <v>59.768856621132578</v>
      </c>
      <c r="M130" s="17">
        <f>Table2[[#This Row],[Annual benefit payments (closed scheme)]]/((1+L129)*(1+Table2[[#This Row],[Discount rate A1]])^0.5)+M129</f>
        <v>64.922568716167319</v>
      </c>
      <c r="N130" s="74">
        <f>N129*(1+Table2[Discount rate A1])</f>
        <v>3945.2702697884042</v>
      </c>
      <c r="O130" s="74">
        <f>Table2[[#This Row],[Asset growth A1, under the assumption of full-funding at Year 0]]/(1+Table2[[#This Row],[Compounded CPI]])</f>
        <v>316.85142199702949</v>
      </c>
      <c r="P130" s="74">
        <f>(P129*((1+Table2[Discount rate A1])^0.5)-Table2[Annual benefit payments (closed scheme)])*(1+Table2[Discount rate A1])^0.5</f>
        <v>5.3645341543443953E-13</v>
      </c>
      <c r="Q130" s="74">
        <f>Table2[[#This Row],[Asset growth A1 with benefit payments deducted]]/(1+Table2[Compounded CPI])</f>
        <v>4.308349387802059E-14</v>
      </c>
      <c r="R130" s="74">
        <f>Table2[[#This Row],[Asset growth A1 with benefit payments deducted]]/(1+Table2[Compounded discount rate A1])</f>
        <v>8.8277687826018113E-15</v>
      </c>
      <c r="S130" s="73">
        <f>Table2[CPI]+1.7%</f>
        <v>4.4700000000000004E-2</v>
      </c>
      <c r="T130" s="72">
        <f t="shared" si="32"/>
        <v>56.718648168919295</v>
      </c>
      <c r="U130" s="17">
        <f>Table2[[#This Row],[Annual benefit payments (closed scheme)]]/((1+T129)*(1+Table2[[#This Row],[Discount rate A2]])^0.5)+U129</f>
        <v>67.511306032910724</v>
      </c>
      <c r="V130" s="74">
        <f>V129*(1+Table2[Discount rate A2])</f>
        <v>3896.6613203378088</v>
      </c>
      <c r="W130" s="74">
        <f>Table2[[#This Row],[Asset growth A2, under the assumption of full-funding at Year 0]]/(1+Table2[Compounded CPI])</f>
        <v>312.94755389624436</v>
      </c>
      <c r="X130" s="74">
        <f>(X129*((1+Table2[Discount rate A2])^0.5)-Table2[Annual benefit payments (closed scheme)])*(1+Table2[Discount rate A2])^0.5</f>
        <v>1.6798533642039719E-12</v>
      </c>
      <c r="Y130" s="74">
        <f>Table2[[#This Row],[Asset growth A2 with benefit payments deducted]]/(1+Table2[[#This Row],[Compounded CPI]])</f>
        <v>1.3491190483714799E-13</v>
      </c>
      <c r="Z130" s="78">
        <f>Table2[[#This Row],[Asset growth A2 with benefit payments deducted]]/(1+Table2[Compounded discount rate A2])</f>
        <v>2.9104170272451911E-14</v>
      </c>
      <c r="AA130" s="109">
        <f>Table2[CPI]+2.8%</f>
        <v>5.57E-2</v>
      </c>
      <c r="AB130" s="72">
        <f t="shared" si="33"/>
        <v>156.24972543029307</v>
      </c>
      <c r="AC130" s="74">
        <f>Table2[[#This Row],[Annual benefit payments (closed scheme)]]/((1+AB129)*(1+Table2[[#This Row],[Discount rate B]])^0.5)+AC129</f>
        <v>60.426898501081197</v>
      </c>
      <c r="AD130" s="110">
        <f>AD129*(1+Table2[Discount rate B])</f>
        <v>9434.9835258175845</v>
      </c>
      <c r="AE130" s="71">
        <f>Table2[[#This Row],[Asset growth B]]/(1+Table2[Compounded CPI])</f>
        <v>757.73970913130449</v>
      </c>
      <c r="AF130" s="74">
        <f>(AF129*((1+Table2[Discount rate B])^0.5)-Table2[Annual benefit payments (closed scheme)])*(1+Table2[Discount rate B])^0.5</f>
        <v>-67.12967208162199</v>
      </c>
      <c r="AG130" s="74">
        <f>Table2[[#This Row],[Asset growth B with benefit payments deducted]]/(1+Table2[Compounded CPI])</f>
        <v>-5.3912991006309419</v>
      </c>
      <c r="AH130" s="78">
        <f>Table2[[#This Row],[Asset growth B with benefit payments deducted]]/(1+Table2[Compounded discount rate B])</f>
        <v>-0.42689850108119759</v>
      </c>
      <c r="AI130" s="75">
        <f>Table2[CPI]+2.56%</f>
        <v>5.33E-2</v>
      </c>
      <c r="AJ130" s="72">
        <f t="shared" si="34"/>
        <v>156.06001385023768</v>
      </c>
      <c r="AK130" s="74">
        <f>Table2[[#This Row],[Annual benefit payments (closed scheme)]]/((1+AJ129)*(1+Table2[[#This Row],[Discount rate C]])^0.5)+AK129</f>
        <v>52.353435276202354</v>
      </c>
      <c r="AL130" s="74">
        <f>AL129*(1+Table2[Discount rate C])</f>
        <v>9423.6008310142606</v>
      </c>
      <c r="AM130" s="74">
        <f>Table2[[#This Row],[Asset growth C]]/(1+Table2[Compounded CPI])</f>
        <v>756.82554538890895</v>
      </c>
      <c r="AN130" s="74">
        <f>(AN129*((1+Table2[Discount rate C])^0.5)-Table2[Annual benefit payments (closed scheme)])*(1+Table2[Discount rate C])^0.5</f>
        <v>1200.969561426386</v>
      </c>
      <c r="AO130" s="74">
        <f>Table2[[#This Row],[Asset growth C with benefit payments deducted]]/(1+Table2[Compounded CPI])</f>
        <v>96.451925290661535</v>
      </c>
      <c r="AP130" s="78">
        <f>Table2[[#This Row],[Asset growth C with benefit payments deducted]]/(1+Table2[Compounded discount rate C])</f>
        <v>7.6465647237975753</v>
      </c>
      <c r="AQ130" s="75">
        <f>Table2[CPI]+2.56%</f>
        <v>5.33E-2</v>
      </c>
      <c r="AR130" s="72">
        <f t="shared" si="35"/>
        <v>146.01871548915037</v>
      </c>
      <c r="AS130" s="74">
        <f>Table2[[#This Row],[Annual benefit payments (closed scheme)]]/((1+AR129)*(1+Table2[[#This Row],[Discount rate D]])^0.5)+AS129</f>
        <v>54.852927873175936</v>
      </c>
      <c r="AT130" s="71">
        <f>AT129*(1+Table2[Discount rate D])</f>
        <v>8821.122929349016</v>
      </c>
      <c r="AU130" s="74">
        <f>Table2[[#This Row],[Asset growth D]]/(1+Table2[Compounded CPI])</f>
        <v>708.43951178146813</v>
      </c>
      <c r="AV130" s="74">
        <f>(AV129*((1+Table2[Discount rate D])^0.5)-Table2[Annual benefit payments (closed scheme)])*(1+Table2[Discount rate D])^0.5</f>
        <v>756.71593261567602</v>
      </c>
      <c r="AW130" s="74">
        <f>Table2[[#This Row],[Asset growth D with benefit payments deducted]]/(1+Table2[Compounded CPI])</f>
        <v>60.773154410520178</v>
      </c>
      <c r="AX130" s="78">
        <f>Table2[[#This Row],[Asset growth D with benefit payments deducted]]/(1+Table2[Compounded discount rate D])</f>
        <v>5.1470721268240158</v>
      </c>
      <c r="AY130" s="75">
        <f>Table2[CPI]+4%</f>
        <v>6.7699999999999996E-2</v>
      </c>
      <c r="AZ130" s="72">
        <f t="shared" si="36"/>
        <v>541.34699762070852</v>
      </c>
      <c r="BA130" s="74">
        <f>Table2[[#This Row],[Annual benefit payments (closed scheme)]]/((1+AZ129)*(1+Table2[[#This Row],[Discount rate E]])^0.5)+BA129</f>
        <v>48.297580675656633</v>
      </c>
      <c r="BB130" s="17">
        <f>BB129*(1+Table2[Discount rate E])</f>
        <v>32540.819857242561</v>
      </c>
      <c r="BC130" s="71">
        <f>Table2[[#This Row],[Asset growth E]]/(1+Table2[Compounded CPI])</f>
        <v>2613.4090542976833</v>
      </c>
      <c r="BD130" s="74">
        <f>(BD129*((1+Table2[Discount rate E])^0.5)-Table2[Annual benefit payments (closed scheme)])*(1+Table2[Discount rate E])^0.5</f>
        <v>6346.7719854561583</v>
      </c>
      <c r="BE130" s="74">
        <f>Table2[[#This Row],[Asset growth E with benefit payments deducted]]/(1+Table2[Compounded CPI])</f>
        <v>509.7201436571159</v>
      </c>
      <c r="BF130" s="78">
        <f>Table2[[#This Row],[Asset growth E with benefit payments deducted]]/(1+Table2[Compounded discount rate E])</f>
        <v>11.702419324343317</v>
      </c>
      <c r="BG130" s="75">
        <f>Table2[[#This Row],[Long-dated forward gilt yields]]+0.75%</f>
        <v>2.5600000000000001E-2</v>
      </c>
      <c r="BH130" s="75">
        <f t="shared" si="37"/>
        <v>11.704348597506497</v>
      </c>
      <c r="BI130" s="17">
        <f>((Table2[[#This Row],[Annual benefit payments (closed scheme)]])*1.005^(Table2[[#This Row],[Year]]-2018))/((1+BH129)*(1+Table2[[#This Row],[Discount rate F]])^0.5)+BI129</f>
        <v>82.34349485762877</v>
      </c>
      <c r="BJ130" s="74">
        <f>BJ129*(1+Table2[Discount rate F])</f>
        <v>1046.1204634082997</v>
      </c>
      <c r="BK130" s="74">
        <f>Table2[[#This Row],[Asset growth F, under the assumption of full-funding at Year 0]]/(1+Table2[[#This Row],[Compounded CPI]])</f>
        <v>84.015728643322717</v>
      </c>
      <c r="BL130" s="74">
        <f>(BL129*((1+Table2[Discount rate F])^0.5)-Table2[Annual benefit payments (closed scheme)]*1.005^(Table2[Year]-2018))*(1+Table2[Discount rate F])^0.5</f>
        <v>-3.2171207717776696E-13</v>
      </c>
      <c r="BM130" s="74">
        <f>Table2[[#This Row],[Asset growth F with benefit payments deducted]]/(1+Table2[Compounded CPI])</f>
        <v>-2.5837248694462853E-14</v>
      </c>
      <c r="BN130" s="78">
        <f>Table2[[#This Row],[Asset growth F with benefit payments deducted]]/(1+Table2[Compounded discount rate F])</f>
        <v>-2.5322988794632879E-14</v>
      </c>
      <c r="BO130" s="18">
        <f>(1+BO129)*(1+Table2[Discount rate A2])-1</f>
        <v>31.461271370161633</v>
      </c>
      <c r="BP130" s="74">
        <f>Table2[[#This Row],[Annual benefit payments (ongoing scheme)]]/((1+BO129)*(1+Table2[[#This Row],[Discount rate A2]])^0.5)+BP129</f>
        <v>112.5091731857294</v>
      </c>
      <c r="BQ130" s="74">
        <f>(BQ129*((1+Table2[Discount rate A2])^0.5)-Table2[Annual benefit payments (ongoing scheme)])*(1+Table2[Discount rate A2])^0.5</f>
        <v>1.2999123874398974E-13</v>
      </c>
      <c r="BR130" s="18">
        <f>(1+BR129)*(1+Table2[Discount rate B])-1</f>
        <v>79.140328189763522</v>
      </c>
      <c r="BS130" s="74">
        <f>Table2[[#This Row],[Annual benefit payments (ongoing scheme)]]/((1+BR129)*(1+Table2[[#This Row],[Discount rate B]])^0.5)+BS129</f>
        <v>93.512942296053311</v>
      </c>
      <c r="BT130" s="18">
        <f>(1+BT129)*(1+Table2[Discount rate E])-1</f>
        <v>211.50295912372059</v>
      </c>
      <c r="BU130" s="74">
        <f>Table2[[#This Row],[Annual benefit payments (ongoing scheme)]]/((1+BT129)*(1+Table2[[#This Row],[Discount rate E]])^0.5)+BU129</f>
        <v>78.139825166219183</v>
      </c>
      <c r="BV130" s="18">
        <f>Table2[CPI]+0.75%+0.75%</f>
        <v>4.2699999999999995E-2</v>
      </c>
      <c r="BW130" s="18">
        <f>(1+BW129)*(1+Table2[Self-sufficiency discount rate, from 2037])-1</f>
        <v>26.514349432382772</v>
      </c>
      <c r="BX130" s="17">
        <f>(Table2[[#This Row],[Annual benefit payments (ongoing scheme)]]*1.005^(Table2[[#This Row],[Year]]-2038))/((1+BW129)*(1+Table2[[#This Row],[Self-sufficiency discount rate, from 2037]])^0.5)+BX129</f>
        <v>128.05052145331271</v>
      </c>
      <c r="BY130" s="74">
        <f>(BY129*((1+Table2[Self-sufficiency discount rate, from 2037])^0.5)-Table2[Annual benefit payments (ongoing scheme)]*1.005^(Table2[Year]-2038))*(1+Table2[Self-sufficiency discount rate, from 2037])^0.5</f>
        <v>-3.7292551297155509E-12</v>
      </c>
      <c r="BZ130" s="74">
        <f>(BZ129*((1+Table2[Discount rate B])^0.5)-Table2[Annual benefit payments (ongoing scheme)])*(1+Table2[Discount rate B])^0.5</f>
        <v>-3.0168043946311264E-12</v>
      </c>
      <c r="CA130" s="74">
        <f>(CA129*((1+Table2[Discount rate A2])^0.5)+Table2[Net cashflow (ongoing scheme)])*(1+Table2[Discount rate A2])^0.5</f>
        <v>-10.74355310292156</v>
      </c>
      <c r="CB130" s="74">
        <f>Table2[[#This Row],[Asset growth, ongoing scheme, with November de-risking, net of contributions and payments]]/(1+Table2[Compounded discount rate A2])</f>
        <v>-0.18613660305209326</v>
      </c>
      <c r="CC130" s="74">
        <f>Table2[[#This Row],[Asset growth, ongoing scheme, with November de-risking, net of contributions and payments]]/(1+Table2[Compounded CPI])</f>
        <v>-0.86283317622847333</v>
      </c>
      <c r="CD130" s="74">
        <f>(CD129*((1+Table2[Discount rate A1])^0.5)+Table2[Net cashflow (ongoing scheme)])*(1+Table2[Discount rate A1])^0.5</f>
        <v>175.66929173944624</v>
      </c>
      <c r="CE130" s="74">
        <f>Table2[[#This Row],[Asset growth, ongoing scheme, with September de-risking, net of contributions and payments]]/(1+Table2[Compounded discount rate A1])</f>
        <v>2.8907782951169865</v>
      </c>
      <c r="CF130" s="74">
        <f>Table2[[#This Row],[Asset growth, ongoing scheme, with September de-risking, net of contributions and payments]]/(1+Table2[Compounded CPI])</f>
        <v>14.108302114328868</v>
      </c>
      <c r="CG130" s="74">
        <f>(CG129*((1+Table2[Discount rate B])^0.5)+Table2[Net cashflow (ongoing scheme)])*(1+Table2[Discount rate B])^0.5</f>
        <v>2406.8338042817913</v>
      </c>
      <c r="CH130" s="74">
        <f>Table2[[#This Row],[Asset growth, ongoing scheme, no de-risking, net of contributions and payments]]/(1+Table2[Compounded discount rate B])</f>
        <v>15.305806084530889</v>
      </c>
      <c r="CI130" s="74">
        <f>Table2[[#This Row],[Asset growth, ongoing scheme, no de-risking, net of contributions and payments]]/(1+Table2[Compounded CPI])</f>
        <v>193.29695084187642</v>
      </c>
      <c r="CJ130" s="74">
        <f>(CJ129*((1+Table2[Discount rate E])^0.5)+Table2[Net cashflow (ongoing scheme)])*(1+Table2[Discount rate E])^0.5</f>
        <v>17320.031578455772</v>
      </c>
      <c r="CK130" s="74">
        <f>Table2[[#This Row],[Asset growth, ongoing scheme, best-estimates, no de-risking, net of contributions and payments ]]/(1+Table2[Compounded discount rate E])</f>
        <v>31.935332277009433</v>
      </c>
      <c r="CL130" s="74">
        <f>Table2[[#This Row],[Asset growth, ongoing scheme, best-estimates, no de-risking, net of contributions and payments ]]/(1+Table2[Compounded CPI])</f>
        <v>1391.001442079023</v>
      </c>
      <c r="CM130" s="73">
        <f t="shared" si="24"/>
        <v>2.7699999999999999E-2</v>
      </c>
      <c r="CN130" s="75">
        <f>(1+Table2[[#This Row],[CPI]])*(1+CN129)-1</f>
        <v>11.451483553150636</v>
      </c>
      <c r="CO130" s="11">
        <f t="shared" si="23"/>
        <v>1.8100000000000002E-2</v>
      </c>
      <c r="CP130" s="75">
        <f>Table2[[#This Row],[CPI]]+2%</f>
        <v>4.7699999999999999E-2</v>
      </c>
      <c r="CQ130" s="76">
        <f>(1+Table2[[#This Row],[Salary growth]])*(1+CQ129)-1</f>
        <v>92.974494706930159</v>
      </c>
      <c r="CR130" s="77">
        <f t="shared" si="39"/>
        <v>124.51483553150632</v>
      </c>
      <c r="CS130" s="74">
        <f t="shared" si="40"/>
        <v>161.86928619095835</v>
      </c>
      <c r="CT130" s="74">
        <f>CT129*(1+Table2[[#This Row],[Salary growth]])</f>
        <v>939.74494706930182</v>
      </c>
      <c r="CU130" s="78">
        <f t="shared" si="38"/>
        <v>1221.6684311900915</v>
      </c>
      <c r="CV130" s="116">
        <f>('Cash flows as at 31032017'!B115)/1000000000</f>
        <v>0</v>
      </c>
      <c r="CW130" s="117">
        <v>0</v>
      </c>
      <c r="CX130" s="117">
        <f>Table2[[#This Row],[Annual contributions (closed scheme)]]-Table2[[#This Row],[Annual benefit payments (closed scheme)]]</f>
        <v>0</v>
      </c>
      <c r="CY130" s="117">
        <v>0</v>
      </c>
      <c r="CZ130" s="117">
        <v>0</v>
      </c>
      <c r="DA130" s="117">
        <v>0</v>
      </c>
    </row>
    <row r="131" spans="1:105" x14ac:dyDescent="0.2">
      <c r="A131" s="7">
        <v>2124</v>
      </c>
      <c r="E131" s="6">
        <v>6.0999999999999999E-2</v>
      </c>
      <c r="F131" s="1">
        <f>F130*(1+Table2[[#This Row],[2008 discount rate]])</f>
        <v>32406.053404167364</v>
      </c>
      <c r="G131" s="1">
        <v>33.061</v>
      </c>
      <c r="H131">
        <f>H130*(1+Table2[[#This Row],[2011 discount rate]])</f>
        <v>1.3460000243792713E+42</v>
      </c>
      <c r="I131" s="1">
        <v>33.052</v>
      </c>
      <c r="J131" s="1">
        <f>J130*(1+Table2[[#This Row],[2014 discount rate]])</f>
        <v>7.1705704083765723E+41</v>
      </c>
      <c r="K131" s="9">
        <f>Table2[CPI]+1.7%</f>
        <v>4.4700000000000004E-2</v>
      </c>
      <c r="L131" s="108">
        <f t="shared" si="21"/>
        <v>62.485224512097204</v>
      </c>
      <c r="M131" s="17">
        <f>Table2[[#This Row],[Annual benefit payments (closed scheme)]]/((1+L130)*(1+Table2[[#This Row],[Discount rate A1]])^0.5)+M130</f>
        <v>64.922568716167319</v>
      </c>
      <c r="N131" s="74">
        <f>N130*(1+Table2[Discount rate A1])</f>
        <v>4121.6238508479455</v>
      </c>
      <c r="O131" s="74">
        <f>Table2[[#This Row],[Asset growth A1, under the assumption of full-funding at Year 0]]/(1+Table2[[#This Row],[Compounded CPI]])</f>
        <v>322.09271242609384</v>
      </c>
      <c r="P131" s="74">
        <f>(P130*((1+Table2[Discount rate A1])^0.5)-Table2[Annual benefit payments (closed scheme)])*(1+Table2[Discount rate A1])^0.5</f>
        <v>5.6043288310435901E-13</v>
      </c>
      <c r="Q131" s="74">
        <f>Table2[[#This Row],[Asset growth A1 with benefit payments deducted]]/(1+Table2[Compounded CPI])</f>
        <v>4.3796172087543171E-14</v>
      </c>
      <c r="R131" s="74">
        <f>Table2[[#This Row],[Asset growth A1 with benefit payments deducted]]/(1+Table2[Compounded discount rate A1])</f>
        <v>8.8277687826018113E-15</v>
      </c>
      <c r="S131" s="73">
        <f>Table2[CPI]+1.7%</f>
        <v>4.4700000000000004E-2</v>
      </c>
      <c r="T131" s="72">
        <f t="shared" si="32"/>
        <v>59.298671742069985</v>
      </c>
      <c r="U131" s="17">
        <f>Table2[[#This Row],[Annual benefit payments (closed scheme)]]/((1+T130)*(1+Table2[[#This Row],[Discount rate A2]])^0.5)+U130</f>
        <v>67.511306032910724</v>
      </c>
      <c r="V131" s="74">
        <f>V130*(1+Table2[Discount rate A2])</f>
        <v>4070.8420813569087</v>
      </c>
      <c r="W131" s="74">
        <f>Table2[[#This Row],[Asset growth A2, under the assumption of full-funding at Year 0]]/(1+Table2[Compounded CPI])</f>
        <v>318.12426734981653</v>
      </c>
      <c r="X131" s="74">
        <f>(X130*((1+Table2[Discount rate A2])^0.5)-Table2[Annual benefit payments (closed scheme)])*(1+Table2[Discount rate A2])^0.5</f>
        <v>1.7549428095838893E-12</v>
      </c>
      <c r="Y131" s="74">
        <f>Table2[[#This Row],[Asset growth A2 with benefit payments deducted]]/(1+Table2[[#This Row],[Compounded CPI]])</f>
        <v>1.3714358955275712E-13</v>
      </c>
      <c r="Z131" s="78">
        <f>Table2[[#This Row],[Asset growth A2 with benefit payments deducted]]/(1+Table2[Compounded discount rate A2])</f>
        <v>2.9104170272451911E-14</v>
      </c>
      <c r="AA131" s="109">
        <f>Table2[CPI]+2.8%</f>
        <v>5.57E-2</v>
      </c>
      <c r="AB131" s="72">
        <f t="shared" si="33"/>
        <v>165.0085351367604</v>
      </c>
      <c r="AC131" s="74">
        <f>Table2[[#This Row],[Annual benefit payments (closed scheme)]]/((1+AB130)*(1+Table2[[#This Row],[Discount rate B]])^0.5)+AC130</f>
        <v>60.426898501081197</v>
      </c>
      <c r="AD131" s="110">
        <f>AD130*(1+Table2[Discount rate B])</f>
        <v>9960.5121082056248</v>
      </c>
      <c r="AE131" s="71">
        <f>Table2[[#This Row],[Asset growth B]]/(1+Table2[Compounded CPI])</f>
        <v>778.38455865516994</v>
      </c>
      <c r="AF131" s="74">
        <f>(AF130*((1+Table2[Discount rate B])^0.5)-Table2[Annual benefit payments (closed scheme)])*(1+Table2[Discount rate B])^0.5</f>
        <v>-70.868794816568325</v>
      </c>
      <c r="AG131" s="74">
        <f>Table2[[#This Row],[Asset growth B with benefit payments deducted]]/(1+Table2[Compounded CPI])</f>
        <v>-5.538186689244025</v>
      </c>
      <c r="AH131" s="78">
        <f>Table2[[#This Row],[Asset growth B with benefit payments deducted]]/(1+Table2[Compounded discount rate B])</f>
        <v>-0.42689850108119753</v>
      </c>
      <c r="AI131" s="75">
        <f>Table2[CPI]+2.56%</f>
        <v>5.33E-2</v>
      </c>
      <c r="AJ131" s="72">
        <f t="shared" si="34"/>
        <v>164.43131258845534</v>
      </c>
      <c r="AK131" s="74">
        <f>Table2[[#This Row],[Annual benefit payments (closed scheme)]]/((1+AJ130)*(1+Table2[[#This Row],[Discount rate C]])^0.5)+AK130</f>
        <v>52.353435276202354</v>
      </c>
      <c r="AL131" s="74">
        <f>AL130*(1+Table2[Discount rate C])</f>
        <v>9925.8787553073198</v>
      </c>
      <c r="AM131" s="74">
        <f>Table2[[#This Row],[Asset growth C]]/(1+Table2[Compounded CPI])</f>
        <v>775.67806456956089</v>
      </c>
      <c r="AN131" s="74">
        <f>(AN130*((1+Table2[Discount rate C])^0.5)-Table2[Annual benefit payments (closed scheme)])*(1+Table2[Discount rate C])^0.5</f>
        <v>1264.9812390504121</v>
      </c>
      <c r="AO131" s="74">
        <f>Table2[[#This Row],[Asset growth C with benefit payments deducted]]/(1+Table2[Compounded CPI])</f>
        <v>98.854542092686359</v>
      </c>
      <c r="AP131" s="78">
        <f>Table2[[#This Row],[Asset growth C with benefit payments deducted]]/(1+Table2[Compounded discount rate C])</f>
        <v>7.6465647237975736</v>
      </c>
      <c r="AQ131" s="75">
        <f>Table2[CPI]+2.56%</f>
        <v>5.33E-2</v>
      </c>
      <c r="AR131" s="72">
        <f t="shared" si="35"/>
        <v>153.85481302472206</v>
      </c>
      <c r="AS131" s="74">
        <f>Table2[[#This Row],[Annual benefit payments (closed scheme)]]/((1+AR130)*(1+Table2[[#This Row],[Discount rate D]])^0.5)+AS130</f>
        <v>54.852927873175936</v>
      </c>
      <c r="AT131" s="71">
        <f>AT130*(1+Table2[Discount rate D])</f>
        <v>9291.2887814833175</v>
      </c>
      <c r="AU131" s="74">
        <f>Table2[[#This Row],[Asset growth D]]/(1+Table2[Compounded CPI])</f>
        <v>726.08673519453168</v>
      </c>
      <c r="AV131" s="74">
        <f>(AV130*((1+Table2[Discount rate D])^0.5)-Table2[Annual benefit payments (closed scheme)])*(1+Table2[Discount rate D])^0.5</f>
        <v>797.04889182409136</v>
      </c>
      <c r="AW131" s="74">
        <f>Table2[[#This Row],[Asset growth D with benefit payments deducted]]/(1+Table2[Compounded CPI])</f>
        <v>62.287013272940435</v>
      </c>
      <c r="AX131" s="78">
        <f>Table2[[#This Row],[Asset growth D with benefit payments deducted]]/(1+Table2[Compounded discount rate D])</f>
        <v>5.1470721268240149</v>
      </c>
      <c r="AY131" s="75">
        <f>Table2[CPI]+4%</f>
        <v>6.7699999999999996E-2</v>
      </c>
      <c r="AZ131" s="72">
        <f t="shared" si="36"/>
        <v>578.06388935963059</v>
      </c>
      <c r="BA131" s="74">
        <f>Table2[[#This Row],[Annual benefit payments (closed scheme)]]/((1+AZ130)*(1+Table2[[#This Row],[Discount rate E]])^0.5)+BA130</f>
        <v>48.297580675656633</v>
      </c>
      <c r="BB131" s="17">
        <f>BB130*(1+Table2[Discount rate E])</f>
        <v>34743.833361577883</v>
      </c>
      <c r="BC131" s="71">
        <f>Table2[[#This Row],[Asset growth E]]/(1+Table2[Compounded CPI])</f>
        <v>2715.1278070192047</v>
      </c>
      <c r="BD131" s="74">
        <f>(BD130*((1+Table2[Discount rate E])^0.5)-Table2[Annual benefit payments (closed scheme)])*(1+Table2[Discount rate E])^0.5</f>
        <v>6776.4484488715398</v>
      </c>
      <c r="BE131" s="74">
        <f>Table2[[#This Row],[Asset growth E with benefit payments deducted]]/(1+Table2[Compounded CPI])</f>
        <v>529.55940194872301</v>
      </c>
      <c r="BF131" s="78">
        <f>Table2[[#This Row],[Asset growth E with benefit payments deducted]]/(1+Table2[Compounded discount rate E])</f>
        <v>11.702419324343314</v>
      </c>
      <c r="BG131" s="75">
        <f>Table2[[#This Row],[Long-dated forward gilt yields]]+0.75%</f>
        <v>2.5600000000000001E-2</v>
      </c>
      <c r="BH131" s="75">
        <f t="shared" si="37"/>
        <v>12.029579921602664</v>
      </c>
      <c r="BI131" s="17">
        <f>((Table2[[#This Row],[Annual benefit payments (closed scheme)]])*1.005^(Table2[[#This Row],[Year]]-2018))/((1+BH130)*(1+Table2[[#This Row],[Discount rate F]])^0.5)+BI130</f>
        <v>82.34349485762877</v>
      </c>
      <c r="BJ131" s="74">
        <f>BJ130*(1+Table2[Discount rate F])</f>
        <v>1072.9011472715522</v>
      </c>
      <c r="BK131" s="74">
        <f>Table2[[#This Row],[Asset growth F, under the assumption of full-funding at Year 0]]/(1+Table2[[#This Row],[Compounded CPI]])</f>
        <v>83.844051081630624</v>
      </c>
      <c r="BL131" s="74">
        <f>(BL130*((1+Table2[Discount rate F])^0.5)-Table2[Annual benefit payments (closed scheme)]*1.005^(Table2[Year]-2018))*(1+Table2[Discount rate F])^0.5</f>
        <v>-3.2994790635351781E-13</v>
      </c>
      <c r="BM131" s="74">
        <f>Table2[[#This Row],[Asset growth F with benefit payments deducted]]/(1+Table2[Compounded CPI])</f>
        <v>-2.5784452915287637E-14</v>
      </c>
      <c r="BN131" s="78">
        <f>Table2[[#This Row],[Asset growth F with benefit payments deducted]]/(1+Table2[Compounded discount rate F])</f>
        <v>-2.5322988794632879E-14</v>
      </c>
      <c r="BO131" s="18">
        <f>(1+BO130)*(1+Table2[Discount rate A2])-1</f>
        <v>32.91229020040786</v>
      </c>
      <c r="BP131" s="74">
        <f>Table2[[#This Row],[Annual benefit payments (ongoing scheme)]]/((1+BO130)*(1+Table2[[#This Row],[Discount rate A2]])^0.5)+BP130</f>
        <v>112.5091731857294</v>
      </c>
      <c r="BQ131" s="74">
        <f>(BQ130*((1+Table2[Discount rate A2])^0.5)-Table2[Annual benefit payments (ongoing scheme)])*(1+Table2[Discount rate A2])^0.5</f>
        <v>1.3580184711584607E-13</v>
      </c>
      <c r="BR131" s="18">
        <f>(1+BR130)*(1+Table2[Discount rate B])-1</f>
        <v>83.60414446993336</v>
      </c>
      <c r="BS131" s="74">
        <f>Table2[[#This Row],[Annual benefit payments (ongoing scheme)]]/((1+BR130)*(1+Table2[[#This Row],[Discount rate B]])^0.5)+BS130</f>
        <v>93.512942296053311</v>
      </c>
      <c r="BT131" s="18">
        <f>(1+BT130)*(1+Table2[Discount rate E])-1</f>
        <v>225.88940945639649</v>
      </c>
      <c r="BU131" s="74">
        <f>Table2[[#This Row],[Annual benefit payments (ongoing scheme)]]/((1+BT130)*(1+Table2[[#This Row],[Discount rate E]])^0.5)+BU130</f>
        <v>78.139825166219183</v>
      </c>
      <c r="BV131" s="18">
        <f>Table2[CPI]+0.75%+0.75%</f>
        <v>4.2699999999999995E-2</v>
      </c>
      <c r="BW131" s="18">
        <f>(1+BW130)*(1+Table2[Self-sufficiency discount rate, from 2037])-1</f>
        <v>27.689212153145515</v>
      </c>
      <c r="BX131" s="17">
        <f>(Table2[[#This Row],[Annual benefit payments (ongoing scheme)]]*1.005^(Table2[[#This Row],[Year]]-2038))/((1+BW130)*(1+Table2[[#This Row],[Self-sufficiency discount rate, from 2037]])^0.5)+BX130</f>
        <v>128.05052145331271</v>
      </c>
      <c r="BY131" s="74">
        <f>(BY130*((1+Table2[Self-sufficiency discount rate, from 2037])^0.5)-Table2[Annual benefit payments (ongoing scheme)]*1.005^(Table2[Year]-2038))*(1+Table2[Self-sufficiency discount rate, from 2037])^0.5</f>
        <v>-3.8884943237544039E-12</v>
      </c>
      <c r="BZ131" s="74">
        <f>(BZ130*((1+Table2[Discount rate B])^0.5)-Table2[Annual benefit payments (ongoing scheme)])*(1+Table2[Discount rate B])^0.5</f>
        <v>-3.18484039941208E-12</v>
      </c>
      <c r="CA131" s="74">
        <f>(CA130*((1+Table2[Discount rate A2])^0.5)+Table2[Net cashflow (ongoing scheme)])*(1+Table2[Discount rate A2])^0.5</f>
        <v>-11.223789926622151</v>
      </c>
      <c r="CB131" s="74">
        <f>Table2[[#This Row],[Asset growth, ongoing scheme, with November de-risking, net of contributions and payments]]/(1+Table2[Compounded discount rate A2])</f>
        <v>-0.18613660305209323</v>
      </c>
      <c r="CC131" s="74">
        <f>Table2[[#This Row],[Asset growth, ongoing scheme, with November de-risking, net of contributions and payments]]/(1+Table2[Compounded CPI])</f>
        <v>-0.87710598346393487</v>
      </c>
      <c r="CD131" s="74">
        <f>(CD130*((1+Table2[Discount rate A1])^0.5)+Table2[Net cashflow (ongoing scheme)])*(1+Table2[Discount rate A1])^0.5</f>
        <v>183.52170908019946</v>
      </c>
      <c r="CE131" s="74">
        <f>Table2[[#This Row],[Asset growth, ongoing scheme, with September de-risking, net of contributions and payments]]/(1+Table2[Compounded discount rate A1])</f>
        <v>2.890778295116986</v>
      </c>
      <c r="CF131" s="74">
        <f>Table2[[#This Row],[Asset growth, ongoing scheme, with September de-risking, net of contributions and payments]]/(1+Table2[Compounded CPI])</f>
        <v>14.341678718341312</v>
      </c>
      <c r="CG131" s="74">
        <f>(CG130*((1+Table2[Discount rate B])^0.5)+Table2[Net cashflow (ongoing scheme)])*(1+Table2[Discount rate B])^0.5</f>
        <v>2540.894447180287</v>
      </c>
      <c r="CH131" s="74">
        <f>Table2[[#This Row],[Asset growth, ongoing scheme, no de-risking, net of contributions and payments]]/(1+Table2[Compounded discount rate B])</f>
        <v>15.305806084530888</v>
      </c>
      <c r="CI131" s="74">
        <f>Table2[[#This Row],[Asset growth, ongoing scheme, no de-risking, net of contributions and payments]]/(1+Table2[Compounded CPI])</f>
        <v>198.56338523281983</v>
      </c>
      <c r="CJ131" s="74">
        <f>(CJ130*((1+Table2[Discount rate E])^0.5)+Table2[Net cashflow (ongoing scheme)])*(1+Table2[Discount rate E])^0.5</f>
        <v>18492.597716317225</v>
      </c>
      <c r="CK131" s="74">
        <f>Table2[[#This Row],[Asset growth, ongoing scheme, best-estimates, no de-risking, net of contributions and payments ]]/(1+Table2[Compounded discount rate E])</f>
        <v>31.935332277009422</v>
      </c>
      <c r="CL131" s="74">
        <f>Table2[[#This Row],[Asset growth, ongoing scheme, best-estimates, no de-risking, net of contributions and payments ]]/(1+Table2[Compounded CPI])</f>
        <v>1445.141811528435</v>
      </c>
      <c r="CM131" s="73">
        <f t="shared" si="24"/>
        <v>2.7699999999999999E-2</v>
      </c>
      <c r="CN131" s="75">
        <f>(1+Table2[[#This Row],[CPI]])*(1+CN130)-1</f>
        <v>11.796389647572909</v>
      </c>
      <c r="CO131" s="11">
        <f t="shared" si="23"/>
        <v>1.8100000000000002E-2</v>
      </c>
      <c r="CP131" s="75">
        <f>Table2[[#This Row],[CPI]]+2%</f>
        <v>4.7699999999999999E-2</v>
      </c>
      <c r="CQ131" s="76">
        <f>(1+Table2[[#This Row],[Salary growth]])*(1+CQ130)-1</f>
        <v>97.45707810445073</v>
      </c>
      <c r="CR131" s="77">
        <f t="shared" si="39"/>
        <v>127.96389647572906</v>
      </c>
      <c r="CS131" s="74">
        <f t="shared" si="40"/>
        <v>166.3530654184479</v>
      </c>
      <c r="CT131" s="74">
        <f>CT130*(1+Table2[[#This Row],[Salary growth]])</f>
        <v>984.57078104450761</v>
      </c>
      <c r="CU131" s="78">
        <f t="shared" si="38"/>
        <v>1279.942015357859</v>
      </c>
      <c r="CV131" s="116">
        <f>('Cash flows as at 31032017'!B116)/1000000000</f>
        <v>0</v>
      </c>
      <c r="CW131" s="117">
        <v>0</v>
      </c>
      <c r="CX131" s="117">
        <f>Table2[[#This Row],[Annual contributions (closed scheme)]]-Table2[[#This Row],[Annual benefit payments (closed scheme)]]</f>
        <v>0</v>
      </c>
      <c r="CY131" s="117">
        <v>0</v>
      </c>
      <c r="CZ131" s="117">
        <v>0</v>
      </c>
      <c r="DA131" s="117">
        <v>0</v>
      </c>
    </row>
    <row r="132" spans="1:105" x14ac:dyDescent="0.2">
      <c r="A132" s="7">
        <v>2125</v>
      </c>
      <c r="E132" s="6">
        <v>6.0999999999999999E-2</v>
      </c>
      <c r="F132" s="1">
        <f>F131*(1+Table2[[#This Row],[2008 discount rate]])</f>
        <v>34382.82266182157</v>
      </c>
      <c r="G132" s="1">
        <v>34.061</v>
      </c>
      <c r="H132">
        <f>H131*(1+Table2[[#This Row],[2011 discount rate]])</f>
        <v>4.7192106854761631E+43</v>
      </c>
      <c r="I132" s="1">
        <v>34.052</v>
      </c>
      <c r="J132" s="1">
        <f>J131*(1+Table2[[#This Row],[2014 discount rate]])</f>
        <v>2.5134283395441562E+43</v>
      </c>
      <c r="K132" s="9">
        <f>Table2[CPI]+1.7%</f>
        <v>4.4700000000000004E-2</v>
      </c>
      <c r="L132" s="108">
        <f t="shared" si="21"/>
        <v>65.32301404778795</v>
      </c>
      <c r="M132" s="17">
        <f>Table2[[#This Row],[Annual benefit payments (closed scheme)]]/((1+L131)*(1+Table2[[#This Row],[Discount rate A1]])^0.5)+M131</f>
        <v>64.922568716167319</v>
      </c>
      <c r="N132" s="74">
        <f>N131*(1+Table2[Discount rate A1])</f>
        <v>4305.8604369808481</v>
      </c>
      <c r="O132" s="74">
        <f>Table2[[#This Row],[Asset growth A1, under the assumption of full-funding at Year 0]]/(1+Table2[[#This Row],[Compounded CPI]])</f>
        <v>327.42070319309158</v>
      </c>
      <c r="P132" s="74">
        <f>(P131*((1+Table2[Discount rate A1])^0.5)-Table2[Annual benefit payments (closed scheme)])*(1+Table2[Discount rate A1])^0.5</f>
        <v>5.854842329791238E-13</v>
      </c>
      <c r="Q132" s="74">
        <f>Table2[[#This Row],[Asset growth A1 with benefit payments deducted]]/(1+Table2[Compounded CPI])</f>
        <v>4.4520639272021354E-14</v>
      </c>
      <c r="R132" s="74">
        <f>Table2[[#This Row],[Asset growth A1 with benefit payments deducted]]/(1+Table2[Compounded discount rate A1])</f>
        <v>8.8277687826018097E-15</v>
      </c>
      <c r="S132" s="73">
        <f>Table2[CPI]+1.7%</f>
        <v>4.4700000000000004E-2</v>
      </c>
      <c r="T132" s="72">
        <f t="shared" si="32"/>
        <v>61.994022368940513</v>
      </c>
      <c r="U132" s="17">
        <f>Table2[[#This Row],[Annual benefit payments (closed scheme)]]/((1+T131)*(1+Table2[[#This Row],[Discount rate A2]])^0.5)+U131</f>
        <v>67.511306032910724</v>
      </c>
      <c r="V132" s="74">
        <f>V131*(1+Table2[Discount rate A2])</f>
        <v>4252.8087223935627</v>
      </c>
      <c r="W132" s="74">
        <f>Table2[[#This Row],[Asset growth A2, under the assumption of full-funding at Year 0]]/(1+Table2[Compounded CPI])</f>
        <v>323.38661292240278</v>
      </c>
      <c r="X132" s="74">
        <f>(X131*((1+Table2[Discount rate A2])^0.5)-Table2[Annual benefit payments (closed scheme)])*(1+Table2[Discount rate A2])^0.5</f>
        <v>1.8333887531722888E-12</v>
      </c>
      <c r="Y132" s="74">
        <f>Table2[[#This Row],[Asset growth A2 with benefit payments deducted]]/(1+Table2[[#This Row],[Compounded CPI]])</f>
        <v>1.3941219033352664E-13</v>
      </c>
      <c r="Z132" s="78">
        <f>Table2[[#This Row],[Asset growth A2 with benefit payments deducted]]/(1+Table2[Compounded discount rate A2])</f>
        <v>2.9104170272451905E-14</v>
      </c>
      <c r="AA132" s="109">
        <f>Table2[CPI]+2.8%</f>
        <v>5.57E-2</v>
      </c>
      <c r="AB132" s="72">
        <f t="shared" si="33"/>
        <v>174.25521054387798</v>
      </c>
      <c r="AC132" s="74">
        <f>Table2[[#This Row],[Annual benefit payments (closed scheme)]]/((1+AB131)*(1+Table2[[#This Row],[Discount rate B]])^0.5)+AC131</f>
        <v>60.426898501081197</v>
      </c>
      <c r="AD132" s="110">
        <f>AD131*(1+Table2[Discount rate B])</f>
        <v>10515.312632632678</v>
      </c>
      <c r="AE132" s="71">
        <f>Table2[[#This Row],[Asset growth B]]/(1+Table2[Compounded CPI])</f>
        <v>799.59188340202684</v>
      </c>
      <c r="AF132" s="74">
        <f>(AF131*((1+Table2[Discount rate B])^0.5)-Table2[Annual benefit payments (closed scheme)])*(1+Table2[Discount rate B])^0.5</f>
        <v>-74.816186687851172</v>
      </c>
      <c r="AG132" s="74">
        <f>Table2[[#This Row],[Asset growth B with benefit payments deducted]]/(1+Table2[Compounded CPI])</f>
        <v>-5.689076275016947</v>
      </c>
      <c r="AH132" s="78">
        <f>Table2[[#This Row],[Asset growth B with benefit payments deducted]]/(1+Table2[Compounded discount rate B])</f>
        <v>-0.42689850108119742</v>
      </c>
      <c r="AI132" s="75">
        <f>Table2[CPI]+2.56%</f>
        <v>5.33E-2</v>
      </c>
      <c r="AJ132" s="72">
        <f t="shared" si="34"/>
        <v>173.24880154941999</v>
      </c>
      <c r="AK132" s="74">
        <f>Table2[[#This Row],[Annual benefit payments (closed scheme)]]/((1+AJ131)*(1+Table2[[#This Row],[Discount rate C]])^0.5)+AK131</f>
        <v>52.353435276202354</v>
      </c>
      <c r="AL132" s="74">
        <f>AL131*(1+Table2[Discount rate C])</f>
        <v>10454.9280929652</v>
      </c>
      <c r="AM132" s="74">
        <f>Table2[[#This Row],[Asset growth C]]/(1+Table2[Compounded CPI])</f>
        <v>795.00019987459234</v>
      </c>
      <c r="AN132" s="74">
        <f>(AN131*((1+Table2[Discount rate C])^0.5)-Table2[Annual benefit payments (closed scheme)])*(1+Table2[Discount rate C])^0.5</f>
        <v>1332.4047390917988</v>
      </c>
      <c r="AO132" s="74">
        <f>Table2[[#This Row],[Asset growth C with benefit payments deducted]]/(1+Table2[Compounded CPI])</f>
        <v>101.31700806288461</v>
      </c>
      <c r="AP132" s="78">
        <f>Table2[[#This Row],[Asset growth C with benefit payments deducted]]/(1+Table2[Compounded discount rate C])</f>
        <v>7.6465647237975727</v>
      </c>
      <c r="AQ132" s="75">
        <f>Table2[CPI]+2.56%</f>
        <v>5.33E-2</v>
      </c>
      <c r="AR132" s="72">
        <f t="shared" si="35"/>
        <v>162.10857455893972</v>
      </c>
      <c r="AS132" s="74">
        <f>Table2[[#This Row],[Annual benefit payments (closed scheme)]]/((1+AR131)*(1+Table2[[#This Row],[Discount rate D]])^0.5)+AS131</f>
        <v>54.852927873175936</v>
      </c>
      <c r="AT132" s="71">
        <f>AT131*(1+Table2[Discount rate D])</f>
        <v>9786.5144735363774</v>
      </c>
      <c r="AU132" s="74">
        <f>Table2[[#This Row],[Asset growth D]]/(1+Table2[Compounded CPI])</f>
        <v>744.17355082261372</v>
      </c>
      <c r="AV132" s="74">
        <f>(AV131*((1+Table2[Discount rate D])^0.5)-Table2[Annual benefit payments (closed scheme)])*(1+Table2[Discount rate D])^0.5</f>
        <v>839.53159775831523</v>
      </c>
      <c r="AW132" s="74">
        <f>Table2[[#This Row],[Asset growth D with benefit payments deducted]]/(1+Table2[Compounded CPI])</f>
        <v>63.838582349312198</v>
      </c>
      <c r="AX132" s="78">
        <f>Table2[[#This Row],[Asset growth D with benefit payments deducted]]/(1+Table2[Compounded discount rate D])</f>
        <v>5.1470721268240149</v>
      </c>
      <c r="AY132" s="75">
        <f>Table2[CPI]+4%</f>
        <v>6.7699999999999996E-2</v>
      </c>
      <c r="AZ132" s="72">
        <f t="shared" si="36"/>
        <v>617.26651466927763</v>
      </c>
      <c r="BA132" s="74">
        <f>Table2[[#This Row],[Annual benefit payments (closed scheme)]]/((1+AZ131)*(1+Table2[[#This Row],[Discount rate E]])^0.5)+BA131</f>
        <v>48.297580675656633</v>
      </c>
      <c r="BB132" s="17">
        <f>BB131*(1+Table2[Discount rate E])</f>
        <v>37095.990880156707</v>
      </c>
      <c r="BC132" s="71">
        <f>Table2[[#This Row],[Asset growth E]]/(1+Table2[Compounded CPI])</f>
        <v>2820.8056432367471</v>
      </c>
      <c r="BD132" s="74">
        <f>(BD131*((1+Table2[Discount rate E])^0.5)-Table2[Annual benefit payments (closed scheme)])*(1+Table2[Discount rate E])^0.5</f>
        <v>7235.2140088601427</v>
      </c>
      <c r="BE132" s="74">
        <f>Table2[[#This Row],[Asset growth E with benefit payments deducted]]/(1+Table2[Compounded CPI])</f>
        <v>550.17084116050546</v>
      </c>
      <c r="BF132" s="78">
        <f>Table2[[#This Row],[Asset growth E with benefit payments deducted]]/(1+Table2[Compounded discount rate E])</f>
        <v>11.702419324343312</v>
      </c>
      <c r="BG132" s="75">
        <f>Table2[[#This Row],[Long-dated forward gilt yields]]+0.75%</f>
        <v>2.5600000000000001E-2</v>
      </c>
      <c r="BH132" s="75">
        <f t="shared" si="37"/>
        <v>12.363137167595694</v>
      </c>
      <c r="BI132" s="17">
        <f>((Table2[[#This Row],[Annual benefit payments (closed scheme)]])*1.005^(Table2[[#This Row],[Year]]-2018))/((1+BH131)*(1+Table2[[#This Row],[Discount rate F]])^0.5)+BI131</f>
        <v>82.34349485762877</v>
      </c>
      <c r="BJ132" s="74">
        <f>BJ131*(1+Table2[Discount rate F])</f>
        <v>1100.367416641704</v>
      </c>
      <c r="BK132" s="74">
        <f>Table2[[#This Row],[Asset growth F, under the assumption of full-funding at Year 0]]/(1+Table2[[#This Row],[Compounded CPI]])</f>
        <v>83.672724325503907</v>
      </c>
      <c r="BL132" s="74">
        <f>(BL131*((1+Table2[Discount rate F])^0.5)-Table2[Annual benefit payments (closed scheme)]*1.005^(Table2[Year]-2018))*(1+Table2[Discount rate F])^0.5</f>
        <v>-3.3839457275616788E-13</v>
      </c>
      <c r="BM132" s="74">
        <f>Table2[[#This Row],[Asset growth F with benefit payments deducted]]/(1+Table2[Compounded CPI])</f>
        <v>-2.5731765018895594E-14</v>
      </c>
      <c r="BN132" s="78">
        <f>Table2[[#This Row],[Asset growth F with benefit payments deducted]]/(1+Table2[Compounded discount rate F])</f>
        <v>-2.5322988794632879E-14</v>
      </c>
      <c r="BO132" s="18">
        <f>(1+BO131)*(1+Table2[Discount rate A2])-1</f>
        <v>34.428169572366087</v>
      </c>
      <c r="BP132" s="74">
        <f>Table2[[#This Row],[Annual benefit payments (ongoing scheme)]]/((1+BO131)*(1+Table2[[#This Row],[Discount rate A2]])^0.5)+BP131</f>
        <v>112.5091731857294</v>
      </c>
      <c r="BQ132" s="74">
        <f>(BQ131*((1+Table2[Discount rate A2])^0.5)-Table2[Annual benefit payments (ongoing scheme)])*(1+Table2[Discount rate A2])^0.5</f>
        <v>1.4187218968192437E-13</v>
      </c>
      <c r="BR132" s="18">
        <f>(1+BR131)*(1+Table2[Discount rate B])-1</f>
        <v>88.316595316908661</v>
      </c>
      <c r="BS132" s="74">
        <f>Table2[[#This Row],[Annual benefit payments (ongoing scheme)]]/((1+BR131)*(1+Table2[[#This Row],[Discount rate B]])^0.5)+BS131</f>
        <v>93.512942296053311</v>
      </c>
      <c r="BT132" s="18">
        <f>(1+BT131)*(1+Table2[Discount rate E])-1</f>
        <v>241.24982247659455</v>
      </c>
      <c r="BU132" s="74">
        <f>Table2[[#This Row],[Annual benefit payments (ongoing scheme)]]/((1+BT131)*(1+Table2[[#This Row],[Discount rate E]])^0.5)+BU131</f>
        <v>78.139825166219183</v>
      </c>
      <c r="BV132" s="18">
        <f>Table2[CPI]+0.75%+0.75%</f>
        <v>4.2699999999999995E-2</v>
      </c>
      <c r="BW132" s="18">
        <f>(1+BW131)*(1+Table2[Self-sufficiency discount rate, from 2037])-1</f>
        <v>28.914241512084828</v>
      </c>
      <c r="BX132" s="17">
        <f>(Table2[[#This Row],[Annual benefit payments (ongoing scheme)]]*1.005^(Table2[[#This Row],[Year]]-2038))/((1+BW131)*(1+Table2[[#This Row],[Self-sufficiency discount rate, from 2037]])^0.5)+BX131</f>
        <v>128.05052145331271</v>
      </c>
      <c r="BY132" s="74">
        <f>(BY131*((1+Table2[Self-sufficiency discount rate, from 2037])^0.5)-Table2[Annual benefit payments (ongoing scheme)]*1.005^(Table2[Year]-2038))*(1+Table2[Self-sufficiency discount rate, from 2037])^0.5</f>
        <v>-4.0545330313787163E-12</v>
      </c>
      <c r="BZ132" s="74">
        <f>(BZ131*((1+Table2[Discount rate B])^0.5)-Table2[Annual benefit payments (ongoing scheme)])*(1+Table2[Discount rate B])^0.5</f>
        <v>-3.3622360096593327E-12</v>
      </c>
      <c r="CA132" s="74">
        <f>(CA131*((1+Table2[Discount rate A2])^0.5)+Table2[Net cashflow (ongoing scheme)])*(1+Table2[Discount rate A2])^0.5</f>
        <v>-11.725493336342161</v>
      </c>
      <c r="CB132" s="74">
        <f>Table2[[#This Row],[Asset growth, ongoing scheme, with November de-risking, net of contributions and payments]]/(1+Table2[Compounded discount rate A2])</f>
        <v>-0.18613660305209323</v>
      </c>
      <c r="CC132" s="74">
        <f>Table2[[#This Row],[Asset growth, ongoing scheme, with November de-risking, net of contributions and payments]]/(1+Table2[Compounded CPI])</f>
        <v>-0.89161488851296367</v>
      </c>
      <c r="CD132" s="74">
        <f>(CD131*((1+Table2[Discount rate A1])^0.5)+Table2[Net cashflow (ongoing scheme)])*(1+Table2[Discount rate A1])^0.5</f>
        <v>191.72512947608433</v>
      </c>
      <c r="CE132" s="74">
        <f>Table2[[#This Row],[Asset growth, ongoing scheme, with September de-risking, net of contributions and payments]]/(1+Table2[Compounded discount rate A1])</f>
        <v>2.8907782951169856</v>
      </c>
      <c r="CF132" s="74">
        <f>Table2[[#This Row],[Asset growth, ongoing scheme, with September de-risking, net of contributions and payments]]/(1+Table2[Compounded CPI])</f>
        <v>14.578915789677108</v>
      </c>
      <c r="CG132" s="74">
        <f>(CG131*((1+Table2[Discount rate B])^0.5)+Table2[Net cashflow (ongoing scheme)])*(1+Table2[Discount rate B])^0.5</f>
        <v>2682.4222678882288</v>
      </c>
      <c r="CH132" s="74">
        <f>Table2[[#This Row],[Asset growth, ongoing scheme, no de-risking, net of contributions and payments]]/(1+Table2[Compounded discount rate B])</f>
        <v>15.305806084530884</v>
      </c>
      <c r="CI132" s="74">
        <f>Table2[[#This Row],[Asset growth, ongoing scheme, no de-risking, net of contributions and payments]]/(1+Table2[Compounded CPI])</f>
        <v>203.97330523527089</v>
      </c>
      <c r="CJ132" s="74">
        <f>(CJ131*((1+Table2[Discount rate E])^0.5)+Table2[Net cashflow (ongoing scheme)])*(1+Table2[Discount rate E])^0.5</f>
        <v>19744.5465817119</v>
      </c>
      <c r="CK132" s="74">
        <f>Table2[[#This Row],[Asset growth, ongoing scheme, best-estimates, no de-risking, net of contributions and payments ]]/(1+Table2[Compounded discount rate E])</f>
        <v>31.935332277009422</v>
      </c>
      <c r="CL132" s="74">
        <f>Table2[[#This Row],[Asset growth, ongoing scheme, best-estimates, no de-risking, net of contributions and payments ]]/(1+Table2[Compounded CPI])</f>
        <v>1501.3894250938113</v>
      </c>
      <c r="CM132" s="73">
        <f t="shared" si="24"/>
        <v>2.7699999999999999E-2</v>
      </c>
      <c r="CN132" s="75">
        <f>(1+Table2[[#This Row],[CPI]])*(1+CN131)-1</f>
        <v>12.150849640810678</v>
      </c>
      <c r="CO132" s="11">
        <f t="shared" si="23"/>
        <v>1.8100000000000002E-2</v>
      </c>
      <c r="CP132" s="75">
        <f>Table2[[#This Row],[CPI]]+2%</f>
        <v>4.7699999999999999E-2</v>
      </c>
      <c r="CQ132" s="76">
        <f>(1+Table2[[#This Row],[Salary growth]])*(1+CQ131)-1</f>
        <v>102.15348073003304</v>
      </c>
      <c r="CR132" s="77">
        <f t="shared" si="39"/>
        <v>131.50849640810677</v>
      </c>
      <c r="CS132" s="74">
        <f t="shared" si="40"/>
        <v>170.96104533053892</v>
      </c>
      <c r="CT132" s="74">
        <f>CT131*(1+Table2[[#This Row],[Salary growth]])</f>
        <v>1031.5348073003306</v>
      </c>
      <c r="CU132" s="78">
        <f t="shared" si="38"/>
        <v>1340.9952494904289</v>
      </c>
      <c r="CV132" s="116">
        <f>('Cash flows as at 31032017'!B117)/1000000000</f>
        <v>0</v>
      </c>
      <c r="CW132" s="117">
        <v>0</v>
      </c>
      <c r="CX132" s="117">
        <f>Table2[[#This Row],[Annual contributions (closed scheme)]]-Table2[[#This Row],[Annual benefit payments (closed scheme)]]</f>
        <v>0</v>
      </c>
      <c r="CY132" s="117">
        <v>0</v>
      </c>
      <c r="CZ132" s="117">
        <v>0</v>
      </c>
      <c r="DA132" s="117">
        <v>0</v>
      </c>
    </row>
    <row r="133" spans="1:105" x14ac:dyDescent="0.2">
      <c r="A133" s="7">
        <v>2126</v>
      </c>
      <c r="E133" s="6">
        <v>6.0999999999999999E-2</v>
      </c>
      <c r="F133" s="1">
        <f>F132*(1+Table2[[#This Row],[2008 discount rate]])</f>
        <v>36480.174844192683</v>
      </c>
      <c r="G133" s="1">
        <v>35.061</v>
      </c>
      <c r="H133">
        <f>H132*(1+Table2[[#This Row],[2011 discount rate]])</f>
        <v>1.7017945652895593E+45</v>
      </c>
      <c r="I133" s="1">
        <v>35.052</v>
      </c>
      <c r="J133" s="1">
        <f>J132*(1+Table2[[#This Row],[2014 discount rate]])</f>
        <v>9.0614118497245925E+44</v>
      </c>
      <c r="K133" s="9">
        <f>Table2[CPI]+1.7%</f>
        <v>4.4700000000000004E-2</v>
      </c>
      <c r="L133" s="108">
        <f t="shared" si="21"/>
        <v>68.287652775724069</v>
      </c>
      <c r="M133" s="17">
        <f>Table2[[#This Row],[Annual benefit payments (closed scheme)]]/((1+L132)*(1+Table2[[#This Row],[Discount rate A1]])^0.5)+M132</f>
        <v>64.922568716167319</v>
      </c>
      <c r="N133" s="74">
        <f>N132*(1+Table2[Discount rate A1])</f>
        <v>4498.3323985138923</v>
      </c>
      <c r="O133" s="74">
        <f>Table2[[#This Row],[Asset growth A1, under the assumption of full-funding at Year 0]]/(1+Table2[[#This Row],[Compounded CPI]])</f>
        <v>332.83682847700965</v>
      </c>
      <c r="P133" s="74">
        <f>(P132*((1+Table2[Discount rate A1])^0.5)-Table2[Annual benefit payments (closed scheme)])*(1+Table2[Discount rate A1])^0.5</f>
        <v>6.1165537819329056E-13</v>
      </c>
      <c r="Q133" s="74">
        <f>Table2[[#This Row],[Asset growth A1 with benefit payments deducted]]/(1+Table2[Compounded CPI])</f>
        <v>4.5257090442230906E-14</v>
      </c>
      <c r="R133" s="74">
        <f>Table2[[#This Row],[Asset growth A1 with benefit payments deducted]]/(1+Table2[Compounded discount rate A1])</f>
        <v>8.8277687826018097E-15</v>
      </c>
      <c r="S133" s="73">
        <f>Table2[CPI]+1.7%</f>
        <v>4.4700000000000004E-2</v>
      </c>
      <c r="T133" s="72">
        <f t="shared" si="32"/>
        <v>64.809855168832158</v>
      </c>
      <c r="U133" s="17">
        <f>Table2[[#This Row],[Annual benefit payments (closed scheme)]]/((1+T132)*(1+Table2[[#This Row],[Discount rate A2]])^0.5)+U132</f>
        <v>67.511306032910724</v>
      </c>
      <c r="V133" s="74">
        <f>V132*(1+Table2[Discount rate A2])</f>
        <v>4442.9092722845544</v>
      </c>
      <c r="W133" s="74">
        <f>Table2[[#This Row],[Asset growth A2, under the assumption of full-funding at Year 0]]/(1+Table2[Compounded CPI])</f>
        <v>328.73600712273441</v>
      </c>
      <c r="X133" s="74">
        <f>(X132*((1+Table2[Discount rate A2])^0.5)-Table2[Annual benefit payments (closed scheme)])*(1+Table2[Discount rate A2])^0.5</f>
        <v>1.9153412304390899E-12</v>
      </c>
      <c r="Y133" s="74">
        <f>Table2[[#This Row],[Asset growth A2 with benefit payments deducted]]/(1+Table2[[#This Row],[Compounded CPI]])</f>
        <v>1.4171831783734093E-13</v>
      </c>
      <c r="Z133" s="78">
        <f>Table2[[#This Row],[Asset growth A2 with benefit payments deducted]]/(1+Table2[Compounded discount rate A2])</f>
        <v>2.9104170272451899E-14</v>
      </c>
      <c r="AA133" s="109">
        <f>Table2[CPI]+2.8%</f>
        <v>5.57E-2</v>
      </c>
      <c r="AB133" s="72">
        <f t="shared" si="33"/>
        <v>184.016925771172</v>
      </c>
      <c r="AC133" s="74">
        <f>Table2[[#This Row],[Annual benefit payments (closed scheme)]]/((1+AB132)*(1+Table2[[#This Row],[Discount rate B]])^0.5)+AC132</f>
        <v>60.426898501081197</v>
      </c>
      <c r="AD133" s="110">
        <f>AD132*(1+Table2[Discount rate B])</f>
        <v>11101.015546270319</v>
      </c>
      <c r="AE133" s="71">
        <f>Table2[[#This Row],[Asset growth B]]/(1+Table2[Compounded CPI])</f>
        <v>821.37700818090855</v>
      </c>
      <c r="AF133" s="74">
        <f>(AF132*((1+Table2[Discount rate B])^0.5)-Table2[Annual benefit payments (closed scheme)])*(1+Table2[Discount rate B])^0.5</f>
        <v>-78.983448286364464</v>
      </c>
      <c r="AG133" s="74">
        <f>Table2[[#This Row],[Asset growth B with benefit payments deducted]]/(1+Table2[Compounded CPI])</f>
        <v>-5.8440768935831366</v>
      </c>
      <c r="AH133" s="78">
        <f>Table2[[#This Row],[Asset growth B with benefit payments deducted]]/(1+Table2[Compounded discount rate B])</f>
        <v>-0.42689850108119726</v>
      </c>
      <c r="AI133" s="75">
        <f>Table2[CPI]+2.56%</f>
        <v>5.33E-2</v>
      </c>
      <c r="AJ133" s="72">
        <f t="shared" si="34"/>
        <v>182.53626267200406</v>
      </c>
      <c r="AK133" s="74">
        <f>Table2[[#This Row],[Annual benefit payments (closed scheme)]]/((1+AJ132)*(1+Table2[[#This Row],[Discount rate C]])^0.5)+AK132</f>
        <v>52.353435276202354</v>
      </c>
      <c r="AL133" s="74">
        <f>AL132*(1+Table2[Discount rate C])</f>
        <v>11012.175760320244</v>
      </c>
      <c r="AM133" s="74">
        <f>Table2[[#This Row],[Asset growth C]]/(1+Table2[Compounded CPI])</f>
        <v>814.80364943846257</v>
      </c>
      <c r="AN133" s="74">
        <f>(AN132*((1+Table2[Discount rate C])^0.5)-Table2[Annual benefit payments (closed scheme)])*(1+Table2[Discount rate C])^0.5</f>
        <v>1403.4219116853915</v>
      </c>
      <c r="AO133" s="74">
        <f>Table2[[#This Row],[Asset growth C with benefit payments deducted]]/(1+Table2[Compounded CPI])</f>
        <v>103.84081404362786</v>
      </c>
      <c r="AP133" s="78">
        <f>Table2[[#This Row],[Asset growth C with benefit payments deducted]]/(1+Table2[Compounded discount rate C])</f>
        <v>7.6465647237975727</v>
      </c>
      <c r="AQ133" s="75">
        <f>Table2[CPI]+2.56%</f>
        <v>5.33E-2</v>
      </c>
      <c r="AR133" s="72">
        <f t="shared" si="35"/>
        <v>170.80226158293118</v>
      </c>
      <c r="AS133" s="74">
        <f>Table2[[#This Row],[Annual benefit payments (closed scheme)]]/((1+AR132)*(1+Table2[[#This Row],[Discount rate D]])^0.5)+AS132</f>
        <v>54.852927873175936</v>
      </c>
      <c r="AT133" s="71">
        <f>AT132*(1+Table2[Discount rate D])</f>
        <v>10308.135694975865</v>
      </c>
      <c r="AU133" s="74">
        <f>Table2[[#This Row],[Asset growth D]]/(1+Table2[Compounded CPI])</f>
        <v>762.71090890479604</v>
      </c>
      <c r="AV133" s="74">
        <f>(AV132*((1+Table2[Discount rate D])^0.5)-Table2[Annual benefit payments (closed scheme)])*(1+Table2[Discount rate D])^0.5</f>
        <v>884.27863191883318</v>
      </c>
      <c r="AW133" s="74">
        <f>Table2[[#This Row],[Asset growth D with benefit payments deducted]]/(1+Table2[Compounded CPI])</f>
        <v>65.428801000808136</v>
      </c>
      <c r="AX133" s="78">
        <f>Table2[[#This Row],[Asset growth D with benefit payments deducted]]/(1+Table2[Compounded discount rate D])</f>
        <v>5.147072126824014</v>
      </c>
      <c r="AY133" s="75">
        <f>Table2[CPI]+4%</f>
        <v>6.7699999999999996E-2</v>
      </c>
      <c r="AZ133" s="72">
        <f t="shared" si="36"/>
        <v>659.12315771238775</v>
      </c>
      <c r="BA133" s="74">
        <f>Table2[[#This Row],[Annual benefit payments (closed scheme)]]/((1+AZ132)*(1+Table2[[#This Row],[Discount rate E]])^0.5)+BA132</f>
        <v>48.297580675656633</v>
      </c>
      <c r="BB133" s="17">
        <f>BB132*(1+Table2[Discount rate E])</f>
        <v>39607.389462743318</v>
      </c>
      <c r="BC133" s="71">
        <f>Table2[[#This Row],[Asset growth E]]/(1+Table2[Compounded CPI])</f>
        <v>2930.5966578611215</v>
      </c>
      <c r="BD133" s="74">
        <f>(BD132*((1+Table2[Discount rate E])^0.5)-Table2[Annual benefit payments (closed scheme)])*(1+Table2[Discount rate E])^0.5</f>
        <v>7725.037997259974</v>
      </c>
      <c r="BE133" s="74">
        <f>Table2[[#This Row],[Asset growth E with benefit payments deducted]]/(1+Table2[Compounded CPI])</f>
        <v>571.58451601349782</v>
      </c>
      <c r="BF133" s="78">
        <f>Table2[[#This Row],[Asset growth E with benefit payments deducted]]/(1+Table2[Compounded discount rate E])</f>
        <v>11.702419324343312</v>
      </c>
      <c r="BG133" s="75">
        <f>Table2[[#This Row],[Long-dated forward gilt yields]]+0.75%</f>
        <v>2.5600000000000001E-2</v>
      </c>
      <c r="BH133" s="75">
        <f t="shared" si="37"/>
        <v>12.705233479086145</v>
      </c>
      <c r="BI133" s="17">
        <f>((Table2[[#This Row],[Annual benefit payments (closed scheme)]])*1.005^(Table2[[#This Row],[Year]]-2018))/((1+BH132)*(1+Table2[[#This Row],[Discount rate F]])^0.5)+BI132</f>
        <v>82.34349485762877</v>
      </c>
      <c r="BJ133" s="74">
        <f>BJ132*(1+Table2[Discount rate F])</f>
        <v>1128.5368225077318</v>
      </c>
      <c r="BK133" s="74">
        <f>Table2[[#This Row],[Asset growth F, under the assumption of full-funding at Year 0]]/(1+Table2[[#This Row],[Compounded CPI]])</f>
        <v>83.501747658107249</v>
      </c>
      <c r="BL133" s="74">
        <f>(BL132*((1+Table2[Discount rate F])^0.5)-Table2[Annual benefit payments (closed scheme)]*1.005^(Table2[Year]-2018))*(1+Table2[Discount rate F])^0.5</f>
        <v>-3.470574738187258E-13</v>
      </c>
      <c r="BM133" s="74">
        <f>Table2[[#This Row],[Asset growth F with benefit payments deducted]]/(1+Table2[Compounded CPI])</f>
        <v>-2.5679184784839273E-14</v>
      </c>
      <c r="BN133" s="78">
        <f>Table2[[#This Row],[Asset growth F with benefit payments deducted]]/(1+Table2[Compounded discount rate F])</f>
        <v>-2.5322988794632876E-14</v>
      </c>
      <c r="BO133" s="18">
        <f>(1+BO132)*(1+Table2[Discount rate A2])-1</f>
        <v>36.01180875225085</v>
      </c>
      <c r="BP133" s="74">
        <f>Table2[[#This Row],[Annual benefit payments (ongoing scheme)]]/((1+BO132)*(1+Table2[[#This Row],[Discount rate A2]])^0.5)+BP132</f>
        <v>112.5091731857294</v>
      </c>
      <c r="BQ133" s="74">
        <f>(BQ132*((1+Table2[Discount rate A2])^0.5)-Table2[Annual benefit payments (ongoing scheme)])*(1+Table2[Discount rate A2])^0.5</f>
        <v>1.4821387656070639E-13</v>
      </c>
      <c r="BR133" s="18">
        <f>(1+BR132)*(1+Table2[Discount rate B])-1</f>
        <v>93.291529676060478</v>
      </c>
      <c r="BS133" s="74">
        <f>Table2[[#This Row],[Annual benefit payments (ongoing scheme)]]/((1+BR132)*(1+Table2[[#This Row],[Discount rate B]])^0.5)+BS132</f>
        <v>93.512942296053311</v>
      </c>
      <c r="BT133" s="18">
        <f>(1+BT132)*(1+Table2[Discount rate E])-1</f>
        <v>257.65013545826002</v>
      </c>
      <c r="BU133" s="74">
        <f>Table2[[#This Row],[Annual benefit payments (ongoing scheme)]]/((1+BT132)*(1+Table2[[#This Row],[Discount rate E]])^0.5)+BU132</f>
        <v>78.139825166219183</v>
      </c>
      <c r="BV133" s="18">
        <f>Table2[CPI]+0.75%+0.75%</f>
        <v>4.2699999999999995E-2</v>
      </c>
      <c r="BW133" s="18">
        <f>(1+BW132)*(1+Table2[Self-sufficiency discount rate, from 2037])-1</f>
        <v>30.191579624650849</v>
      </c>
      <c r="BX133" s="17">
        <f>(Table2[[#This Row],[Annual benefit payments (ongoing scheme)]]*1.005^(Table2[[#This Row],[Year]]-2038))/((1+BW132)*(1+Table2[[#This Row],[Self-sufficiency discount rate, from 2037]])^0.5)+BX132</f>
        <v>128.05052145331271</v>
      </c>
      <c r="BY133" s="74">
        <f>(BY132*((1+Table2[Self-sufficiency discount rate, from 2037])^0.5)-Table2[Annual benefit payments (ongoing scheme)]*1.005^(Table2[Year]-2038))*(1+Table2[Self-sufficiency discount rate, from 2037])^0.5</f>
        <v>-4.2276615918185871E-12</v>
      </c>
      <c r="BZ133" s="74">
        <f>(BZ132*((1+Table2[Discount rate B])^0.5)-Table2[Annual benefit payments (ongoing scheme)])*(1+Table2[Discount rate B])^0.5</f>
        <v>-3.5495125553973573E-12</v>
      </c>
      <c r="CA133" s="74">
        <f>(CA132*((1+Table2[Discount rate A2])^0.5)+Table2[Net cashflow (ongoing scheme)])*(1+Table2[Discount rate A2])^0.5</f>
        <v>-12.249622888476654</v>
      </c>
      <c r="CB133" s="74">
        <f>Table2[[#This Row],[Asset growth, ongoing scheme, with November de-risking, net of contributions and payments]]/(1+Table2[Compounded discount rate A2])</f>
        <v>-0.18613660305209317</v>
      </c>
      <c r="CC133" s="74">
        <f>Table2[[#This Row],[Asset growth, ongoing scheme, with November de-risking, net of contributions and payments]]/(1+Table2[Compounded CPI])</f>
        <v>-0.9063637968565661</v>
      </c>
      <c r="CD133" s="74">
        <f>(CD132*((1+Table2[Discount rate A1])^0.5)+Table2[Net cashflow (ongoing scheme)])*(1+Table2[Discount rate A1])^0.5</f>
        <v>200.2952427636653</v>
      </c>
      <c r="CE133" s="74">
        <f>Table2[[#This Row],[Asset growth, ongoing scheme, with September de-risking, net of contributions and payments]]/(1+Table2[Compounded discount rate A1])</f>
        <v>2.8907782951169856</v>
      </c>
      <c r="CF133" s="74">
        <f>Table2[[#This Row],[Asset growth, ongoing scheme, with September de-risking, net of contributions and payments]]/(1+Table2[Compounded CPI])</f>
        <v>14.820077187385108</v>
      </c>
      <c r="CG133" s="74">
        <f>(CG132*((1+Table2[Discount rate B])^0.5)+Table2[Net cashflow (ongoing scheme)])*(1+Table2[Discount rate B])^0.5</f>
        <v>2831.8331882096027</v>
      </c>
      <c r="CH133" s="74">
        <f>Table2[[#This Row],[Asset growth, ongoing scheme, no de-risking, net of contributions and payments]]/(1+Table2[Compounded discount rate B])</f>
        <v>15.305806084530881</v>
      </c>
      <c r="CI133" s="74">
        <f>Table2[[#This Row],[Asset growth, ongoing scheme, no de-risking, net of contributions and payments]]/(1+Table2[Compounded CPI])</f>
        <v>209.53062015848536</v>
      </c>
      <c r="CJ133" s="74">
        <f>(CJ132*((1+Table2[Discount rate E])^0.5)+Table2[Net cashflow (ongoing scheme)])*(1+Table2[Discount rate E])^0.5</f>
        <v>21081.252385293792</v>
      </c>
      <c r="CK133" s="74">
        <f>Table2[[#This Row],[Asset growth, ongoing scheme, best-estimates, no de-risking, net of contributions and payments ]]/(1+Table2[Compounded discount rate E])</f>
        <v>31.935332277009412</v>
      </c>
      <c r="CL133" s="74">
        <f>Table2[[#This Row],[Asset growth, ongoing scheme, best-estimates, no de-risking, net of contributions and payments ]]/(1+Table2[Compounded CPI])</f>
        <v>1559.826300644801</v>
      </c>
      <c r="CM133" s="73">
        <f t="shared" si="24"/>
        <v>2.7699999999999999E-2</v>
      </c>
      <c r="CN133" s="75">
        <f>(1+Table2[[#This Row],[CPI]])*(1+CN132)-1</f>
        <v>12.515128175861134</v>
      </c>
      <c r="CO133" s="11">
        <f t="shared" si="23"/>
        <v>1.8100000000000002E-2</v>
      </c>
      <c r="CP133" s="75">
        <f>Table2[[#This Row],[CPI]]+2%</f>
        <v>4.7699999999999999E-2</v>
      </c>
      <c r="CQ133" s="76">
        <f>(1+Table2[[#This Row],[Salary growth]])*(1+CQ132)-1</f>
        <v>107.07390176085562</v>
      </c>
      <c r="CR133" s="77">
        <f t="shared" si="39"/>
        <v>135.15128175861133</v>
      </c>
      <c r="CS133" s="74">
        <f t="shared" si="40"/>
        <v>175.69666628619487</v>
      </c>
      <c r="CT133" s="74">
        <f>CT132*(1+Table2[[#This Row],[Salary growth]])</f>
        <v>1080.7390176085564</v>
      </c>
      <c r="CU133" s="78">
        <f t="shared" si="38"/>
        <v>1404.9607228911225</v>
      </c>
      <c r="CV133" s="116">
        <f>('Cash flows as at 31032017'!B118)/1000000000</f>
        <v>0</v>
      </c>
      <c r="CW133" s="117">
        <v>0</v>
      </c>
      <c r="CX133" s="117">
        <f>Table2[[#This Row],[Annual contributions (closed scheme)]]-Table2[[#This Row],[Annual benefit payments (closed scheme)]]</f>
        <v>0</v>
      </c>
      <c r="CY133" s="117">
        <v>0</v>
      </c>
      <c r="CZ133" s="117">
        <v>0</v>
      </c>
      <c r="DA133" s="117">
        <v>0</v>
      </c>
    </row>
    <row r="134" spans="1:105" x14ac:dyDescent="0.2">
      <c r="A134" s="7">
        <v>2127</v>
      </c>
      <c r="E134" s="6">
        <v>6.0999999999999999E-2</v>
      </c>
      <c r="F134" s="1">
        <f>F133*(1+Table2[[#This Row],[2008 discount rate]])</f>
        <v>38705.465509688438</v>
      </c>
      <c r="G134" s="1">
        <v>36.061</v>
      </c>
      <c r="H134">
        <f>H133*(1+Table2[[#This Row],[2011 discount rate]])</f>
        <v>6.3070208384196354E+46</v>
      </c>
      <c r="I134" s="1">
        <v>36.052</v>
      </c>
      <c r="J134" s="1">
        <f>J133*(1+Table2[[#This Row],[2014 discount rate]])</f>
        <v>3.3574343185599557E+46</v>
      </c>
      <c r="K134" s="9">
        <f>Table2[CPI]+1.7%</f>
        <v>4.4700000000000004E-2</v>
      </c>
      <c r="L134" s="108">
        <f t="shared" si="21"/>
        <v>71.384810854798928</v>
      </c>
      <c r="M134" s="17">
        <f>Table2[[#This Row],[Annual benefit payments (closed scheme)]]/((1+L133)*(1+Table2[[#This Row],[Discount rate A1]])^0.5)+M133</f>
        <v>64.922568716167319</v>
      </c>
      <c r="N134" s="74">
        <f>N133*(1+Table2[Discount rate A1])</f>
        <v>4699.4078567274628</v>
      </c>
      <c r="O134" s="74">
        <f>Table2[[#This Row],[Asset growth A1, under the assumption of full-funding at Year 0]]/(1+Table2[[#This Row],[Compounded CPI]])</f>
        <v>338.34254618072578</v>
      </c>
      <c r="P134" s="74">
        <f>(P133*((1+Table2[Discount rate A1])^0.5)-Table2[Annual benefit payments (closed scheme)])*(1+Table2[Discount rate A1])^0.5</f>
        <v>6.389963735985305E-13</v>
      </c>
      <c r="Q134" s="74">
        <f>Table2[[#This Row],[Asset growth A1 with benefit payments deducted]]/(1+Table2[Compounded CPI])</f>
        <v>4.6005723834775334E-14</v>
      </c>
      <c r="R134" s="74">
        <f>Table2[[#This Row],[Asset growth A1 with benefit payments deducted]]/(1+Table2[Compounded discount rate A1])</f>
        <v>8.8277687826018081E-15</v>
      </c>
      <c r="S134" s="73">
        <f>Table2[CPI]+1.7%</f>
        <v>4.4700000000000004E-2</v>
      </c>
      <c r="T134" s="72">
        <f t="shared" si="32"/>
        <v>67.751555694878959</v>
      </c>
      <c r="U134" s="17">
        <f>Table2[[#This Row],[Annual benefit payments (closed scheme)]]/((1+T133)*(1+Table2[[#This Row],[Discount rate A2]])^0.5)+U133</f>
        <v>67.511306032910724</v>
      </c>
      <c r="V134" s="74">
        <f>V133*(1+Table2[Discount rate A2])</f>
        <v>4641.5073167556739</v>
      </c>
      <c r="W134" s="74">
        <f>Table2[[#This Row],[Asset growth A2, under the assumption of full-funding at Year 0]]/(1+Table2[Compounded CPI])</f>
        <v>334.17388989113613</v>
      </c>
      <c r="X134" s="74">
        <f>(X133*((1+Table2[Discount rate A2])^0.5)-Table2[Annual benefit payments (closed scheme)])*(1+Table2[Discount rate A2])^0.5</f>
        <v>2.0009569834397168E-12</v>
      </c>
      <c r="Y134" s="74">
        <f>Table2[[#This Row],[Asset growth A2 with benefit payments deducted]]/(1+Table2[[#This Row],[Compounded CPI]])</f>
        <v>1.4406259282346017E-13</v>
      </c>
      <c r="Z134" s="78">
        <f>Table2[[#This Row],[Asset growth A2 with benefit payments deducted]]/(1+Table2[Compounded discount rate A2])</f>
        <v>2.9104170272451892E-14</v>
      </c>
      <c r="AA134" s="109">
        <f>Table2[CPI]+2.8%</f>
        <v>5.57E-2</v>
      </c>
      <c r="AB134" s="72">
        <f t="shared" si="33"/>
        <v>194.3223685366263</v>
      </c>
      <c r="AC134" s="74">
        <f>Table2[[#This Row],[Annual benefit payments (closed scheme)]]/((1+AB133)*(1+Table2[[#This Row],[Discount rate B]])^0.5)+AC133</f>
        <v>60.426898501081197</v>
      </c>
      <c r="AD134" s="110">
        <f>AD133*(1+Table2[Discount rate B])</f>
        <v>11719.342112197577</v>
      </c>
      <c r="AE134" s="71">
        <f>Table2[[#This Row],[Asset growth B]]/(1+Table2[Compounded CPI])</f>
        <v>843.75567532994569</v>
      </c>
      <c r="AF134" s="74">
        <f>(AF133*((1+Table2[Discount rate B])^0.5)-Table2[Annual benefit payments (closed scheme)])*(1+Table2[Discount rate B])^0.5</f>
        <v>-83.382826355914958</v>
      </c>
      <c r="AG134" s="74">
        <f>Table2[[#This Row],[Asset growth B with benefit payments deducted]]/(1+Table2[Compounded CPI])</f>
        <v>-6.0033005512851183</v>
      </c>
      <c r="AH134" s="78">
        <f>Table2[[#This Row],[Asset growth B with benefit payments deducted]]/(1+Table2[Compounded discount rate B])</f>
        <v>-0.4268985010811972</v>
      </c>
      <c r="AI134" s="75">
        <f>Table2[CPI]+2.56%</f>
        <v>5.33E-2</v>
      </c>
      <c r="AJ134" s="72">
        <f t="shared" si="34"/>
        <v>192.31874547242185</v>
      </c>
      <c r="AK134" s="74">
        <f>Table2[[#This Row],[Annual benefit payments (closed scheme)]]/((1+AJ133)*(1+Table2[[#This Row],[Discount rate C]])^0.5)+AK133</f>
        <v>52.353435276202354</v>
      </c>
      <c r="AL134" s="74">
        <f>AL133*(1+Table2[Discount rate C])</f>
        <v>11599.124728345312</v>
      </c>
      <c r="AM134" s="74">
        <f>Table2[[#This Row],[Asset growth C]]/(1+Table2[Compounded CPI])</f>
        <v>835.10040279608108</v>
      </c>
      <c r="AN134" s="74">
        <f>(AN133*((1+Table2[Discount rate C])^0.5)-Table2[Annual benefit payments (closed scheme)])*(1+Table2[Discount rate C])^0.5</f>
        <v>1478.2242995782226</v>
      </c>
      <c r="AO134" s="74">
        <f>Table2[[#This Row],[Asset growth C with benefit payments deducted]]/(1+Table2[Compounded CPI])</f>
        <v>106.42748801416094</v>
      </c>
      <c r="AP134" s="78">
        <f>Table2[[#This Row],[Asset growth C with benefit payments deducted]]/(1+Table2[Compounded discount rate C])</f>
        <v>7.6465647237975727</v>
      </c>
      <c r="AQ134" s="75">
        <f>Table2[CPI]+2.56%</f>
        <v>5.33E-2</v>
      </c>
      <c r="AR134" s="72">
        <f t="shared" si="35"/>
        <v>179.95932212530138</v>
      </c>
      <c r="AS134" s="74">
        <f>Table2[[#This Row],[Annual benefit payments (closed scheme)]]/((1+AR133)*(1+Table2[[#This Row],[Discount rate D]])^0.5)+AS133</f>
        <v>54.852927873175936</v>
      </c>
      <c r="AT134" s="71">
        <f>AT133*(1+Table2[Discount rate D])</f>
        <v>10857.559327518078</v>
      </c>
      <c r="AU134" s="74">
        <f>Table2[[#This Row],[Asset growth D]]/(1+Table2[Compounded CPI])</f>
        <v>781.71003245054169</v>
      </c>
      <c r="AV134" s="74">
        <f>(AV133*((1+Table2[Discount rate D])^0.5)-Table2[Annual benefit payments (closed scheme)])*(1+Table2[Discount rate D])^0.5</f>
        <v>931.41068300010681</v>
      </c>
      <c r="AW134" s="74">
        <f>Table2[[#This Row],[Asset growth D with benefit payments deducted]]/(1+Table2[Compounded CPI])</f>
        <v>67.058631988081331</v>
      </c>
      <c r="AX134" s="78">
        <f>Table2[[#This Row],[Asset growth D with benefit payments deducted]]/(1+Table2[Compounded discount rate D])</f>
        <v>5.147072126824014</v>
      </c>
      <c r="AY134" s="75">
        <f>Table2[CPI]+4%</f>
        <v>6.7699999999999996E-2</v>
      </c>
      <c r="AZ134" s="72">
        <f t="shared" si="36"/>
        <v>703.81349548951641</v>
      </c>
      <c r="BA134" s="74">
        <f>Table2[[#This Row],[Annual benefit payments (closed scheme)]]/((1+AZ133)*(1+Table2[[#This Row],[Discount rate E]])^0.5)+BA133</f>
        <v>48.297580675656633</v>
      </c>
      <c r="BB134" s="17">
        <f>BB133*(1+Table2[Discount rate E])</f>
        <v>42288.809729371045</v>
      </c>
      <c r="BC134" s="71">
        <f>Table2[[#This Row],[Asset growth E]]/(1+Table2[Compounded CPI])</f>
        <v>3044.6609434643569</v>
      </c>
      <c r="BD134" s="74">
        <f>(BD133*((1+Table2[Discount rate E])^0.5)-Table2[Annual benefit payments (closed scheme)])*(1+Table2[Discount rate E])^0.5</f>
        <v>8248.0230696744748</v>
      </c>
      <c r="BE134" s="74">
        <f>Table2[[#This Row],[Asset growth E with benefit payments deducted]]/(1+Table2[Compounded CPI])</f>
        <v>593.8316510145097</v>
      </c>
      <c r="BF134" s="78">
        <f>Table2[[#This Row],[Asset growth E with benefit payments deducted]]/(1+Table2[Compounded discount rate E])</f>
        <v>11.702419324343312</v>
      </c>
      <c r="BG134" s="75">
        <f>Table2[[#This Row],[Long-dated forward gilt yields]]+0.75%</f>
        <v>2.5600000000000001E-2</v>
      </c>
      <c r="BH134" s="75">
        <f t="shared" si="37"/>
        <v>13.056087456150751</v>
      </c>
      <c r="BI134" s="17">
        <f>((Table2[[#This Row],[Annual benefit payments (closed scheme)]])*1.005^(Table2[[#This Row],[Year]]-2018))/((1+BH133)*(1+Table2[[#This Row],[Discount rate F]])^0.5)+BI133</f>
        <v>82.34349485762877</v>
      </c>
      <c r="BJ134" s="74">
        <f>BJ133*(1+Table2[Discount rate F])</f>
        <v>1157.4273651639298</v>
      </c>
      <c r="BK134" s="74">
        <f>Table2[[#This Row],[Asset growth F, under the assumption of full-funding at Year 0]]/(1+Table2[[#This Row],[Compounded CPI]])</f>
        <v>83.33112036407006</v>
      </c>
      <c r="BL134" s="74">
        <f>(BL133*((1+Table2[Discount rate F])^0.5)-Table2[Annual benefit payments (closed scheme)]*1.005^(Table2[Year]-2018))*(1+Table2[Discount rate F])^0.5</f>
        <v>-3.5594214514848521E-13</v>
      </c>
      <c r="BM134" s="74">
        <f>Table2[[#This Row],[Asset growth F with benefit payments deducted]]/(1+Table2[Compounded CPI])</f>
        <v>-2.5626711993121687E-14</v>
      </c>
      <c r="BN134" s="78">
        <f>Table2[[#This Row],[Asset growth F with benefit payments deducted]]/(1+Table2[Compounded discount rate F])</f>
        <v>-2.5322988794632879E-14</v>
      </c>
      <c r="BO134" s="18">
        <f>(1+BO133)*(1+Table2[Discount rate A2])-1</f>
        <v>37.666236603476463</v>
      </c>
      <c r="BP134" s="74">
        <f>Table2[[#This Row],[Annual benefit payments (ongoing scheme)]]/((1+BO133)*(1+Table2[[#This Row],[Discount rate A2]])^0.5)+BP133</f>
        <v>112.5091731857294</v>
      </c>
      <c r="BQ134" s="74">
        <f>(BQ133*((1+Table2[Discount rate A2])^0.5)-Table2[Annual benefit payments (ongoing scheme)])*(1+Table2[Discount rate A2])^0.5</f>
        <v>1.5483903684296997E-13</v>
      </c>
      <c r="BR134" s="18">
        <f>(1+BR133)*(1+Table2[Discount rate B])-1</f>
        <v>98.543567879017047</v>
      </c>
      <c r="BS134" s="74">
        <f>Table2[[#This Row],[Annual benefit payments (ongoing scheme)]]/((1+BR133)*(1+Table2[[#This Row],[Discount rate B]])^0.5)+BS133</f>
        <v>93.512942296053311</v>
      </c>
      <c r="BT134" s="18">
        <f>(1+BT133)*(1+Table2[Discount rate E])-1</f>
        <v>275.16074962878423</v>
      </c>
      <c r="BU134" s="74">
        <f>Table2[[#This Row],[Annual benefit payments (ongoing scheme)]]/((1+BT133)*(1+Table2[[#This Row],[Discount rate E]])^0.5)+BU133</f>
        <v>78.139825166219183</v>
      </c>
      <c r="BV134" s="18">
        <f>Table2[CPI]+0.75%+0.75%</f>
        <v>4.2699999999999995E-2</v>
      </c>
      <c r="BW134" s="18">
        <f>(1+BW133)*(1+Table2[Self-sufficiency discount rate, from 2037])-1</f>
        <v>31.523460074623436</v>
      </c>
      <c r="BX134" s="17">
        <f>(Table2[[#This Row],[Annual benefit payments (ongoing scheme)]]*1.005^(Table2[[#This Row],[Year]]-2038))/((1+BW133)*(1+Table2[[#This Row],[Self-sufficiency discount rate, from 2037]])^0.5)+BX133</f>
        <v>128.05052145331271</v>
      </c>
      <c r="BY134" s="74">
        <f>(BY133*((1+Table2[Self-sufficiency discount rate, from 2037])^0.5)-Table2[Annual benefit payments (ongoing scheme)]*1.005^(Table2[Year]-2038))*(1+Table2[Self-sufficiency discount rate, from 2037])^0.5</f>
        <v>-4.4081827417892399E-12</v>
      </c>
      <c r="BZ134" s="74">
        <f>(BZ133*((1+Table2[Discount rate B])^0.5)-Table2[Annual benefit payments (ongoing scheme)])*(1+Table2[Discount rate B])^0.5</f>
        <v>-3.7472204047329898E-12</v>
      </c>
      <c r="CA134" s="74">
        <f>(CA133*((1+Table2[Discount rate A2])^0.5)+Table2[Net cashflow (ongoing scheme)])*(1+Table2[Discount rate A2])^0.5</f>
        <v>-12.79718103159156</v>
      </c>
      <c r="CB134" s="74">
        <f>Table2[[#This Row],[Asset growth, ongoing scheme, with November de-risking, net of contributions and payments]]/(1+Table2[Compounded discount rate A2])</f>
        <v>-0.18613660305209315</v>
      </c>
      <c r="CC134" s="74">
        <f>Table2[[#This Row],[Asset growth, ongoing scheme, with November de-risking, net of contributions and payments]]/(1+Table2[Compounded CPI])</f>
        <v>-0.92135667857940495</v>
      </c>
      <c r="CD134" s="74">
        <f>(CD133*((1+Table2[Discount rate A1])^0.5)+Table2[Net cashflow (ongoing scheme)])*(1+Table2[Discount rate A1])^0.5</f>
        <v>209.24844011520113</v>
      </c>
      <c r="CE134" s="74">
        <f>Table2[[#This Row],[Asset growth, ongoing scheme, with September de-risking, net of contributions and payments]]/(1+Table2[Compounded discount rate A1])</f>
        <v>2.890778295116986</v>
      </c>
      <c r="CF134" s="74">
        <f>Table2[[#This Row],[Asset growth, ongoing scheme, with September de-risking, net of contributions and payments]]/(1+Table2[Compounded CPI])</f>
        <v>15.065227826857274</v>
      </c>
      <c r="CG134" s="74">
        <f>(CG133*((1+Table2[Discount rate B])^0.5)+Table2[Net cashflow (ongoing scheme)])*(1+Table2[Discount rate B])^0.5</f>
        <v>2989.5662967928774</v>
      </c>
      <c r="CH134" s="74">
        <f>Table2[[#This Row],[Asset growth, ongoing scheme, no de-risking, net of contributions and payments]]/(1+Table2[Compounded discount rate B])</f>
        <v>15.305806084530879</v>
      </c>
      <c r="CI134" s="74">
        <f>Table2[[#This Row],[Asset growth, ongoing scheme, no de-risking, net of contributions and payments]]/(1+Table2[Compounded CPI])</f>
        <v>215.2393458220424</v>
      </c>
      <c r="CJ134" s="74">
        <f>(CJ133*((1+Table2[Discount rate E])^0.5)+Table2[Net cashflow (ongoing scheme)])*(1+Table2[Discount rate E])^0.5</f>
        <v>22508.453171778179</v>
      </c>
      <c r="CK134" s="74">
        <f>Table2[[#This Row],[Asset growth, ongoing scheme, best-estimates, no de-risking, net of contributions and payments ]]/(1+Table2[Compounded discount rate E])</f>
        <v>31.935332277009408</v>
      </c>
      <c r="CL134" s="74">
        <f>Table2[[#This Row],[Asset growth, ongoing scheme, best-estimates, no de-risking, net of contributions and payments ]]/(1+Table2[Compounded CPI])</f>
        <v>1620.5376483394509</v>
      </c>
      <c r="CM134" s="73">
        <f t="shared" si="24"/>
        <v>2.7699999999999999E-2</v>
      </c>
      <c r="CN134" s="75">
        <f>(1+Table2[[#This Row],[CPI]])*(1+CN133)-1</f>
        <v>12.889497226332489</v>
      </c>
      <c r="CO134" s="11">
        <f t="shared" si="23"/>
        <v>1.8100000000000002E-2</v>
      </c>
      <c r="CP134" s="75">
        <f>Table2[[#This Row],[CPI]]+2%</f>
        <v>4.7699999999999999E-2</v>
      </c>
      <c r="CQ134" s="76">
        <f>(1+Table2[[#This Row],[Salary growth]])*(1+CQ133)-1</f>
        <v>112.22902687484844</v>
      </c>
      <c r="CR134" s="77">
        <f t="shared" si="39"/>
        <v>138.89497226332489</v>
      </c>
      <c r="CS134" s="74">
        <f t="shared" si="40"/>
        <v>180.56346394232247</v>
      </c>
      <c r="CT134" s="74">
        <f>CT133*(1+Table2[[#This Row],[Salary growth]])</f>
        <v>1132.2902687484846</v>
      </c>
      <c r="CU134" s="78">
        <f t="shared" si="38"/>
        <v>1471.977349373029</v>
      </c>
      <c r="CV134" s="116">
        <f>('Cash flows as at 31032017'!B119)/1000000000</f>
        <v>0</v>
      </c>
      <c r="CW134" s="117">
        <v>0</v>
      </c>
      <c r="CX134" s="117">
        <f>Table2[[#This Row],[Annual contributions (closed scheme)]]-Table2[[#This Row],[Annual benefit payments (closed scheme)]]</f>
        <v>0</v>
      </c>
      <c r="CY134" s="117">
        <v>0</v>
      </c>
      <c r="CZ134" s="117">
        <v>0</v>
      </c>
      <c r="DA134" s="117">
        <v>0</v>
      </c>
    </row>
    <row r="135" spans="1:105" x14ac:dyDescent="0.2">
      <c r="A135" s="7">
        <v>2128</v>
      </c>
      <c r="E135" s="6">
        <v>6.0999999999999999E-2</v>
      </c>
      <c r="F135" s="1">
        <f>F134*(1+Table2[[#This Row],[2008 discount rate]])</f>
        <v>41066.49890577943</v>
      </c>
      <c r="G135" s="1">
        <v>37.061</v>
      </c>
      <c r="H135">
        <f>H134*(1+Table2[[#This Row],[2011 discount rate]])</f>
        <v>2.4005152013108976E+48</v>
      </c>
      <c r="I135" s="1">
        <v>37.052</v>
      </c>
      <c r="J135" s="1">
        <f>J134*(1+Table2[[#This Row],[2014 discount rate]])</f>
        <v>1.2775709068984344E+48</v>
      </c>
      <c r="K135" s="9">
        <f>Table2[CPI]+1.7%</f>
        <v>4.4700000000000004E-2</v>
      </c>
      <c r="L135" s="108">
        <f t="shared" si="21"/>
        <v>74.620411900008435</v>
      </c>
      <c r="M135" s="17">
        <f>Table2[[#This Row],[Annual benefit payments (closed scheme)]]/((1+L134)*(1+Table2[[#This Row],[Discount rate A1]])^0.5)+M134</f>
        <v>64.922568716167319</v>
      </c>
      <c r="N135" s="74">
        <f>N134*(1+Table2[Discount rate A1])</f>
        <v>4909.4713879231804</v>
      </c>
      <c r="O135" s="74">
        <f>Table2[[#This Row],[Asset growth A1, under the assumption of full-funding at Year 0]]/(1+Table2[[#This Row],[Compounded CPI]])</f>
        <v>343.93933832344476</v>
      </c>
      <c r="P135" s="74">
        <f>(P134*((1+Table2[Discount rate A1])^0.5)-Table2[Annual benefit payments (closed scheme)])*(1+Table2[Discount rate A1])^0.5</f>
        <v>6.675595114983847E-13</v>
      </c>
      <c r="Q135" s="74">
        <f>Table2[[#This Row],[Asset growth A1 with benefit payments deducted]]/(1+Table2[Compounded CPI])</f>
        <v>4.6766740965446901E-14</v>
      </c>
      <c r="R135" s="74">
        <f>Table2[[#This Row],[Asset growth A1 with benefit payments deducted]]/(1+Table2[Compounded discount rate A1])</f>
        <v>8.8277687826018081E-15</v>
      </c>
      <c r="S135" s="73">
        <f>Table2[CPI]+1.7%</f>
        <v>4.4700000000000004E-2</v>
      </c>
      <c r="T135" s="72">
        <f t="shared" si="32"/>
        <v>70.824750234440046</v>
      </c>
      <c r="U135" s="17">
        <f>Table2[[#This Row],[Annual benefit payments (closed scheme)]]/((1+T134)*(1+Table2[[#This Row],[Discount rate A2]])^0.5)+U134</f>
        <v>67.511306032910724</v>
      </c>
      <c r="V135" s="74">
        <f>V134*(1+Table2[Discount rate A2])</f>
        <v>4848.9826938146525</v>
      </c>
      <c r="W135" s="74">
        <f>Table2[[#This Row],[Asset growth A2, under the assumption of full-funding at Year 0]]/(1+Table2[Compounded CPI])</f>
        <v>339.70172498712645</v>
      </c>
      <c r="X135" s="74">
        <f>(X134*((1+Table2[Discount rate A2])^0.5)-Table2[Annual benefit payments (closed scheme)])*(1+Table2[Discount rate A2])^0.5</f>
        <v>2.0903997605994721E-12</v>
      </c>
      <c r="Y135" s="74">
        <f>Table2[[#This Row],[Asset growth A2 with benefit payments deducted]]/(1+Table2[[#This Row],[Compounded CPI]])</f>
        <v>1.4644564631961548E-13</v>
      </c>
      <c r="Z135" s="78">
        <f>Table2[[#This Row],[Asset growth A2 with benefit payments deducted]]/(1+Table2[Compounded discount rate A2])</f>
        <v>2.9104170272451892E-14</v>
      </c>
      <c r="AA135" s="109">
        <f>Table2[CPI]+2.8%</f>
        <v>5.57E-2</v>
      </c>
      <c r="AB135" s="72">
        <f t="shared" si="33"/>
        <v>205.20182446411641</v>
      </c>
      <c r="AC135" s="74">
        <f>Table2[[#This Row],[Annual benefit payments (closed scheme)]]/((1+AB134)*(1+Table2[[#This Row],[Discount rate B]])^0.5)+AC134</f>
        <v>60.426898501081197</v>
      </c>
      <c r="AD135" s="110">
        <f>AD134*(1+Table2[Discount rate B])</f>
        <v>12372.109467846984</v>
      </c>
      <c r="AE135" s="71">
        <f>Table2[[#This Row],[Asset growth B]]/(1+Table2[Compounded CPI])</f>
        <v>866.74405609207327</v>
      </c>
      <c r="AF135" s="74">
        <f>(AF134*((1+Table2[Discount rate B])^0.5)-Table2[Annual benefit payments (closed scheme)])*(1+Table2[Discount rate B])^0.5</f>
        <v>-88.027249783939411</v>
      </c>
      <c r="AG135" s="74">
        <f>Table2[[#This Row],[Asset growth B with benefit payments deducted]]/(1+Table2[Compounded CPI])</f>
        <v>-6.1668623061123853</v>
      </c>
      <c r="AH135" s="78">
        <f>Table2[[#This Row],[Asset growth B with benefit payments deducted]]/(1+Table2[Compounded discount rate B])</f>
        <v>-0.42689850108119709</v>
      </c>
      <c r="AI135" s="75">
        <f>Table2[CPI]+2.56%</f>
        <v>5.33E-2</v>
      </c>
      <c r="AJ135" s="72">
        <f t="shared" si="34"/>
        <v>202.62263460610191</v>
      </c>
      <c r="AK135" s="74">
        <f>Table2[[#This Row],[Annual benefit payments (closed scheme)]]/((1+AJ134)*(1+Table2[[#This Row],[Discount rate C]])^0.5)+AK134</f>
        <v>52.353435276202354</v>
      </c>
      <c r="AL135" s="74">
        <f>AL134*(1+Table2[Discount rate C])</f>
        <v>12217.358076366116</v>
      </c>
      <c r="AM135" s="74">
        <f>Table2[[#This Row],[Asset growth C]]/(1+Table2[Compounded CPI])</f>
        <v>855.90274814158988</v>
      </c>
      <c r="AN135" s="74">
        <f>(AN134*((1+Table2[Discount rate C])^0.5)-Table2[Annual benefit payments (closed scheme)])*(1+Table2[Discount rate C])^0.5</f>
        <v>1557.0136547457416</v>
      </c>
      <c r="AO135" s="74">
        <f>Table2[[#This Row],[Asset growth C with benefit payments deducted]]/(1+Table2[Compounded CPI])</f>
        <v>109.07859601568131</v>
      </c>
      <c r="AP135" s="78">
        <f>Table2[[#This Row],[Asset growth C with benefit payments deducted]]/(1+Table2[Compounded discount rate C])</f>
        <v>7.6465647237975718</v>
      </c>
      <c r="AQ135" s="75">
        <f>Table2[CPI]+2.56%</f>
        <v>5.33E-2</v>
      </c>
      <c r="AR135" s="72">
        <f t="shared" si="35"/>
        <v>189.60445399457993</v>
      </c>
      <c r="AS135" s="74">
        <f>Table2[[#This Row],[Annual benefit payments (closed scheme)]]/((1+AR134)*(1+Table2[[#This Row],[Discount rate D]])^0.5)+AS134</f>
        <v>54.852927873175936</v>
      </c>
      <c r="AT135" s="71">
        <f>AT134*(1+Table2[Discount rate D])</f>
        <v>11436.267239674791</v>
      </c>
      <c r="AU135" s="74">
        <f>Table2[[#This Row],[Asset growth D]]/(1+Table2[Compounded CPI])</f>
        <v>801.1824240344024</v>
      </c>
      <c r="AV135" s="74">
        <f>(AV134*((1+Table2[Discount rate D])^0.5)-Table2[Annual benefit payments (closed scheme)])*(1+Table2[Discount rate D])^0.5</f>
        <v>981.05487240401226</v>
      </c>
      <c r="AW135" s="74">
        <f>Table2[[#This Row],[Asset growth D with benefit payments deducted]]/(1+Table2[Compounded CPI])</f>
        <v>68.729062054146198</v>
      </c>
      <c r="AX135" s="78">
        <f>Table2[[#This Row],[Asset growth D with benefit payments deducted]]/(1+Table2[Compounded discount rate D])</f>
        <v>5.1470721268240132</v>
      </c>
      <c r="AY135" s="75">
        <f>Table2[CPI]+4%</f>
        <v>6.7699999999999996E-2</v>
      </c>
      <c r="AZ135" s="72">
        <f t="shared" si="36"/>
        <v>751.5293691341567</v>
      </c>
      <c r="BA135" s="74">
        <f>Table2[[#This Row],[Annual benefit payments (closed scheme)]]/((1+AZ134)*(1+Table2[[#This Row],[Discount rate E]])^0.5)+BA134</f>
        <v>48.297580675656633</v>
      </c>
      <c r="BB135" s="17">
        <f>BB134*(1+Table2[Discount rate E])</f>
        <v>45151.762148049471</v>
      </c>
      <c r="BC135" s="71">
        <f>Table2[[#This Row],[Asset growth E]]/(1+Table2[Compounded CPI])</f>
        <v>3163.1648237198542</v>
      </c>
      <c r="BD135" s="74">
        <f>(BD134*((1+Table2[Discount rate E])^0.5)-Table2[Annual benefit payments (closed scheme)])*(1+Table2[Discount rate E])^0.5</f>
        <v>8806.414231491437</v>
      </c>
      <c r="BE135" s="74">
        <f>Table2[[#This Row],[Asset growth E with benefit payments deducted]]/(1+Table2[Compounded CPI])</f>
        <v>616.94468598636945</v>
      </c>
      <c r="BF135" s="78">
        <f>Table2[[#This Row],[Asset growth E with benefit payments deducted]]/(1+Table2[Compounded discount rate E])</f>
        <v>11.702419324343312</v>
      </c>
      <c r="BG135" s="75">
        <f>Table2[[#This Row],[Long-dated forward gilt yields]]+0.75%</f>
        <v>2.5600000000000001E-2</v>
      </c>
      <c r="BH135" s="75">
        <f t="shared" si="37"/>
        <v>13.415923295028211</v>
      </c>
      <c r="BI135" s="17">
        <f>((Table2[[#This Row],[Annual benefit payments (closed scheme)]])*1.005^(Table2[[#This Row],[Year]]-2018))/((1+BH134)*(1+Table2[[#This Row],[Discount rate F]])^0.5)+BI134</f>
        <v>82.34349485762877</v>
      </c>
      <c r="BJ135" s="74">
        <f>BJ134*(1+Table2[Discount rate F])</f>
        <v>1187.0575057121266</v>
      </c>
      <c r="BK135" s="74">
        <f>Table2[[#This Row],[Asset growth F, under the assumption of full-funding at Year 0]]/(1+Table2[[#This Row],[Compounded CPI]])</f>
        <v>83.16084172948355</v>
      </c>
      <c r="BL135" s="74">
        <f>(BL134*((1+Table2[Discount rate F])^0.5)-Table2[Annual benefit payments (closed scheme)]*1.005^(Table2[Year]-2018))*(1+Table2[Discount rate F])^0.5</f>
        <v>-3.6505426406428647E-13</v>
      </c>
      <c r="BM135" s="74">
        <f>Table2[[#This Row],[Asset growth F with benefit payments deducted]]/(1+Table2[Compounded CPI])</f>
        <v>-2.5574346424195391E-14</v>
      </c>
      <c r="BN135" s="78">
        <f>Table2[[#This Row],[Asset growth F with benefit payments deducted]]/(1+Table2[Compounded discount rate F])</f>
        <v>-2.5322988794632879E-14</v>
      </c>
      <c r="BO135" s="18">
        <f>(1+BO134)*(1+Table2[Discount rate A2])-1</f>
        <v>39.394617379651862</v>
      </c>
      <c r="BP135" s="74">
        <f>Table2[[#This Row],[Annual benefit payments (ongoing scheme)]]/((1+BO134)*(1+Table2[[#This Row],[Discount rate A2]])^0.5)+BP134</f>
        <v>112.5091731857294</v>
      </c>
      <c r="BQ135" s="74">
        <f>(BQ134*((1+Table2[Discount rate A2])^0.5)-Table2[Annual benefit payments (ongoing scheme)])*(1+Table2[Discount rate A2])^0.5</f>
        <v>1.617603417898507E-13</v>
      </c>
      <c r="BR135" s="18">
        <f>(1+BR134)*(1+Table2[Discount rate B])-1</f>
        <v>104.0881446098783</v>
      </c>
      <c r="BS135" s="74">
        <f>Table2[[#This Row],[Annual benefit payments (ongoing scheme)]]/((1+BR134)*(1+Table2[[#This Row],[Discount rate B]])^0.5)+BS134</f>
        <v>93.512942296053311</v>
      </c>
      <c r="BT135" s="18">
        <f>(1+BT134)*(1+Table2[Discount rate E])-1</f>
        <v>293.85683237865294</v>
      </c>
      <c r="BU135" s="74">
        <f>Table2[[#This Row],[Annual benefit payments (ongoing scheme)]]/((1+BT134)*(1+Table2[[#This Row],[Discount rate E]])^0.5)+BU134</f>
        <v>78.139825166219183</v>
      </c>
      <c r="BV135" s="18">
        <f>Table2[CPI]+0.75%+0.75%</f>
        <v>4.2699999999999995E-2</v>
      </c>
      <c r="BW135" s="18">
        <f>(1+BW134)*(1+Table2[Self-sufficiency discount rate, from 2037])-1</f>
        <v>32.912211819809855</v>
      </c>
      <c r="BX135" s="17">
        <f>(Table2[[#This Row],[Annual benefit payments (ongoing scheme)]]*1.005^(Table2[[#This Row],[Year]]-2038))/((1+BW134)*(1+Table2[[#This Row],[Self-sufficiency discount rate, from 2037]])^0.5)+BX134</f>
        <v>128.05052145331271</v>
      </c>
      <c r="BY135" s="74">
        <f>(BY134*((1+Table2[Self-sufficiency discount rate, from 2037])^0.5)-Table2[Annual benefit payments (ongoing scheme)]*1.005^(Table2[Year]-2038))*(1+Table2[Self-sufficiency discount rate, from 2037])^0.5</f>
        <v>-4.5964121448636396E-12</v>
      </c>
      <c r="BZ135" s="74">
        <f>(BZ134*((1+Table2[Discount rate B])^0.5)-Table2[Annual benefit payments (ongoing scheme)])*(1+Table2[Discount rate B])^0.5</f>
        <v>-3.9559405812766167E-12</v>
      </c>
      <c r="CA135" s="74">
        <f>(CA134*((1+Table2[Discount rate A2])^0.5)+Table2[Net cashflow (ongoing scheme)])*(1+Table2[Discount rate A2])^0.5</f>
        <v>-13.369215023703701</v>
      </c>
      <c r="CB135" s="74">
        <f>Table2[[#This Row],[Asset growth, ongoing scheme, with November de-risking, net of contributions and payments]]/(1+Table2[Compounded discount rate A2])</f>
        <v>-0.18613660305209315</v>
      </c>
      <c r="CC135" s="74">
        <f>Table2[[#This Row],[Asset growth, ongoing scheme, with November de-risking, net of contributions and payments]]/(1+Table2[Compounded CPI])</f>
        <v>-0.93659756943845884</v>
      </c>
      <c r="CD135" s="74">
        <f>(CD134*((1+Table2[Discount rate A1])^0.5)+Table2[Net cashflow (ongoing scheme)])*(1+Table2[Discount rate A1])^0.5</f>
        <v>218.6018453883506</v>
      </c>
      <c r="CE135" s="74">
        <f>Table2[[#This Row],[Asset growth, ongoing scheme, with September de-risking, net of contributions and payments]]/(1+Table2[Compounded discount rate A1])</f>
        <v>2.8907782951169856</v>
      </c>
      <c r="CF135" s="74">
        <f>Table2[[#This Row],[Asset growth, ongoing scheme, with September de-risking, net of contributions and payments]]/(1+Table2[Compounded CPI])</f>
        <v>15.31443369730251</v>
      </c>
      <c r="CG135" s="74">
        <f>(CG134*((1+Table2[Discount rate B])^0.5)+Table2[Net cashflow (ongoing scheme)])*(1+Table2[Discount rate B])^0.5</f>
        <v>3156.0851395242403</v>
      </c>
      <c r="CH135" s="74">
        <f>Table2[[#This Row],[Asset growth, ongoing scheme, no de-risking, net of contributions and payments]]/(1+Table2[Compounded discount rate B])</f>
        <v>15.305806084530873</v>
      </c>
      <c r="CI135" s="74">
        <f>Table2[[#This Row],[Asset growth, ongoing scheme, no de-risking, net of contributions and payments]]/(1+Table2[Compounded CPI])</f>
        <v>221.10360745775043</v>
      </c>
      <c r="CJ135" s="74">
        <f>(CJ134*((1+Table2[Discount rate E])^0.5)+Table2[Net cashflow (ongoing scheme)])*(1+Table2[Discount rate E])^0.5</f>
        <v>24032.275451507561</v>
      </c>
      <c r="CK135" s="74">
        <f>Table2[[#This Row],[Asset growth, ongoing scheme, best-estimates, no de-risking, net of contributions and payments ]]/(1+Table2[Compounded discount rate E])</f>
        <v>31.935332277009408</v>
      </c>
      <c r="CL135" s="74">
        <f>Table2[[#This Row],[Asset growth, ongoing scheme, best-estimates, no de-risking, net of contributions and payments ]]/(1+Table2[Compounded CPI])</f>
        <v>1683.6119948740211</v>
      </c>
      <c r="CM135" s="73">
        <f t="shared" si="24"/>
        <v>2.7699999999999999E-2</v>
      </c>
      <c r="CN135" s="75">
        <f>(1+Table2[[#This Row],[CPI]])*(1+CN134)-1</f>
        <v>13.274236299501901</v>
      </c>
      <c r="CO135" s="11">
        <f t="shared" si="23"/>
        <v>1.8100000000000002E-2</v>
      </c>
      <c r="CP135" s="75">
        <f>Table2[[#This Row],[CPI]]+2%</f>
        <v>4.7699999999999999E-2</v>
      </c>
      <c r="CQ135" s="76">
        <f>(1+Table2[[#This Row],[Salary growth]])*(1+CQ134)-1</f>
        <v>117.63005145677872</v>
      </c>
      <c r="CR135" s="77">
        <f t="shared" si="39"/>
        <v>142.74236299501899</v>
      </c>
      <c r="CS135" s="74">
        <f t="shared" si="40"/>
        <v>185.56507189352482</v>
      </c>
      <c r="CT135" s="74">
        <f>CT134*(1+Table2[[#This Row],[Salary growth]])</f>
        <v>1186.3005145677873</v>
      </c>
      <c r="CU135" s="78">
        <f t="shared" si="38"/>
        <v>1542.1906689381226</v>
      </c>
      <c r="CV135" s="116">
        <f>('Cash flows as at 31032017'!B120)/1000000000</f>
        <v>0</v>
      </c>
      <c r="CW135" s="117">
        <v>0</v>
      </c>
      <c r="CX135" s="117">
        <f>Table2[[#This Row],[Annual contributions (closed scheme)]]-Table2[[#This Row],[Annual benefit payments (closed scheme)]]</f>
        <v>0</v>
      </c>
      <c r="CY135" s="117">
        <v>0</v>
      </c>
      <c r="CZ135" s="117">
        <v>0</v>
      </c>
      <c r="DA135" s="117">
        <v>0</v>
      </c>
    </row>
    <row r="136" spans="1:105" x14ac:dyDescent="0.2">
      <c r="A136" s="7">
        <v>2129</v>
      </c>
      <c r="E136" s="6">
        <v>6.0999999999999999E-2</v>
      </c>
      <c r="F136" s="1">
        <f>F135*(1+Table2[[#This Row],[2008 discount rate]])</f>
        <v>43571.555339031976</v>
      </c>
      <c r="G136" s="1">
        <v>38.061</v>
      </c>
      <c r="H136">
        <f>H135*(1+Table2[[#This Row],[2011 discount rate]])</f>
        <v>9.3766524278404968E+49</v>
      </c>
      <c r="I136" s="1">
        <v>38.052</v>
      </c>
      <c r="J136" s="1">
        <f>J135*(1+Table2[[#This Row],[2014 discount rate]])</f>
        <v>4.9891699056197656E+49</v>
      </c>
      <c r="K136" s="9">
        <f>Table2[CPI]+1.7%</f>
        <v>4.4700000000000004E-2</v>
      </c>
      <c r="L136" s="108">
        <f t="shared" si="21"/>
        <v>78.000644311938814</v>
      </c>
      <c r="M136" s="17">
        <f>Table2[[#This Row],[Annual benefit payments (closed scheme)]]/((1+L135)*(1+Table2[[#This Row],[Discount rate A1]])^0.5)+M135</f>
        <v>64.922568716167319</v>
      </c>
      <c r="N136" s="74">
        <f>N135*(1+Table2[Discount rate A1])</f>
        <v>5128.924758963346</v>
      </c>
      <c r="O136" s="74">
        <f>Table2[[#This Row],[Asset growth A1, under the assumption of full-funding at Year 0]]/(1+Table2[[#This Row],[Compounded CPI]])</f>
        <v>349.62871143962508</v>
      </c>
      <c r="P136" s="74">
        <f>(P135*((1+Table2[Discount rate A1])^0.5)-Table2[Annual benefit payments (closed scheme)])*(1+Table2[Discount rate A1])^0.5</f>
        <v>6.9739942166236239E-13</v>
      </c>
      <c r="Q136" s="74">
        <f>Table2[[#This Row],[Asset growth A1 with benefit payments deducted]]/(1+Table2[Compounded CPI])</f>
        <v>4.7540346683470236E-14</v>
      </c>
      <c r="R136" s="74">
        <f>Table2[[#This Row],[Asset growth A1 with benefit payments deducted]]/(1+Table2[Compounded discount rate A1])</f>
        <v>8.8277687826018065E-15</v>
      </c>
      <c r="S136" s="73">
        <f>Table2[CPI]+1.7%</f>
        <v>4.4700000000000004E-2</v>
      </c>
      <c r="T136" s="72">
        <f t="shared" si="32"/>
        <v>74.035316569919516</v>
      </c>
      <c r="U136" s="17">
        <f>Table2[[#This Row],[Annual benefit payments (closed scheme)]]/((1+T135)*(1+Table2[[#This Row],[Discount rate A2]])^0.5)+U135</f>
        <v>67.511306032910724</v>
      </c>
      <c r="V136" s="74">
        <f>V135*(1+Table2[Discount rate A2])</f>
        <v>5065.7322202281675</v>
      </c>
      <c r="W136" s="74">
        <f>Table2[[#This Row],[Asset growth A2, under the assumption of full-funding at Year 0]]/(1+Table2[Compounded CPI])</f>
        <v>345.32100038342998</v>
      </c>
      <c r="X136" s="74">
        <f>(X135*((1+Table2[Discount rate A2])^0.5)-Table2[Annual benefit payments (closed scheme)])*(1+Table2[Discount rate A2])^0.5</f>
        <v>2.1838406298982684E-12</v>
      </c>
      <c r="Y136" s="74">
        <f>Table2[[#This Row],[Asset growth A2 with benefit payments deducted]]/(1+Table2[[#This Row],[Compounded CPI]])</f>
        <v>1.4886811979186753E-13</v>
      </c>
      <c r="Z136" s="78">
        <f>Table2[[#This Row],[Asset growth A2 with benefit payments deducted]]/(1+Table2[Compounded discount rate A2])</f>
        <v>2.9104170272451892E-14</v>
      </c>
      <c r="AA136" s="109">
        <f>Table2[CPI]+2.8%</f>
        <v>5.57E-2</v>
      </c>
      <c r="AB136" s="72">
        <f t="shared" si="33"/>
        <v>216.68726608676772</v>
      </c>
      <c r="AC136" s="74">
        <f>Table2[[#This Row],[Annual benefit payments (closed scheme)]]/((1+AB135)*(1+Table2[[#This Row],[Discount rate B]])^0.5)+AC135</f>
        <v>60.426898501081197</v>
      </c>
      <c r="AD136" s="110">
        <f>AD135*(1+Table2[Discount rate B])</f>
        <v>13061.235965206062</v>
      </c>
      <c r="AE136" s="71">
        <f>Table2[[#This Row],[Asset growth B]]/(1+Table2[Compounded CPI])</f>
        <v>890.35876230067311</v>
      </c>
      <c r="AF136" s="74">
        <f>(AF135*((1+Table2[Discount rate B])^0.5)-Table2[Annual benefit payments (closed scheme)])*(1+Table2[Discount rate B])^0.5</f>
        <v>-92.93036759690483</v>
      </c>
      <c r="AG136" s="74">
        <f>Table2[[#This Row],[Asset growth B with benefit payments deducted]]/(1+Table2[Compounded CPI])</f>
        <v>-6.3348803508444531</v>
      </c>
      <c r="AH136" s="78">
        <f>Table2[[#This Row],[Asset growth B with benefit payments deducted]]/(1+Table2[Compounded discount rate B])</f>
        <v>-0.42689850108119698</v>
      </c>
      <c r="AI136" s="75">
        <f>Table2[CPI]+2.56%</f>
        <v>5.33E-2</v>
      </c>
      <c r="AJ136" s="72">
        <f t="shared" si="34"/>
        <v>213.47572103060713</v>
      </c>
      <c r="AK136" s="74">
        <f>Table2[[#This Row],[Annual benefit payments (closed scheme)]]/((1+AJ135)*(1+Table2[[#This Row],[Discount rate C]])^0.5)+AK135</f>
        <v>52.353435276202354</v>
      </c>
      <c r="AL136" s="74">
        <f>AL135*(1+Table2[Discount rate C])</f>
        <v>12868.543261836428</v>
      </c>
      <c r="AM136" s="74">
        <f>Table2[[#This Row],[Asset growth C]]/(1+Table2[Compounded CPI])</f>
        <v>877.22327976796385</v>
      </c>
      <c r="AN136" s="74">
        <f>(AN135*((1+Table2[Discount rate C])^0.5)-Table2[Annual benefit payments (closed scheme)])*(1+Table2[Discount rate C])^0.5</f>
        <v>1640.0024825436894</v>
      </c>
      <c r="AO136" s="74">
        <f>Table2[[#This Row],[Asset growth C with benefit payments deducted]]/(1+Table2[Compounded CPI])</f>
        <v>111.795743099462</v>
      </c>
      <c r="AP136" s="78">
        <f>Table2[[#This Row],[Asset growth C with benefit payments deducted]]/(1+Table2[Compounded discount rate C])</f>
        <v>7.6465647237975718</v>
      </c>
      <c r="AQ136" s="75">
        <f>Table2[CPI]+2.56%</f>
        <v>5.33E-2</v>
      </c>
      <c r="AR136" s="72">
        <f t="shared" si="35"/>
        <v>199.76367139249101</v>
      </c>
      <c r="AS136" s="74">
        <f>Table2[[#This Row],[Annual benefit payments (closed scheme)]]/((1+AR135)*(1+Table2[[#This Row],[Discount rate D]])^0.5)+AS135</f>
        <v>54.852927873175936</v>
      </c>
      <c r="AT136" s="71">
        <f>AT135*(1+Table2[Discount rate D])</f>
        <v>12045.820283549456</v>
      </c>
      <c r="AU136" s="74">
        <f>Table2[[#This Row],[Asset growth D]]/(1+Table2[Compounded CPI])</f>
        <v>821.13987275998431</v>
      </c>
      <c r="AV136" s="74">
        <f>(AV135*((1+Table2[Discount rate D])^0.5)-Table2[Annual benefit payments (closed scheme)])*(1+Table2[Discount rate D])^0.5</f>
        <v>1033.3450971031459</v>
      </c>
      <c r="AW136" s="74">
        <f>Table2[[#This Row],[Asset growth D with benefit payments deducted]]/(1+Table2[Compounded CPI])</f>
        <v>70.441102521778888</v>
      </c>
      <c r="AX136" s="78">
        <f>Table2[[#This Row],[Asset growth D with benefit payments deducted]]/(1+Table2[Compounded discount rate D])</f>
        <v>5.1470721268240132</v>
      </c>
      <c r="AY136" s="75">
        <f>Table2[CPI]+4%</f>
        <v>6.7699999999999996E-2</v>
      </c>
      <c r="AZ136" s="72">
        <f t="shared" si="36"/>
        <v>802.47560742453913</v>
      </c>
      <c r="BA136" s="74">
        <f>Table2[[#This Row],[Annual benefit payments (closed scheme)]]/((1+AZ135)*(1+Table2[[#This Row],[Discount rate E]])^0.5)+BA135</f>
        <v>48.297580675656633</v>
      </c>
      <c r="BB136" s="17">
        <f>BB135*(1+Table2[Discount rate E])</f>
        <v>48208.536445472426</v>
      </c>
      <c r="BC136" s="71">
        <f>Table2[[#This Row],[Asset growth E]]/(1+Table2[Compounded CPI])</f>
        <v>3286.2810959284698</v>
      </c>
      <c r="BD136" s="74">
        <f>(BD135*((1+Table2[Discount rate E])^0.5)-Table2[Annual benefit payments (closed scheme)])*(1+Table2[Discount rate E])^0.5</f>
        <v>9402.6084749634083</v>
      </c>
      <c r="BE136" s="74">
        <f>Table2[[#This Row],[Asset growth E with benefit payments deducted]]/(1+Table2[Compounded CPI])</f>
        <v>640.95732337028971</v>
      </c>
      <c r="BF136" s="78">
        <f>Table2[[#This Row],[Asset growth E with benefit payments deducted]]/(1+Table2[Compounded discount rate E])</f>
        <v>11.702419324343314</v>
      </c>
      <c r="BG136" s="75">
        <f>Table2[[#This Row],[Long-dated forward gilt yields]]+0.75%</f>
        <v>2.5600000000000001E-2</v>
      </c>
      <c r="BH136" s="75">
        <f t="shared" si="37"/>
        <v>13.784970931380935</v>
      </c>
      <c r="BI136" s="17">
        <f>((Table2[[#This Row],[Annual benefit payments (closed scheme)]])*1.005^(Table2[[#This Row],[Year]]-2018))/((1+BH135)*(1+Table2[[#This Row],[Discount rate F]])^0.5)+BI135</f>
        <v>82.34349485762877</v>
      </c>
      <c r="BJ136" s="74">
        <f>BJ135*(1+Table2[Discount rate F])</f>
        <v>1217.446177858357</v>
      </c>
      <c r="BK136" s="74">
        <f>Table2[[#This Row],[Asset growth F, under the assumption of full-funding at Year 0]]/(1+Table2[[#This Row],[Compounded CPI]])</f>
        <v>82.99091104189776</v>
      </c>
      <c r="BL136" s="74">
        <f>(BL135*((1+Table2[Discount rate F])^0.5)-Table2[Annual benefit payments (closed scheme)]*1.005^(Table2[Year]-2018))*(1+Table2[Discount rate F])^0.5</f>
        <v>-3.7439965322433226E-13</v>
      </c>
      <c r="BM136" s="74">
        <f>Table2[[#This Row],[Asset growth F with benefit payments deducted]]/(1+Table2[Compounded CPI])</f>
        <v>-2.5522087858961557E-14</v>
      </c>
      <c r="BN136" s="78">
        <f>Table2[[#This Row],[Asset growth F with benefit payments deducted]]/(1+Table2[Compounded discount rate F])</f>
        <v>-2.5322988794632879E-14</v>
      </c>
      <c r="BO136" s="18">
        <f>(1+BO135)*(1+Table2[Discount rate A2])-1</f>
        <v>41.200256776522302</v>
      </c>
      <c r="BP136" s="74">
        <f>Table2[[#This Row],[Annual benefit payments (ongoing scheme)]]/((1+BO135)*(1+Table2[[#This Row],[Discount rate A2]])^0.5)+BP135</f>
        <v>112.5091731857294</v>
      </c>
      <c r="BQ136" s="74">
        <f>(BQ135*((1+Table2[Discount rate A2])^0.5)-Table2[Annual benefit payments (ongoing scheme)])*(1+Table2[Discount rate A2])^0.5</f>
        <v>1.6899102906785701E-13</v>
      </c>
      <c r="BR136" s="18">
        <f>(1+BR135)*(1+Table2[Discount rate B])-1</f>
        <v>109.94155426464853</v>
      </c>
      <c r="BS136" s="74">
        <f>Table2[[#This Row],[Annual benefit payments (ongoing scheme)]]/((1+BR135)*(1+Table2[[#This Row],[Discount rate B]])^0.5)+BS135</f>
        <v>93.512942296053311</v>
      </c>
      <c r="BT136" s="18">
        <f>(1+BT135)*(1+Table2[Discount rate E])-1</f>
        <v>313.81863993068777</v>
      </c>
      <c r="BU136" s="74">
        <f>Table2[[#This Row],[Annual benefit payments (ongoing scheme)]]/((1+BT135)*(1+Table2[[#This Row],[Discount rate E]])^0.5)+BU135</f>
        <v>78.139825166219183</v>
      </c>
      <c r="BV136" s="18">
        <f>Table2[CPI]+0.75%+0.75%</f>
        <v>4.2699999999999995E-2</v>
      </c>
      <c r="BW136" s="18">
        <f>(1+BW135)*(1+Table2[Self-sufficiency discount rate, from 2037])-1</f>
        <v>34.360263264515737</v>
      </c>
      <c r="BX136" s="17">
        <f>(Table2[[#This Row],[Annual benefit payments (ongoing scheme)]]*1.005^(Table2[[#This Row],[Year]]-2038))/((1+BW135)*(1+Table2[[#This Row],[Self-sufficiency discount rate, from 2037]])^0.5)+BX135</f>
        <v>128.05052145331271</v>
      </c>
      <c r="BY136" s="74">
        <f>(BY135*((1+Table2[Self-sufficiency discount rate, from 2037])^0.5)-Table2[Annual benefit payments (ongoing scheme)]*1.005^(Table2[Year]-2038))*(1+Table2[Self-sufficiency discount rate, from 2037])^0.5</f>
        <v>-4.7926789434493167E-12</v>
      </c>
      <c r="BZ136" s="74">
        <f>(BZ135*((1+Table2[Discount rate B])^0.5)-Table2[Annual benefit payments (ongoing scheme)])*(1+Table2[Discount rate B])^0.5</f>
        <v>-4.1762864716537238E-12</v>
      </c>
      <c r="CA136" s="74">
        <f>(CA135*((1+Table2[Discount rate A2])^0.5)+Table2[Net cashflow (ongoing scheme)])*(1+Table2[Discount rate A2])^0.5</f>
        <v>-13.966818935263255</v>
      </c>
      <c r="CB136" s="74">
        <f>Table2[[#This Row],[Asset growth, ongoing scheme, with November de-risking, net of contributions and payments]]/(1+Table2[Compounded discount rate A2])</f>
        <v>-0.18613660305209312</v>
      </c>
      <c r="CC136" s="74">
        <f>Table2[[#This Row],[Asset growth, ongoing scheme, with November de-risking, net of contributions and payments]]/(1+Table2[Compounded CPI])</f>
        <v>-0.95209057194936053</v>
      </c>
      <c r="CD136" s="74">
        <f>(CD135*((1+Table2[Discount rate A1])^0.5)+Table2[Net cashflow (ongoing scheme)])*(1+Table2[Discount rate A1])^0.5</f>
        <v>228.37334787720982</v>
      </c>
      <c r="CE136" s="74">
        <f>Table2[[#This Row],[Asset growth, ongoing scheme, with September de-risking, net of contributions and payments]]/(1+Table2[Compounded discount rate A1])</f>
        <v>2.8907782951169851</v>
      </c>
      <c r="CF136" s="74">
        <f>Table2[[#This Row],[Asset growth, ongoing scheme, with September de-risking, net of contributions and payments]]/(1+Table2[Compounded CPI])</f>
        <v>15.567761879509515</v>
      </c>
      <c r="CG136" s="74">
        <f>(CG135*((1+Table2[Discount rate B])^0.5)+Table2[Net cashflow (ongoing scheme)])*(1+Table2[Discount rate B])^0.5</f>
        <v>3331.8790817957401</v>
      </c>
      <c r="CH136" s="74">
        <f>Table2[[#This Row],[Asset growth, ongoing scheme, no de-risking, net of contributions and payments]]/(1+Table2[Compounded discount rate B])</f>
        <v>15.305806084530872</v>
      </c>
      <c r="CI136" s="74">
        <f>Table2[[#This Row],[Asset growth, ongoing scheme, no de-risking, net of contributions and payments]]/(1+Table2[Compounded CPI])</f>
        <v>227.12764269061699</v>
      </c>
      <c r="CJ136" s="74">
        <f>(CJ135*((1+Table2[Discount rate E])^0.5)+Table2[Net cashflow (ongoing scheme)])*(1+Table2[Discount rate E])^0.5</f>
        <v>25659.260499574619</v>
      </c>
      <c r="CK136" s="74">
        <f>Table2[[#This Row],[Asset growth, ongoing scheme, best-estimates, no de-risking, net of contributions and payments ]]/(1+Table2[Compounded discount rate E])</f>
        <v>31.935332277009401</v>
      </c>
      <c r="CL136" s="74">
        <f>Table2[[#This Row],[Asset growth, ongoing scheme, best-estimates, no de-risking, net of contributions and payments ]]/(1+Table2[Compounded CPI])</f>
        <v>1749.1413125688352</v>
      </c>
      <c r="CM136" s="73">
        <f t="shared" si="24"/>
        <v>2.7699999999999999E-2</v>
      </c>
      <c r="CN136" s="75">
        <f>(1+Table2[[#This Row],[CPI]])*(1+CN135)-1</f>
        <v>13.669632644998105</v>
      </c>
      <c r="CO136" s="11">
        <f t="shared" si="23"/>
        <v>1.8100000000000002E-2</v>
      </c>
      <c r="CP136" s="75">
        <f>Table2[[#This Row],[CPI]]+2%</f>
        <v>4.7699999999999999E-2</v>
      </c>
      <c r="CQ136" s="76">
        <f>(1+Table2[[#This Row],[Salary growth]])*(1+CQ135)-1</f>
        <v>123.28870491126708</v>
      </c>
      <c r="CR136" s="77">
        <f t="shared" si="39"/>
        <v>146.69632644998103</v>
      </c>
      <c r="CS136" s="74">
        <f t="shared" si="40"/>
        <v>190.70522438497545</v>
      </c>
      <c r="CT136" s="74">
        <f>CT135*(1+Table2[[#This Row],[Salary growth]])</f>
        <v>1242.8870491126709</v>
      </c>
      <c r="CU136" s="78">
        <f t="shared" si="38"/>
        <v>1615.7531638464711</v>
      </c>
      <c r="CV136" s="116">
        <f>('Cash flows as at 31032017'!B121)/1000000000</f>
        <v>0</v>
      </c>
      <c r="CW136" s="117">
        <v>0</v>
      </c>
      <c r="CX136" s="117">
        <f>Table2[[#This Row],[Annual contributions (closed scheme)]]-Table2[[#This Row],[Annual benefit payments (closed scheme)]]</f>
        <v>0</v>
      </c>
      <c r="CY136" s="117">
        <v>0</v>
      </c>
      <c r="CZ136" s="117">
        <v>0</v>
      </c>
      <c r="DA136" s="117">
        <v>0</v>
      </c>
    </row>
    <row r="137" spans="1:105" x14ac:dyDescent="0.2">
      <c r="A137" s="7">
        <v>2130</v>
      </c>
      <c r="E137" s="6">
        <v>6.0999999999999999E-2</v>
      </c>
      <c r="F137" s="1">
        <f>F136*(1+Table2[[#This Row],[2008 discount rate]])</f>
        <v>46229.420214712925</v>
      </c>
      <c r="G137" s="1">
        <v>39.061</v>
      </c>
      <c r="H137">
        <f>H136*(1+Table2[[#This Row],[2011 discount rate]])</f>
        <v>3.7563807291171815E+51</v>
      </c>
      <c r="I137" s="1">
        <v>39.052</v>
      </c>
      <c r="J137" s="1">
        <f>J136*(1+Table2[[#This Row],[2014 discount rate]])</f>
        <v>1.9982623305988285E+51</v>
      </c>
      <c r="K137" s="9">
        <f>Table2[CPI]+1.7%</f>
        <v>4.4700000000000004E-2</v>
      </c>
      <c r="L137" s="108">
        <f t="shared" si="21"/>
        <v>81.531973112682479</v>
      </c>
      <c r="M137" s="17">
        <f>Table2[[#This Row],[Annual benefit payments (closed scheme)]]/((1+L136)*(1+Table2[[#This Row],[Discount rate A1]])^0.5)+M136</f>
        <v>64.922568716167319</v>
      </c>
      <c r="N137" s="74">
        <f>N136*(1+Table2[Discount rate A1])</f>
        <v>5358.1876956890073</v>
      </c>
      <c r="O137" s="74">
        <f>Table2[[#This Row],[Asset growth A1, under the assumption of full-funding at Year 0]]/(1+Table2[[#This Row],[Compounded CPI]])</f>
        <v>355.41219698450544</v>
      </c>
      <c r="P137" s="74">
        <f>(P136*((1+Table2[Discount rate A1])^0.5)-Table2[Annual benefit payments (closed scheme)])*(1+Table2[Discount rate A1])^0.5</f>
        <v>7.2857317581066983E-13</v>
      </c>
      <c r="Q137" s="74">
        <f>Table2[[#This Row],[Asset growth A1 with benefit payments deducted]]/(1+Table2[Compounded CPI])</f>
        <v>4.8326749226643322E-14</v>
      </c>
      <c r="R137" s="74">
        <f>Table2[[#This Row],[Asset growth A1 with benefit payments deducted]]/(1+Table2[Compounded discount rate A1])</f>
        <v>8.8277687826018034E-15</v>
      </c>
      <c r="S137" s="73">
        <f>Table2[CPI]+1.7%</f>
        <v>4.4700000000000004E-2</v>
      </c>
      <c r="T137" s="72">
        <f t="shared" si="32"/>
        <v>77.38939522059492</v>
      </c>
      <c r="U137" s="17">
        <f>Table2[[#This Row],[Annual benefit payments (closed scheme)]]/((1+T136)*(1+Table2[[#This Row],[Discount rate A2]])^0.5)+U136</f>
        <v>67.511306032910724</v>
      </c>
      <c r="V137" s="74">
        <f>V136*(1+Table2[Discount rate A2])</f>
        <v>5292.1704504723666</v>
      </c>
      <c r="W137" s="74">
        <f>Table2[[#This Row],[Asset growth A2, under the assumption of full-funding at Year 0]]/(1+Table2[Compounded CPI])</f>
        <v>351.03322866650706</v>
      </c>
      <c r="X137" s="74">
        <f>(X136*((1+Table2[Discount rate A2])^0.5)-Table2[Annual benefit payments (closed scheme)])*(1+Table2[Discount rate A2])^0.5</f>
        <v>2.2814583060547206E-12</v>
      </c>
      <c r="Y137" s="74">
        <f>Table2[[#This Row],[Asset growth A2 with benefit payments deducted]]/(1+Table2[[#This Row],[Compounded CPI]])</f>
        <v>1.5133066531727544E-13</v>
      </c>
      <c r="Z137" s="78">
        <f>Table2[[#This Row],[Asset growth A2 with benefit payments deducted]]/(1+Table2[Compounded discount rate A2])</f>
        <v>2.9104170272451886E-14</v>
      </c>
      <c r="AA137" s="109">
        <f>Table2[CPI]+2.8%</f>
        <v>5.57E-2</v>
      </c>
      <c r="AB137" s="72">
        <f t="shared" si="33"/>
        <v>228.81244680780071</v>
      </c>
      <c r="AC137" s="74">
        <f>Table2[[#This Row],[Annual benefit payments (closed scheme)]]/((1+AB136)*(1+Table2[[#This Row],[Discount rate B]])^0.5)+AC136</f>
        <v>60.426898501081197</v>
      </c>
      <c r="AD137" s="110">
        <f>AD136*(1+Table2[Discount rate B])</f>
        <v>13788.74680846804</v>
      </c>
      <c r="AE137" s="71">
        <f>Table2[[#This Row],[Asset growth B]]/(1+Table2[Compounded CPI])</f>
        <v>914.61685838359506</v>
      </c>
      <c r="AF137" s="74">
        <f>(AF136*((1+Table2[Discount rate B])^0.5)-Table2[Annual benefit payments (closed scheme)])*(1+Table2[Discount rate B])^0.5</f>
        <v>-98.106589072052415</v>
      </c>
      <c r="AG137" s="74">
        <f>Table2[[#This Row],[Asset growth B with benefit payments deducted]]/(1+Table2[Compounded CPI])</f>
        <v>-6.5074760984591684</v>
      </c>
      <c r="AH137" s="78">
        <f>Table2[[#This Row],[Asset growth B with benefit payments deducted]]/(1+Table2[Compounded discount rate B])</f>
        <v>-0.42689850108119687</v>
      </c>
      <c r="AI137" s="75">
        <f>Table2[CPI]+2.56%</f>
        <v>5.33E-2</v>
      </c>
      <c r="AJ137" s="72">
        <f t="shared" si="34"/>
        <v>224.90727696153849</v>
      </c>
      <c r="AK137" s="74">
        <f>Table2[[#This Row],[Annual benefit payments (closed scheme)]]/((1+AJ136)*(1+Table2[[#This Row],[Discount rate C]])^0.5)+AK136</f>
        <v>52.353435276202354</v>
      </c>
      <c r="AL137" s="74">
        <f>AL136*(1+Table2[Discount rate C])</f>
        <v>13554.436617692309</v>
      </c>
      <c r="AM137" s="74">
        <f>Table2[[#This Row],[Asset growth C]]/(1+Table2[Compounded CPI])</f>
        <v>899.07490569192976</v>
      </c>
      <c r="AN137" s="74">
        <f>(AN136*((1+Table2[Discount rate C])^0.5)-Table2[Annual benefit payments (closed scheme)])*(1+Table2[Discount rate C])^0.5</f>
        <v>1727.4146148632678</v>
      </c>
      <c r="AO137" s="74">
        <f>Table2[[#This Row],[Asset growth C with benefit payments deducted]]/(1+Table2[Compounded CPI])</f>
        <v>114.5805742985923</v>
      </c>
      <c r="AP137" s="78">
        <f>Table2[[#This Row],[Asset growth C with benefit payments deducted]]/(1+Table2[Compounded discount rate C])</f>
        <v>7.6465647237975709</v>
      </c>
      <c r="AQ137" s="75">
        <f>Table2[CPI]+2.56%</f>
        <v>5.33E-2</v>
      </c>
      <c r="AR137" s="72">
        <f t="shared" si="35"/>
        <v>210.46437507771077</v>
      </c>
      <c r="AS137" s="74">
        <f>Table2[[#This Row],[Annual benefit payments (closed scheme)]]/((1+AR136)*(1+Table2[[#This Row],[Discount rate D]])^0.5)+AS136</f>
        <v>54.852927873175936</v>
      </c>
      <c r="AT137" s="71">
        <f>AT136*(1+Table2[Discount rate D])</f>
        <v>12687.86250466264</v>
      </c>
      <c r="AU137" s="74">
        <f>Table2[[#This Row],[Asset growth D]]/(1+Table2[Compounded CPI])</f>
        <v>841.59446139738384</v>
      </c>
      <c r="AV137" s="74">
        <f>(AV136*((1+Table2[Discount rate D])^0.5)-Table2[Annual benefit payments (closed scheme)])*(1+Table2[Discount rate D])^0.5</f>
        <v>1088.4223907787434</v>
      </c>
      <c r="AW137" s="74">
        <f>Table2[[#This Row],[Asset growth D with benefit payments deducted]]/(1+Table2[Compounded CPI])</f>
        <v>72.19578990579906</v>
      </c>
      <c r="AX137" s="78">
        <f>Table2[[#This Row],[Asset growth D with benefit payments deducted]]/(1+Table2[Compounded discount rate D])</f>
        <v>5.1470721268240123</v>
      </c>
      <c r="AY137" s="75">
        <f>Table2[CPI]+4%</f>
        <v>6.7699999999999996E-2</v>
      </c>
      <c r="AZ137" s="72">
        <f t="shared" si="36"/>
        <v>856.87090604718048</v>
      </c>
      <c r="BA137" s="74">
        <f>Table2[[#This Row],[Annual benefit payments (closed scheme)]]/((1+AZ136)*(1+Table2[[#This Row],[Discount rate E]])^0.5)+BA136</f>
        <v>48.297580675656633</v>
      </c>
      <c r="BB137" s="17">
        <f>BB136*(1+Table2[Discount rate E])</f>
        <v>51472.254362830914</v>
      </c>
      <c r="BC137" s="71">
        <f>Table2[[#This Row],[Asset growth E]]/(1+Table2[Compounded CPI])</f>
        <v>3414.1892829841659</v>
      </c>
      <c r="BD137" s="74">
        <f>(BD136*((1+Table2[Discount rate E])^0.5)-Table2[Annual benefit payments (closed scheme)])*(1+Table2[Discount rate E])^0.5</f>
        <v>10039.16506871843</v>
      </c>
      <c r="BE137" s="74">
        <f>Table2[[#This Row],[Asset growth E with benefit payments deducted]]/(1+Table2[Compounded CPI])</f>
        <v>665.90457736932785</v>
      </c>
      <c r="BF137" s="78">
        <f>Table2[[#This Row],[Asset growth E with benefit payments deducted]]/(1+Table2[Compounded discount rate E])</f>
        <v>11.702419324343312</v>
      </c>
      <c r="BG137" s="75">
        <f>Table2[[#This Row],[Long-dated forward gilt yields]]+0.75%</f>
        <v>2.5600000000000001E-2</v>
      </c>
      <c r="BH137" s="75">
        <f t="shared" si="37"/>
        <v>14.163466187224287</v>
      </c>
      <c r="BI137" s="17">
        <f>((Table2[[#This Row],[Annual benefit payments (closed scheme)]])*1.005^(Table2[[#This Row],[Year]]-2018))/((1+BH136)*(1+Table2[[#This Row],[Discount rate F]])^0.5)+BI136</f>
        <v>82.34349485762877</v>
      </c>
      <c r="BJ137" s="74">
        <f>BJ136*(1+Table2[Discount rate F])</f>
        <v>1248.6128000115311</v>
      </c>
      <c r="BK137" s="74">
        <f>Table2[[#This Row],[Asset growth F, under the assumption of full-funding at Year 0]]/(1+Table2[[#This Row],[Compounded CPI]])</f>
        <v>82.821327590318518</v>
      </c>
      <c r="BL137" s="74">
        <f>(BL136*((1+Table2[Discount rate F])^0.5)-Table2[Annual benefit payments (closed scheme)]*1.005^(Table2[Year]-2018))*(1+Table2[Discount rate F])^0.5</f>
        <v>-3.839842843468752E-13</v>
      </c>
      <c r="BM137" s="74">
        <f>Table2[[#This Row],[Asset growth F with benefit payments deducted]]/(1+Table2[Compounded CPI])</f>
        <v>-2.5469936078769071E-14</v>
      </c>
      <c r="BN137" s="78">
        <f>Table2[[#This Row],[Asset growth F with benefit payments deducted]]/(1+Table2[Compounded discount rate F])</f>
        <v>-2.5322988794632882E-14</v>
      </c>
      <c r="BO137" s="18">
        <f>(1+BO136)*(1+Table2[Discount rate A2])-1</f>
        <v>43.086608254432846</v>
      </c>
      <c r="BP137" s="74">
        <f>Table2[[#This Row],[Annual benefit payments (ongoing scheme)]]/((1+BO136)*(1+Table2[[#This Row],[Discount rate A2]])^0.5)+BP136</f>
        <v>112.5091731857294</v>
      </c>
      <c r="BQ137" s="74">
        <f>(BQ136*((1+Table2[Discount rate A2])^0.5)-Table2[Annual benefit payments (ongoing scheme)])*(1+Table2[Discount rate A2])^0.5</f>
        <v>1.7654492806719019E-13</v>
      </c>
      <c r="BR137" s="18">
        <f>(1+BR136)*(1+Table2[Discount rate B])-1</f>
        <v>116.12099883718946</v>
      </c>
      <c r="BS137" s="74">
        <f>Table2[[#This Row],[Annual benefit payments (ongoing scheme)]]/((1+BR136)*(1+Table2[[#This Row],[Discount rate B]])^0.5)+BS136</f>
        <v>93.512942296053311</v>
      </c>
      <c r="BT137" s="18">
        <f>(1+BT136)*(1+Table2[Discount rate E])-1</f>
        <v>335.13186185399536</v>
      </c>
      <c r="BU137" s="74">
        <f>Table2[[#This Row],[Annual benefit payments (ongoing scheme)]]/((1+BT136)*(1+Table2[[#This Row],[Discount rate E]])^0.5)+BU136</f>
        <v>78.139825166219183</v>
      </c>
      <c r="BV137" s="18">
        <f>Table2[CPI]+0.75%+0.75%</f>
        <v>4.2699999999999995E-2</v>
      </c>
      <c r="BW137" s="18">
        <f>(1+BW136)*(1+Table2[Self-sufficiency discount rate, from 2037])-1</f>
        <v>35.870146505910554</v>
      </c>
      <c r="BX137" s="17">
        <f>(Table2[[#This Row],[Annual benefit payments (ongoing scheme)]]*1.005^(Table2[[#This Row],[Year]]-2038))/((1+BW136)*(1+Table2[[#This Row],[Self-sufficiency discount rate, from 2037]])^0.5)+BX136</f>
        <v>128.05052145331271</v>
      </c>
      <c r="BY137" s="74">
        <f>(BY136*((1+Table2[Self-sufficiency discount rate, from 2037])^0.5)-Table2[Annual benefit payments (ongoing scheme)]*1.005^(Table2[Year]-2038))*(1+Table2[Self-sufficiency discount rate, from 2037])^0.5</f>
        <v>-4.9973263343346023E-12</v>
      </c>
      <c r="BZ137" s="74">
        <f>(BZ136*((1+Table2[Discount rate B])^0.5)-Table2[Annual benefit payments (ongoing scheme)])*(1+Table2[Discount rate B])^0.5</f>
        <v>-4.4089056281248355E-12</v>
      </c>
      <c r="CA137" s="74">
        <f>(CA136*((1+Table2[Discount rate A2])^0.5)+Table2[Net cashflow (ongoing scheme)])*(1+Table2[Discount rate A2])^0.5</f>
        <v>-14.591135741669522</v>
      </c>
      <c r="CB137" s="74">
        <f>Table2[[#This Row],[Asset growth, ongoing scheme, with November de-risking, net of contributions and payments]]/(1+Table2[Compounded discount rate A2])</f>
        <v>-0.18613660305209312</v>
      </c>
      <c r="CC137" s="74">
        <f>Table2[[#This Row],[Asset growth, ongoing scheme, with November de-risking, net of contributions and payments]]/(1+Table2[Compounded CPI])</f>
        <v>-0.96783985649070425</v>
      </c>
      <c r="CD137" s="74">
        <f>(CD136*((1+Table2[Discount rate A1])^0.5)+Table2[Net cashflow (ongoing scheme)])*(1+Table2[Discount rate A1])^0.5</f>
        <v>238.58163652732108</v>
      </c>
      <c r="CE137" s="74">
        <f>Table2[[#This Row],[Asset growth, ongoing scheme, with September de-risking, net of contributions and payments]]/(1+Table2[Compounded discount rate A1])</f>
        <v>2.8907782951169847</v>
      </c>
      <c r="CF137" s="74">
        <f>Table2[[#This Row],[Asset growth, ongoing scheme, with September de-risking, net of contributions and payments]]/(1+Table2[Compounded CPI])</f>
        <v>15.825280563903462</v>
      </c>
      <c r="CG137" s="74">
        <f>(CG136*((1+Table2[Discount rate B])^0.5)+Table2[Net cashflow (ongoing scheme)])*(1+Table2[Discount rate B])^0.5</f>
        <v>3517.4647466517627</v>
      </c>
      <c r="CH137" s="74">
        <f>Table2[[#This Row],[Asset growth, ongoing scheme, no de-risking, net of contributions and payments]]/(1+Table2[Compounded discount rate B])</f>
        <v>15.305806084530868</v>
      </c>
      <c r="CI137" s="74">
        <f>Table2[[#This Row],[Asset growth, ongoing scheme, no de-risking, net of contributions and payments]]/(1+Table2[Compounded CPI])</f>
        <v>233.31580460103564</v>
      </c>
      <c r="CJ137" s="74">
        <f>(CJ136*((1+Table2[Discount rate E])^0.5)+Table2[Net cashflow (ongoing scheme)])*(1+Table2[Discount rate E])^0.5</f>
        <v>27396.392435395817</v>
      </c>
      <c r="CK137" s="74">
        <f>Table2[[#This Row],[Asset growth, ongoing scheme, best-estimates, no de-risking, net of contributions and payments ]]/(1+Table2[Compounded discount rate E])</f>
        <v>31.935332277009394</v>
      </c>
      <c r="CL137" s="74">
        <f>Table2[[#This Row],[Asset growth, ongoing scheme, best-estimates, no de-risking, net of contributions and payments ]]/(1+Table2[Compounded CPI])</f>
        <v>1817.2211534783935</v>
      </c>
      <c r="CM137" s="73">
        <f t="shared" si="24"/>
        <v>2.7699999999999999E-2</v>
      </c>
      <c r="CN137" s="75">
        <f>(1+Table2[[#This Row],[CPI]])*(1+CN136)-1</f>
        <v>14.075981469264553</v>
      </c>
      <c r="CO137" s="11">
        <f t="shared" si="23"/>
        <v>1.8100000000000002E-2</v>
      </c>
      <c r="CP137" s="75">
        <f>Table2[[#This Row],[CPI]]+2%</f>
        <v>4.7699999999999999E-2</v>
      </c>
      <c r="CQ137" s="76">
        <f>(1+Table2[[#This Row],[Salary growth]])*(1+CQ136)-1</f>
        <v>129.21727613553452</v>
      </c>
      <c r="CR137" s="77">
        <f t="shared" si="39"/>
        <v>150.75981469264551</v>
      </c>
      <c r="CS137" s="74">
        <f t="shared" si="40"/>
        <v>195.98775910043929</v>
      </c>
      <c r="CT137" s="74">
        <f>CT136*(1+Table2[[#This Row],[Salary growth]])</f>
        <v>1302.1727613553453</v>
      </c>
      <c r="CU137" s="78">
        <f t="shared" si="38"/>
        <v>1692.8245897619479</v>
      </c>
      <c r="CV137" s="116">
        <f>('Cash flows as at 31032017'!B122)/1000000000</f>
        <v>0</v>
      </c>
      <c r="CW137" s="117">
        <v>0</v>
      </c>
      <c r="CX137" s="117">
        <f>Table2[[#This Row],[Annual contributions (closed scheme)]]-Table2[[#This Row],[Annual benefit payments (closed scheme)]]</f>
        <v>0</v>
      </c>
      <c r="CY137" s="117">
        <v>0</v>
      </c>
      <c r="CZ137" s="117">
        <v>0</v>
      </c>
      <c r="DA137" s="117">
        <v>0</v>
      </c>
    </row>
    <row r="138" spans="1:105" x14ac:dyDescent="0.2">
      <c r="A138" s="7">
        <v>2131</v>
      </c>
      <c r="E138" s="6">
        <v>6.0999999999999999E-2</v>
      </c>
      <c r="F138" s="1">
        <f>F137*(1+Table2[[#This Row],[2008 discount rate]])</f>
        <v>49049.414847810411</v>
      </c>
      <c r="G138" s="1">
        <v>40.061</v>
      </c>
      <c r="H138">
        <f>H137*(1+Table2[[#This Row],[2011 discount rate]])</f>
        <v>1.5424074911828058E+53</v>
      </c>
      <c r="I138" s="1">
        <v>40.052</v>
      </c>
      <c r="J138" s="1">
        <f>J137*(1+Table2[[#This Row],[2014 discount rate]])</f>
        <v>8.2032665195743105E+52</v>
      </c>
      <c r="K138" s="9">
        <f>Table2[CPI]+1.7%</f>
        <v>4.4700000000000004E-2</v>
      </c>
      <c r="L138" s="108">
        <f t="shared" si="21"/>
        <v>85.221152310819377</v>
      </c>
      <c r="M138" s="17">
        <f>Table2[[#This Row],[Annual benefit payments (closed scheme)]]/((1+L137)*(1+Table2[[#This Row],[Discount rate A1]])^0.5)+M137</f>
        <v>64.922568716167319</v>
      </c>
      <c r="N138" s="74">
        <f>N137*(1+Table2[Discount rate A1])</f>
        <v>5597.6986856863059</v>
      </c>
      <c r="O138" s="74">
        <f>Table2[[#This Row],[Asset growth A1, under the assumption of full-funding at Year 0]]/(1+Table2[[#This Row],[Compounded CPI]])</f>
        <v>361.29135174633922</v>
      </c>
      <c r="P138" s="74">
        <f>(P137*((1+Table2[Discount rate A1])^0.5)-Table2[Annual benefit payments (closed scheme)])*(1+Table2[Discount rate A1])^0.5</f>
        <v>7.6114039676940669E-13</v>
      </c>
      <c r="Q138" s="74">
        <f>Table2[[#This Row],[Asset growth A1 with benefit payments deducted]]/(1+Table2[Compounded CPI])</f>
        <v>4.9126160277390554E-14</v>
      </c>
      <c r="R138" s="74">
        <f>Table2[[#This Row],[Asset growth A1 with benefit payments deducted]]/(1+Table2[Compounded discount rate A1])</f>
        <v>8.8277687826018034E-15</v>
      </c>
      <c r="S138" s="73">
        <f>Table2[CPI]+1.7%</f>
        <v>4.4700000000000004E-2</v>
      </c>
      <c r="T138" s="72">
        <f t="shared" si="32"/>
        <v>80.893401186955515</v>
      </c>
      <c r="U138" s="17">
        <f>Table2[[#This Row],[Annual benefit payments (closed scheme)]]/((1+T137)*(1+Table2[[#This Row],[Discount rate A2]])^0.5)+U137</f>
        <v>67.511306032910724</v>
      </c>
      <c r="V138" s="74">
        <f>V137*(1+Table2[Discount rate A2])</f>
        <v>5528.7304696084811</v>
      </c>
      <c r="W138" s="74">
        <f>Table2[[#This Row],[Asset growth A2, under the assumption of full-funding at Year 0]]/(1+Table2[Compounded CPI])</f>
        <v>356.83994744370909</v>
      </c>
      <c r="X138" s="74">
        <f>(X137*((1+Table2[Discount rate A2])^0.5)-Table2[Annual benefit payments (closed scheme)])*(1+Table2[Discount rate A2])^0.5</f>
        <v>2.3834394923353666E-12</v>
      </c>
      <c r="Y138" s="74">
        <f>Table2[[#This Row],[Asset growth A2 with benefit payments deducted]]/(1+Table2[[#This Row],[Compounded CPI]])</f>
        <v>1.5383394575942165E-13</v>
      </c>
      <c r="Z138" s="78">
        <f>Table2[[#This Row],[Asset growth A2 with benefit payments deducted]]/(1+Table2[Compounded discount rate A2])</f>
        <v>2.9104170272451886E-14</v>
      </c>
      <c r="AA138" s="109">
        <f>Table2[CPI]+2.8%</f>
        <v>5.57E-2</v>
      </c>
      <c r="AB138" s="72">
        <f t="shared" si="33"/>
        <v>241.61300009499524</v>
      </c>
      <c r="AC138" s="74">
        <f>Table2[[#This Row],[Annual benefit payments (closed scheme)]]/((1+AB137)*(1+Table2[[#This Row],[Discount rate B]])^0.5)+AC137</f>
        <v>60.426898501081197</v>
      </c>
      <c r="AD138" s="110">
        <f>AD137*(1+Table2[Discount rate B])</f>
        <v>14556.780005699711</v>
      </c>
      <c r="AE138" s="71">
        <f>Table2[[#This Row],[Asset growth B]]/(1+Table2[Compounded CPI])</f>
        <v>939.53587369423099</v>
      </c>
      <c r="AF138" s="74">
        <f>(AF137*((1+Table2[Discount rate B])^0.5)-Table2[Annual benefit payments (closed scheme)])*(1+Table2[Discount rate B])^0.5</f>
        <v>-103.57112608336571</v>
      </c>
      <c r="AG138" s="74">
        <f>Table2[[#This Row],[Asset growth B with benefit payments deducted]]/(1+Table2[Compounded CPI])</f>
        <v>-6.6847742698679982</v>
      </c>
      <c r="AH138" s="78">
        <f>Table2[[#This Row],[Asset growth B with benefit payments deducted]]/(1+Table2[Compounded discount rate B])</f>
        <v>-0.42689850108119676</v>
      </c>
      <c r="AI138" s="75">
        <f>Table2[CPI]+2.56%</f>
        <v>5.33E-2</v>
      </c>
      <c r="AJ138" s="72">
        <f t="shared" si="34"/>
        <v>236.94813482358848</v>
      </c>
      <c r="AK138" s="74">
        <f>Table2[[#This Row],[Annual benefit payments (closed scheme)]]/((1+AJ137)*(1+Table2[[#This Row],[Discount rate C]])^0.5)+AK137</f>
        <v>52.353435276202354</v>
      </c>
      <c r="AL138" s="74">
        <f>AL137*(1+Table2[Discount rate C])</f>
        <v>14276.888089415308</v>
      </c>
      <c r="AM138" s="74">
        <f>Table2[[#This Row],[Asset growth C]]/(1+Table2[Compounded CPI])</f>
        <v>921.47085546882306</v>
      </c>
      <c r="AN138" s="74">
        <f>(AN137*((1+Table2[Discount rate C])^0.5)-Table2[Annual benefit payments (closed scheme)])*(1+Table2[Discount rate C])^0.5</f>
        <v>1819.4858138354798</v>
      </c>
      <c r="AO138" s="74">
        <f>Table2[[#This Row],[Asset growth C with benefit payments deducted]]/(1+Table2[Compounded CPI])</f>
        <v>117.43477562392454</v>
      </c>
      <c r="AP138" s="78">
        <f>Table2[[#This Row],[Asset growth C with benefit payments deducted]]/(1+Table2[Compounded discount rate C])</f>
        <v>7.64656472379757</v>
      </c>
      <c r="AQ138" s="75">
        <f>Table2[CPI]+2.56%</f>
        <v>5.33E-2</v>
      </c>
      <c r="AR138" s="72">
        <f t="shared" si="35"/>
        <v>221.73542626935273</v>
      </c>
      <c r="AS138" s="74">
        <f>Table2[[#This Row],[Annual benefit payments (closed scheme)]]/((1+AR137)*(1+Table2[[#This Row],[Discount rate D]])^0.5)+AS137</f>
        <v>54.852927873175936</v>
      </c>
      <c r="AT138" s="71">
        <f>AT137*(1+Table2[Discount rate D])</f>
        <v>13364.125576161157</v>
      </c>
      <c r="AU138" s="74">
        <f>Table2[[#This Row],[Asset growth D]]/(1+Table2[Compounded CPI])</f>
        <v>862.55857369841794</v>
      </c>
      <c r="AV138" s="74">
        <f>(AV137*((1+Table2[Discount rate D])^0.5)-Table2[Annual benefit payments (closed scheme)])*(1+Table2[Discount rate D])^0.5</f>
        <v>1146.4353042072503</v>
      </c>
      <c r="AW138" s="74">
        <f>Table2[[#This Row],[Asset growth D with benefit payments deducted]]/(1+Table2[Compounded CPI])</f>
        <v>73.994186540603408</v>
      </c>
      <c r="AX138" s="78">
        <f>Table2[[#This Row],[Asset growth D with benefit payments deducted]]/(1+Table2[Compounded discount rate D])</f>
        <v>5.1470721268240123</v>
      </c>
      <c r="AY138" s="75">
        <f>Table2[CPI]+4%</f>
        <v>6.7699999999999996E-2</v>
      </c>
      <c r="AZ138" s="72">
        <f t="shared" si="36"/>
        <v>914.94876638657468</v>
      </c>
      <c r="BA138" s="74">
        <f>Table2[[#This Row],[Annual benefit payments (closed scheme)]]/((1+AZ137)*(1+Table2[[#This Row],[Discount rate E]])^0.5)+BA137</f>
        <v>48.297580675656633</v>
      </c>
      <c r="BB138" s="17">
        <f>BB137*(1+Table2[Discount rate E])</f>
        <v>54956.925983194575</v>
      </c>
      <c r="BC138" s="71">
        <f>Table2[[#This Row],[Asset growth E]]/(1+Table2[Compounded CPI])</f>
        <v>3547.0758951466323</v>
      </c>
      <c r="BD138" s="74">
        <f>(BD137*((1+Table2[Discount rate E])^0.5)-Table2[Annual benefit payments (closed scheme)])*(1+Table2[Discount rate E])^0.5</f>
        <v>10718.816543870666</v>
      </c>
      <c r="BE138" s="74">
        <f>Table2[[#This Row],[Asset growth E with benefit payments deducted]]/(1+Table2[Compounded CPI])</f>
        <v>691.8228250046036</v>
      </c>
      <c r="BF138" s="78">
        <f>Table2[[#This Row],[Asset growth E with benefit payments deducted]]/(1+Table2[Compounded discount rate E])</f>
        <v>11.702419324343309</v>
      </c>
      <c r="BG138" s="75">
        <f>Table2[[#This Row],[Long-dated forward gilt yields]]+0.75%</f>
        <v>2.5600000000000001E-2</v>
      </c>
      <c r="BH138" s="75">
        <f t="shared" si="37"/>
        <v>14.551650921617231</v>
      </c>
      <c r="BI138" s="17">
        <f>((Table2[[#This Row],[Annual benefit payments (closed scheme)]])*1.005^(Table2[[#This Row],[Year]]-2018))/((1+BH137)*(1+Table2[[#This Row],[Discount rate F]])^0.5)+BI137</f>
        <v>82.34349485762877</v>
      </c>
      <c r="BJ138" s="74">
        <f>BJ137*(1+Table2[Discount rate F])</f>
        <v>1280.5772876918263</v>
      </c>
      <c r="BK138" s="74">
        <f>Table2[[#This Row],[Asset growth F, under the assumption of full-funding at Year 0]]/(1+Table2[[#This Row],[Compounded CPI]])</f>
        <v>82.652090665204511</v>
      </c>
      <c r="BL138" s="74">
        <f>(BL137*((1+Table2[Discount rate F])^0.5)-Table2[Annual benefit payments (closed scheme)]*1.005^(Table2[Year]-2018))*(1+Table2[Discount rate F])^0.5</f>
        <v>-3.9381428202615523E-13</v>
      </c>
      <c r="BM138" s="74">
        <f>Table2[[#This Row],[Asset growth F with benefit payments deducted]]/(1+Table2[Compounded CPI])</f>
        <v>-2.5417890865413604E-14</v>
      </c>
      <c r="BN138" s="78">
        <f>Table2[[#This Row],[Asset growth F with benefit payments deducted]]/(1+Table2[Compounded discount rate F])</f>
        <v>-2.5322988794632879E-14</v>
      </c>
      <c r="BO138" s="18">
        <f>(1+BO137)*(1+Table2[Discount rate A2])-1</f>
        <v>45.057279643405991</v>
      </c>
      <c r="BP138" s="74">
        <f>Table2[[#This Row],[Annual benefit payments (ongoing scheme)]]/((1+BO137)*(1+Table2[[#This Row],[Discount rate A2]])^0.5)+BP137</f>
        <v>112.5091731857294</v>
      </c>
      <c r="BQ138" s="74">
        <f>(BQ137*((1+Table2[Discount rate A2])^0.5)-Table2[Annual benefit payments (ongoing scheme)])*(1+Table2[Discount rate A2])^0.5</f>
        <v>1.8443648635179358E-13</v>
      </c>
      <c r="BR138" s="18">
        <f>(1+BR137)*(1+Table2[Discount rate B])-1</f>
        <v>122.64463847242092</v>
      </c>
      <c r="BS138" s="74">
        <f>Table2[[#This Row],[Annual benefit payments (ongoing scheme)]]/((1+BR137)*(1+Table2[[#This Row],[Discount rate B]])^0.5)+BS137</f>
        <v>93.512942296053311</v>
      </c>
      <c r="BT138" s="18">
        <f>(1+BT137)*(1+Table2[Discount rate E])-1</f>
        <v>357.88798890151088</v>
      </c>
      <c r="BU138" s="74">
        <f>Table2[[#This Row],[Annual benefit payments (ongoing scheme)]]/((1+BT137)*(1+Table2[[#This Row],[Discount rate E]])^0.5)+BU137</f>
        <v>78.139825166219183</v>
      </c>
      <c r="BV138" s="18">
        <f>Table2[CPI]+0.75%+0.75%</f>
        <v>4.2699999999999995E-2</v>
      </c>
      <c r="BW138" s="18">
        <f>(1+BW137)*(1+Table2[Self-sufficiency discount rate, from 2037])-1</f>
        <v>37.444501761712935</v>
      </c>
      <c r="BX138" s="17">
        <f>(Table2[[#This Row],[Annual benefit payments (ongoing scheme)]]*1.005^(Table2[[#This Row],[Year]]-2038))/((1+BW137)*(1+Table2[[#This Row],[Self-sufficiency discount rate, from 2037]])^0.5)+BX137</f>
        <v>128.05052145331271</v>
      </c>
      <c r="BY138" s="74">
        <f>(BY137*((1+Table2[Self-sufficiency discount rate, from 2037])^0.5)-Table2[Annual benefit payments (ongoing scheme)]*1.005^(Table2[Year]-2038))*(1+Table2[Self-sufficiency discount rate, from 2037])^0.5</f>
        <v>-5.2107121688106895E-12</v>
      </c>
      <c r="BZ138" s="74">
        <f>(BZ137*((1+Table2[Discount rate B])^0.5)-Table2[Annual benefit payments (ongoing scheme)])*(1+Table2[Discount rate B])^0.5</f>
        <v>-4.6544816716113887E-12</v>
      </c>
      <c r="CA138" s="74">
        <f>(CA137*((1+Table2[Discount rate A2])^0.5)+Table2[Net cashflow (ongoing scheme)])*(1+Table2[Discount rate A2])^0.5</f>
        <v>-15.243359509322149</v>
      </c>
      <c r="CB138" s="74">
        <f>Table2[[#This Row],[Asset growth, ongoing scheme, with November de-risking, net of contributions and payments]]/(1+Table2[Compounded discount rate A2])</f>
        <v>-0.18613660305209309</v>
      </c>
      <c r="CC138" s="74">
        <f>Table2[[#This Row],[Asset growth, ongoing scheme, with November de-risking, net of contributions and payments]]/(1+Table2[Compounded CPI])</f>
        <v>-0.9838496624266212</v>
      </c>
      <c r="CD138" s="74">
        <f>(CD137*((1+Table2[Discount rate A1])^0.5)+Table2[Net cashflow (ongoing scheme)])*(1+Table2[Discount rate A1])^0.5</f>
        <v>249.2462356800923</v>
      </c>
      <c r="CE138" s="74">
        <f>Table2[[#This Row],[Asset growth, ongoing scheme, with September de-risking, net of contributions and payments]]/(1+Table2[Compounded discount rate A1])</f>
        <v>2.8907782951169847</v>
      </c>
      <c r="CF138" s="74">
        <f>Table2[[#This Row],[Asset growth, ongoing scheme, with September de-risking, net of contributions and payments]]/(1+Table2[Compounded CPI])</f>
        <v>16.087059068901375</v>
      </c>
      <c r="CG138" s="74">
        <f>(CG137*((1+Table2[Discount rate B])^0.5)+Table2[Net cashflow (ongoing scheme)])*(1+Table2[Discount rate B])^0.5</f>
        <v>3713.3875330402652</v>
      </c>
      <c r="CH138" s="74">
        <f>Table2[[#This Row],[Asset growth, ongoing scheme, no de-risking, net of contributions and payments]]/(1+Table2[Compounded discount rate B])</f>
        <v>15.305806084530865</v>
      </c>
      <c r="CI138" s="74">
        <f>Table2[[#This Row],[Asset growth, ongoing scheme, no de-risking, net of contributions and payments]]/(1+Table2[Compounded CPI])</f>
        <v>239.67256487040311</v>
      </c>
      <c r="CJ138" s="74">
        <f>(CJ137*((1+Table2[Discount rate E])^0.5)+Table2[Net cashflow (ongoing scheme)])*(1+Table2[Discount rate E])^0.5</f>
        <v>29251.128203272114</v>
      </c>
      <c r="CK138" s="74">
        <f>Table2[[#This Row],[Asset growth, ongoing scheme, best-estimates, no de-risking, net of contributions and payments ]]/(1+Table2[Compounded discount rate E])</f>
        <v>31.935332277009394</v>
      </c>
      <c r="CL138" s="74">
        <f>Table2[[#This Row],[Asset growth, ongoing scheme, best-estimates, no de-risking, net of contributions and payments ]]/(1+Table2[Compounded CPI])</f>
        <v>1887.9507887213006</v>
      </c>
      <c r="CM138" s="73">
        <f t="shared" si="24"/>
        <v>2.7699999999999999E-2</v>
      </c>
      <c r="CN138" s="75">
        <f>(1+Table2[[#This Row],[CPI]])*(1+CN137)-1</f>
        <v>14.493586155963182</v>
      </c>
      <c r="CO138" s="11">
        <f t="shared" si="23"/>
        <v>1.8100000000000002E-2</v>
      </c>
      <c r="CP138" s="75">
        <f>Table2[[#This Row],[CPI]]+2%</f>
        <v>4.7699999999999999E-2</v>
      </c>
      <c r="CQ138" s="76">
        <f>(1+Table2[[#This Row],[Salary growth]])*(1+CQ137)-1</f>
        <v>135.42864020719952</v>
      </c>
      <c r="CR138" s="77">
        <f t="shared" si="39"/>
        <v>154.9358615596318</v>
      </c>
      <c r="CS138" s="74">
        <f t="shared" si="40"/>
        <v>201.41662002752147</v>
      </c>
      <c r="CT138" s="74">
        <f>CT137*(1+Table2[[#This Row],[Salary growth]])</f>
        <v>1364.2864020719953</v>
      </c>
      <c r="CU138" s="78">
        <f t="shared" si="38"/>
        <v>1773.5723226935929</v>
      </c>
      <c r="CV138" s="116">
        <f>('Cash flows as at 31032017'!B123)/1000000000</f>
        <v>0</v>
      </c>
      <c r="CW138" s="117">
        <v>0</v>
      </c>
      <c r="CX138" s="117">
        <f>Table2[[#This Row],[Annual contributions (closed scheme)]]-Table2[[#This Row],[Annual benefit payments (closed scheme)]]</f>
        <v>0</v>
      </c>
      <c r="CY138" s="117">
        <v>0</v>
      </c>
      <c r="CZ138" s="117">
        <v>0</v>
      </c>
      <c r="DA138" s="117">
        <v>0</v>
      </c>
    </row>
    <row r="139" spans="1:105" x14ac:dyDescent="0.2">
      <c r="A139" s="7">
        <v>2132</v>
      </c>
      <c r="E139" s="6">
        <v>6.0999999999999999E-2</v>
      </c>
      <c r="F139" s="1">
        <f>F138*(1+Table2[[#This Row],[2008 discount rate]])</f>
        <v>52041.429153526842</v>
      </c>
      <c r="G139" s="1">
        <v>41.061</v>
      </c>
      <c r="H139">
        <f>H138*(1+Table2[[#This Row],[2011 discount rate]])</f>
        <v>6.4875201486640003E+54</v>
      </c>
      <c r="I139" s="1">
        <v>41.052</v>
      </c>
      <c r="J139" s="1">
        <f>J138*(1+Table2[[#This Row],[2014 discount rate]])</f>
        <v>3.4496376368113889E+54</v>
      </c>
      <c r="K139" s="9">
        <f>Table2[CPI]+1.7%</f>
        <v>4.4700000000000004E-2</v>
      </c>
      <c r="L139" s="108">
        <f t="shared" ref="L139:L144" si="41">(1+L138)*(1+K139)-1</f>
        <v>89.075237819112999</v>
      </c>
      <c r="M139" s="17">
        <f>Table2[[#This Row],[Annual benefit payments (closed scheme)]]/((1+L138)*(1+Table2[[#This Row],[Discount rate A1]])^0.5)+M138</f>
        <v>64.922568716167319</v>
      </c>
      <c r="N139" s="74">
        <f>N138*(1+Table2[Discount rate A1])</f>
        <v>5847.9158169364837</v>
      </c>
      <c r="O139" s="74">
        <f>Table2[[#This Row],[Asset growth A1, under the assumption of full-funding at Year 0]]/(1+Table2[[#This Row],[Compounded CPI]])</f>
        <v>367.26775826544764</v>
      </c>
      <c r="P139" s="74">
        <f>(P138*((1+Table2[Discount rate A1])^0.5)-Table2[Annual benefit payments (closed scheme)])*(1+Table2[Discount rate A1])^0.5</f>
        <v>7.9516337250499906E-13</v>
      </c>
      <c r="Q139" s="74">
        <f>Table2[[#This Row],[Asset growth A1 with benefit payments deducted]]/(1+Table2[Compounded CPI])</f>
        <v>4.993879501974302E-14</v>
      </c>
      <c r="R139" s="74">
        <f>Table2[[#This Row],[Asset growth A1 with benefit payments deducted]]/(1+Table2[Compounded discount rate A1])</f>
        <v>8.8277687826018034E-15</v>
      </c>
      <c r="S139" s="73">
        <f>Table2[CPI]+1.7%</f>
        <v>4.4700000000000004E-2</v>
      </c>
      <c r="T139" s="72">
        <f t="shared" si="32"/>
        <v>84.554036220012421</v>
      </c>
      <c r="U139" s="17">
        <f>Table2[[#This Row],[Annual benefit payments (closed scheme)]]/((1+T138)*(1+Table2[[#This Row],[Discount rate A2]])^0.5)+U138</f>
        <v>67.511306032910724</v>
      </c>
      <c r="V139" s="74">
        <f>V138*(1+Table2[Discount rate A2])</f>
        <v>5775.8647215999799</v>
      </c>
      <c r="W139" s="74">
        <f>Table2[[#This Row],[Asset growth A2, under the assumption of full-funding at Year 0]]/(1+Table2[Compounded CPI])</f>
        <v>362.74271975716925</v>
      </c>
      <c r="X139" s="74">
        <f>(X138*((1+Table2[Discount rate A2])^0.5)-Table2[Annual benefit payments (closed scheme)])*(1+Table2[Discount rate A2])^0.5</f>
        <v>2.4899792376427571E-12</v>
      </c>
      <c r="Y139" s="74">
        <f>Table2[[#This Row],[Asset growth A2 with benefit payments deducted]]/(1+Table2[[#This Row],[Compounded CPI]])</f>
        <v>1.563786349468403E-13</v>
      </c>
      <c r="Z139" s="78">
        <f>Table2[[#This Row],[Asset growth A2 with benefit payments deducted]]/(1+Table2[Compounded discount rate A2])</f>
        <v>2.9104170272451886E-14</v>
      </c>
      <c r="AA139" s="109">
        <f>Table2[CPI]+2.8%</f>
        <v>5.57E-2</v>
      </c>
      <c r="AB139" s="72">
        <f t="shared" si="33"/>
        <v>255.1265442002865</v>
      </c>
      <c r="AC139" s="74">
        <f>Table2[[#This Row],[Annual benefit payments (closed scheme)]]/((1+AB138)*(1+Table2[[#This Row],[Discount rate B]])^0.5)+AC138</f>
        <v>60.426898501081197</v>
      </c>
      <c r="AD139" s="110">
        <f>AD138*(1+Table2[Discount rate B])</f>
        <v>15367.592652017187</v>
      </c>
      <c r="AE139" s="71">
        <f>Table2[[#This Row],[Asset growth B]]/(1+Table2[Compounded CPI])</f>
        <v>965.13381517855373</v>
      </c>
      <c r="AF139" s="74">
        <f>(AF138*((1+Table2[Discount rate B])^0.5)-Table2[Annual benefit payments (closed scheme)])*(1+Table2[Discount rate B])^0.5</f>
        <v>-109.34003780620917</v>
      </c>
      <c r="AG139" s="74">
        <f>Table2[[#This Row],[Asset growth B with benefit payments deducted]]/(1+Table2[Compounded CPI])</f>
        <v>-6.8669029840416895</v>
      </c>
      <c r="AH139" s="78">
        <f>Table2[[#This Row],[Asset growth B with benefit payments deducted]]/(1+Table2[Compounded discount rate B])</f>
        <v>-0.42689850108119665</v>
      </c>
      <c r="AI139" s="75">
        <f>Table2[CPI]+2.56%</f>
        <v>5.33E-2</v>
      </c>
      <c r="AJ139" s="72">
        <f t="shared" si="34"/>
        <v>249.63077040968571</v>
      </c>
      <c r="AK139" s="74">
        <f>Table2[[#This Row],[Annual benefit payments (closed scheme)]]/((1+AJ138)*(1+Table2[[#This Row],[Discount rate C]])^0.5)+AK138</f>
        <v>52.353435276202354</v>
      </c>
      <c r="AL139" s="74">
        <f>AL138*(1+Table2[Discount rate C])</f>
        <v>15037.846224581142</v>
      </c>
      <c r="AM139" s="74">
        <f>Table2[[#This Row],[Asset growth C]]/(1+Table2[Compounded CPI])</f>
        <v>944.42468820211263</v>
      </c>
      <c r="AN139" s="74">
        <f>(AN138*((1+Table2[Discount rate C])^0.5)-Table2[Annual benefit payments (closed scheme)])*(1+Table2[Discount rate C])^0.5</f>
        <v>1916.4644077129105</v>
      </c>
      <c r="AO139" s="74">
        <f>Table2[[#This Row],[Asset growth C with benefit payments deducted]]/(1+Table2[Compounded CPI])</f>
        <v>120.36007508482989</v>
      </c>
      <c r="AP139" s="78">
        <f>Table2[[#This Row],[Asset growth C with benefit payments deducted]]/(1+Table2[Compounded discount rate C])</f>
        <v>7.64656472379757</v>
      </c>
      <c r="AQ139" s="75">
        <f>Table2[CPI]+2.56%</f>
        <v>5.33E-2</v>
      </c>
      <c r="AR139" s="72">
        <f t="shared" si="35"/>
        <v>233.60722448950921</v>
      </c>
      <c r="AS139" s="74">
        <f>Table2[[#This Row],[Annual benefit payments (closed scheme)]]/((1+AR138)*(1+Table2[[#This Row],[Discount rate D]])^0.5)+AS138</f>
        <v>54.852927873175936</v>
      </c>
      <c r="AT139" s="71">
        <f>AT138*(1+Table2[Discount rate D])</f>
        <v>14076.433469370546</v>
      </c>
      <c r="AU139" s="74">
        <f>Table2[[#This Row],[Asset growth D]]/(1+Table2[Compounded CPI])</f>
        <v>884.0449018940775</v>
      </c>
      <c r="AV139" s="74">
        <f>(AV138*((1+Table2[Discount rate D])^0.5)-Table2[Annual benefit payments (closed scheme)])*(1+Table2[Discount rate D])^0.5</f>
        <v>1207.5403059214966</v>
      </c>
      <c r="AW139" s="74">
        <f>Table2[[#This Row],[Asset growth D with benefit payments deducted]]/(1+Table2[Compounded CPI])</f>
        <v>75.837381223331278</v>
      </c>
      <c r="AX139" s="78">
        <f>Table2[[#This Row],[Asset growth D with benefit payments deducted]]/(1+Table2[Compounded discount rate D])</f>
        <v>5.1470721268240123</v>
      </c>
      <c r="AY139" s="75">
        <f>Table2[CPI]+4%</f>
        <v>6.7699999999999996E-2</v>
      </c>
      <c r="AZ139" s="72">
        <f t="shared" si="36"/>
        <v>976.95849787094585</v>
      </c>
      <c r="BA139" s="74">
        <f>Table2[[#This Row],[Annual benefit payments (closed scheme)]]/((1+AZ138)*(1+Table2[[#This Row],[Discount rate E]])^0.5)+BA138</f>
        <v>48.297580675656633</v>
      </c>
      <c r="BB139" s="17">
        <f>BB138*(1+Table2[Discount rate E])</f>
        <v>58677.509872256851</v>
      </c>
      <c r="BC139" s="71">
        <f>Table2[[#This Row],[Asset growth E]]/(1+Table2[Compounded CPI])</f>
        <v>3685.1347020025873</v>
      </c>
      <c r="BD139" s="74">
        <f>(BD138*((1+Table2[Discount rate E])^0.5)-Table2[Annual benefit payments (closed scheme)])*(1+Table2[Discount rate E])^0.5</f>
        <v>11444.480423890707</v>
      </c>
      <c r="BE139" s="74">
        <f>Table2[[#This Row],[Asset growth E with benefit payments deducted]]/(1+Table2[Compounded CPI])</f>
        <v>718.74985915871855</v>
      </c>
      <c r="BF139" s="78">
        <f>Table2[[#This Row],[Asset growth E with benefit payments deducted]]/(1+Table2[Compounded discount rate E])</f>
        <v>11.702419324343305</v>
      </c>
      <c r="BG139" s="75">
        <f>Table2[[#This Row],[Long-dated forward gilt yields]]+0.75%</f>
        <v>2.5600000000000001E-2</v>
      </c>
      <c r="BH139" s="75">
        <f t="shared" si="37"/>
        <v>14.949773185210633</v>
      </c>
      <c r="BI139" s="17">
        <f>((Table2[[#This Row],[Annual benefit payments (closed scheme)]])*1.005^(Table2[[#This Row],[Year]]-2018))/((1+BH138)*(1+Table2[[#This Row],[Discount rate F]])^0.5)+BI138</f>
        <v>82.34349485762877</v>
      </c>
      <c r="BJ139" s="74">
        <f>BJ138*(1+Table2[Discount rate F])</f>
        <v>1313.3600662567371</v>
      </c>
      <c r="BK139" s="74">
        <f>Table2[[#This Row],[Asset growth F, under the assumption of full-funding at Year 0]]/(1+Table2[[#This Row],[Compounded CPI]])</f>
        <v>82.483199558464278</v>
      </c>
      <c r="BL139" s="74">
        <f>(BL138*((1+Table2[Discount rate F])^0.5)-Table2[Annual benefit payments (closed scheme)]*1.005^(Table2[Year]-2018))*(1+Table2[Discount rate F])^0.5</f>
        <v>-4.0389592764602486E-13</v>
      </c>
      <c r="BM139" s="74">
        <f>Table2[[#This Row],[Asset growth F with benefit payments deducted]]/(1+Table2[Compounded CPI])</f>
        <v>-2.5365952001136704E-14</v>
      </c>
      <c r="BN139" s="78">
        <f>Table2[[#This Row],[Asset growth F with benefit payments deducted]]/(1+Table2[Compounded discount rate F])</f>
        <v>-2.5322988794632882E-14</v>
      </c>
      <c r="BO139" s="18">
        <f>(1+BO138)*(1+Table2[Discount rate A2])-1</f>
        <v>47.116040043466235</v>
      </c>
      <c r="BP139" s="74">
        <f>Table2[[#This Row],[Annual benefit payments (ongoing scheme)]]/((1+BO138)*(1+Table2[[#This Row],[Discount rate A2]])^0.5)+BP138</f>
        <v>112.5091731857294</v>
      </c>
      <c r="BQ139" s="74">
        <f>(BQ138*((1+Table2[Discount rate A2])^0.5)-Table2[Annual benefit payments (ongoing scheme)])*(1+Table2[Discount rate A2])^0.5</f>
        <v>1.9268079729171874E-13</v>
      </c>
      <c r="BR139" s="18">
        <f>(1+BR138)*(1+Table2[Discount rate B])-1</f>
        <v>129.53164483533479</v>
      </c>
      <c r="BS139" s="74">
        <f>Table2[[#This Row],[Annual benefit payments (ongoing scheme)]]/((1+BR138)*(1+Table2[[#This Row],[Discount rate B]])^0.5)+BS138</f>
        <v>93.512942296053311</v>
      </c>
      <c r="BT139" s="18">
        <f>(1+BT138)*(1+Table2[Discount rate E])-1</f>
        <v>382.18470575014322</v>
      </c>
      <c r="BU139" s="74">
        <f>Table2[[#This Row],[Annual benefit payments (ongoing scheme)]]/((1+BT138)*(1+Table2[[#This Row],[Discount rate E]])^0.5)+BU138</f>
        <v>78.139825166219183</v>
      </c>
      <c r="BV139" s="18">
        <f>Table2[CPI]+0.75%+0.75%</f>
        <v>4.2699999999999995E-2</v>
      </c>
      <c r="BW139" s="18">
        <f>(1+BW138)*(1+Table2[Self-sufficiency discount rate, from 2037])-1</f>
        <v>39.086081986938076</v>
      </c>
      <c r="BX139" s="17">
        <f>(Table2[[#This Row],[Annual benefit payments (ongoing scheme)]]*1.005^(Table2[[#This Row],[Year]]-2038))/((1+BW138)*(1+Table2[[#This Row],[Self-sufficiency discount rate, from 2037]])^0.5)+BX138</f>
        <v>128.05052145331271</v>
      </c>
      <c r="BY139" s="74">
        <f>(BY138*((1+Table2[Self-sufficiency discount rate, from 2037])^0.5)-Table2[Annual benefit payments (ongoing scheme)]*1.005^(Table2[Year]-2038))*(1+Table2[Self-sufficiency discount rate, from 2037])^0.5</f>
        <v>-5.4332095784189053E-12</v>
      </c>
      <c r="BZ139" s="74">
        <f>(BZ138*((1+Table2[Discount rate B])^0.5)-Table2[Annual benefit payments (ongoing scheme)])*(1+Table2[Discount rate B])^0.5</f>
        <v>-4.9137363007201422E-12</v>
      </c>
      <c r="CA139" s="74">
        <f>(CA138*((1+Table2[Discount rate A2])^0.5)+Table2[Net cashflow (ongoing scheme)])*(1+Table2[Discount rate A2])^0.5</f>
        <v>-15.924737679388848</v>
      </c>
      <c r="CB139" s="74">
        <f>Table2[[#This Row],[Asset growth, ongoing scheme, with November de-risking, net of contributions and payments]]/(1+Table2[Compounded discount rate A2])</f>
        <v>-0.18613660305209309</v>
      </c>
      <c r="CC139" s="74">
        <f>Table2[[#This Row],[Asset growth, ongoing scheme, with November de-risking, net of contributions and payments]]/(1+Table2[Compounded CPI])</f>
        <v>-1.0001242992479236</v>
      </c>
      <c r="CD139" s="74">
        <f>(CD138*((1+Table2[Discount rate A1])^0.5)+Table2[Net cashflow (ongoing scheme)])*(1+Table2[Discount rate A1])^0.5</f>
        <v>260.38754241499237</v>
      </c>
      <c r="CE139" s="74">
        <f>Table2[[#This Row],[Asset growth, ongoing scheme, with September de-risking, net of contributions and payments]]/(1+Table2[Compounded discount rate A1])</f>
        <v>2.8907782951169843</v>
      </c>
      <c r="CF139" s="74">
        <f>Table2[[#This Row],[Asset growth, ongoing scheme, with September de-risking, net of contributions and payments]]/(1+Table2[Compounded CPI])</f>
        <v>16.35316785957114</v>
      </c>
      <c r="CG139" s="74">
        <f>(CG138*((1+Table2[Discount rate B])^0.5)+Table2[Net cashflow (ongoing scheme)])*(1+Table2[Discount rate B])^0.5</f>
        <v>3920.2232186306073</v>
      </c>
      <c r="CH139" s="74">
        <f>Table2[[#This Row],[Asset growth, ongoing scheme, no de-risking, net of contributions and payments]]/(1+Table2[Compounded discount rate B])</f>
        <v>15.305806084530859</v>
      </c>
      <c r="CI139" s="74">
        <f>Table2[[#This Row],[Asset growth, ongoing scheme, no de-risking, net of contributions and payments]]/(1+Table2[Compounded CPI])</f>
        <v>246.2025170124399</v>
      </c>
      <c r="CJ139" s="74">
        <f>(CJ138*((1+Table2[Discount rate E])^0.5)+Table2[Net cashflow (ongoing scheme)])*(1+Table2[Discount rate E])^0.5</f>
        <v>31231.429582633635</v>
      </c>
      <c r="CK139" s="74">
        <f>Table2[[#This Row],[Asset growth, ongoing scheme, best-estimates, no de-risking, net of contributions and payments ]]/(1+Table2[Compounded discount rate E])</f>
        <v>31.93533227700939</v>
      </c>
      <c r="CL139" s="74">
        <f>Table2[[#This Row],[Asset growth, ongoing scheme, best-estimates, no de-risking, net of contributions and payments ]]/(1+Table2[Compounded CPI])</f>
        <v>1961.4333532331734</v>
      </c>
      <c r="CM139" s="73">
        <f t="shared" si="24"/>
        <v>2.7699999999999999E-2</v>
      </c>
      <c r="CN139" s="75">
        <f>(1+Table2[[#This Row],[CPI]])*(1+CN138)-1</f>
        <v>14.922758492483364</v>
      </c>
      <c r="CO139" s="11">
        <f t="shared" si="23"/>
        <v>1.8100000000000002E-2</v>
      </c>
      <c r="CP139" s="75">
        <f>Table2[[#This Row],[CPI]]+2%</f>
        <v>4.7699999999999999E-2</v>
      </c>
      <c r="CQ139" s="76">
        <f>(1+Table2[[#This Row],[Salary growth]])*(1+CQ138)-1</f>
        <v>141.93628634508295</v>
      </c>
      <c r="CR139" s="77">
        <f t="shared" si="39"/>
        <v>159.22758492483362</v>
      </c>
      <c r="CS139" s="74">
        <f t="shared" si="40"/>
        <v>206.99586040228382</v>
      </c>
      <c r="CT139" s="74">
        <f>CT138*(1+Table2[[#This Row],[Salary growth]])</f>
        <v>1429.3628634508295</v>
      </c>
      <c r="CU139" s="78">
        <f t="shared" si="38"/>
        <v>1858.1717224860774</v>
      </c>
      <c r="CV139" s="116">
        <f>('Cash flows as at 31032017'!B124)/1000000000</f>
        <v>0</v>
      </c>
      <c r="CW139" s="117">
        <v>0</v>
      </c>
      <c r="CX139" s="117">
        <f>Table2[[#This Row],[Annual contributions (closed scheme)]]-Table2[[#This Row],[Annual benefit payments (closed scheme)]]</f>
        <v>0</v>
      </c>
      <c r="CY139" s="117">
        <v>0</v>
      </c>
      <c r="CZ139" s="117">
        <v>0</v>
      </c>
      <c r="DA139" s="117">
        <v>0</v>
      </c>
    </row>
    <row r="140" spans="1:105" x14ac:dyDescent="0.2">
      <c r="A140" s="7">
        <v>2133</v>
      </c>
      <c r="E140" s="6">
        <v>6.0999999999999999E-2</v>
      </c>
      <c r="F140" s="1">
        <f>F139*(1+Table2[[#This Row],[2008 discount rate]])</f>
        <v>55215.956331891975</v>
      </c>
      <c r="G140" s="1">
        <v>42.061</v>
      </c>
      <c r="H140">
        <f>H139*(1+Table2[[#This Row],[2011 discount rate]])</f>
        <v>2.7935910512162052E+56</v>
      </c>
      <c r="I140" s="1">
        <v>42.052</v>
      </c>
      <c r="J140" s="1">
        <f>J139*(1+Table2[[#This Row],[2014 discount rate]])</f>
        <v>1.4851379954000391E+56</v>
      </c>
      <c r="K140" s="9">
        <f>Table2[CPI]+1.7%</f>
        <v>4.4700000000000004E-2</v>
      </c>
      <c r="L140" s="108">
        <f t="shared" si="41"/>
        <v>93.10160094962734</v>
      </c>
      <c r="M140" s="17">
        <f>Table2[[#This Row],[Annual benefit payments (closed scheme)]]/((1+L139)*(1+Table2[[#This Row],[Discount rate A1]])^0.5)+M139</f>
        <v>64.922568716167319</v>
      </c>
      <c r="N140" s="74">
        <f>N139*(1+Table2[Discount rate A1])</f>
        <v>6109.3176539535443</v>
      </c>
      <c r="O140" s="74">
        <f>Table2[[#This Row],[Asset growth A1, under the assumption of full-funding at Year 0]]/(1+Table2[[#This Row],[Compounded CPI]])</f>
        <v>373.34302526020542</v>
      </c>
      <c r="P140" s="74">
        <f>(P139*((1+Table2[Discount rate A1])^0.5)-Table2[Annual benefit payments (closed scheme)])*(1+Table2[Discount rate A1])^0.5</f>
        <v>8.307071752559724E-13</v>
      </c>
      <c r="Q140" s="74">
        <f>Table2[[#This Row],[Asset growth A1 with benefit payments deducted]]/(1+Table2[Compounded CPI])</f>
        <v>5.0764872197261381E-14</v>
      </c>
      <c r="R140" s="74">
        <f>Table2[[#This Row],[Asset growth A1 with benefit payments deducted]]/(1+Table2[Compounded discount rate A1])</f>
        <v>8.8277687826018034E-15</v>
      </c>
      <c r="S140" s="73">
        <f>Table2[CPI]+1.7%</f>
        <v>4.4700000000000004E-2</v>
      </c>
      <c r="T140" s="72">
        <f t="shared" si="32"/>
        <v>88.378301639046967</v>
      </c>
      <c r="U140" s="17">
        <f>Table2[[#This Row],[Annual benefit payments (closed scheme)]]/((1+T139)*(1+Table2[[#This Row],[Discount rate A2]])^0.5)+U139</f>
        <v>67.511306032910724</v>
      </c>
      <c r="V140" s="74">
        <f>V139*(1+Table2[Discount rate A2])</f>
        <v>6034.0458746554987</v>
      </c>
      <c r="W140" s="74">
        <f>Table2[[#This Row],[Asset growth A2, under the assumption of full-funding at Year 0]]/(1+Table2[Compounded CPI])</f>
        <v>368.743134504539</v>
      </c>
      <c r="X140" s="74">
        <f>(X139*((1+Table2[Discount rate A2])^0.5)-Table2[Annual benefit payments (closed scheme)])*(1+Table2[Discount rate A2])^0.5</f>
        <v>2.6012813095653881E-12</v>
      </c>
      <c r="Y140" s="74">
        <f>Table2[[#This Row],[Asset growth A2 with benefit payments deducted]]/(1+Table2[[#This Row],[Compounded CPI]])</f>
        <v>1.5896541785439724E-13</v>
      </c>
      <c r="Z140" s="78">
        <f>Table2[[#This Row],[Asset growth A2 with benefit payments deducted]]/(1+Table2[Compounded discount rate A2])</f>
        <v>2.910417027245188E-14</v>
      </c>
      <c r="AA140" s="109">
        <f>Table2[CPI]+2.8%</f>
        <v>5.57E-2</v>
      </c>
      <c r="AB140" s="72">
        <f t="shared" si="33"/>
        <v>269.39279271224251</v>
      </c>
      <c r="AC140" s="74">
        <f>Table2[[#This Row],[Annual benefit payments (closed scheme)]]/((1+AB139)*(1+Table2[[#This Row],[Discount rate B]])^0.5)+AC139</f>
        <v>60.426898501081197</v>
      </c>
      <c r="AD140" s="110">
        <f>AD139*(1+Table2[Discount rate B])</f>
        <v>16223.567562734546</v>
      </c>
      <c r="AE140" s="71">
        <f>Table2[[#This Row],[Asset growth B]]/(1+Table2[Compounded CPI])</f>
        <v>991.42918038727191</v>
      </c>
      <c r="AF140" s="74">
        <f>(AF139*((1+Table2[Discount rate B])^0.5)-Table2[Annual benefit payments (closed scheme)])*(1+Table2[Discount rate B])^0.5</f>
        <v>-115.430277912015</v>
      </c>
      <c r="AG140" s="74">
        <f>Table2[[#This Row],[Asset growth B with benefit payments deducted]]/(1+Table2[Compounded CPI])</f>
        <v>-7.0539938505914277</v>
      </c>
      <c r="AH140" s="78">
        <f>Table2[[#This Row],[Asset growth B with benefit payments deducted]]/(1+Table2[Compounded discount rate B])</f>
        <v>-0.42689850108119648</v>
      </c>
      <c r="AI140" s="75">
        <f>Table2[CPI]+2.56%</f>
        <v>5.33E-2</v>
      </c>
      <c r="AJ140" s="72">
        <f t="shared" si="34"/>
        <v>262.98939047252196</v>
      </c>
      <c r="AK140" s="74">
        <f>Table2[[#This Row],[Annual benefit payments (closed scheme)]]/((1+AJ139)*(1+Table2[[#This Row],[Discount rate C]])^0.5)+AK139</f>
        <v>52.353435276202354</v>
      </c>
      <c r="AL140" s="74">
        <f>AL139*(1+Table2[Discount rate C])</f>
        <v>15839.363428351317</v>
      </c>
      <c r="AM140" s="74">
        <f>Table2[[#This Row],[Asset growth C]]/(1+Table2[Compounded CPI])</f>
        <v>967.95030075244256</v>
      </c>
      <c r="AN140" s="74">
        <f>(AN139*((1+Table2[Discount rate C])^0.5)-Table2[Annual benefit payments (closed scheme)])*(1+Table2[Discount rate C])^0.5</f>
        <v>2018.6119606440081</v>
      </c>
      <c r="AO140" s="74">
        <f>Table2[[#This Row],[Asset growth C with benefit payments deducted]]/(1+Table2[Compounded CPI])</f>
        <v>123.35824373538124</v>
      </c>
      <c r="AP140" s="78">
        <f>Table2[[#This Row],[Asset growth C with benefit payments deducted]]/(1+Table2[Compounded discount rate C])</f>
        <v>7.6465647237975674</v>
      </c>
      <c r="AQ140" s="75">
        <f>Table2[CPI]+2.56%</f>
        <v>5.33E-2</v>
      </c>
      <c r="AR140" s="72">
        <f t="shared" si="35"/>
        <v>246.11178955480003</v>
      </c>
      <c r="AS140" s="74">
        <f>Table2[[#This Row],[Annual benefit payments (closed scheme)]]/((1+AR139)*(1+Table2[[#This Row],[Discount rate D]])^0.5)+AS139</f>
        <v>54.852927873175936</v>
      </c>
      <c r="AT140" s="71">
        <f>AT139*(1+Table2[Discount rate D])</f>
        <v>14826.707373287994</v>
      </c>
      <c r="AU140" s="74">
        <f>Table2[[#This Row],[Asset growth D]]/(1+Table2[Compounded CPI])</f>
        <v>906.06645437874067</v>
      </c>
      <c r="AV140" s="74">
        <f>(AV139*((1+Table2[Discount rate D])^0.5)-Table2[Annual benefit payments (closed scheme)])*(1+Table2[Discount rate D])^0.5</f>
        <v>1271.9022042271122</v>
      </c>
      <c r="AW140" s="74">
        <f>Table2[[#This Row],[Asset growth D with benefit payments deducted]]/(1+Table2[Compounded CPI])</f>
        <v>77.726489873051307</v>
      </c>
      <c r="AX140" s="78">
        <f>Table2[[#This Row],[Asset growth D with benefit payments deducted]]/(1+Table2[Compounded discount rate D])</f>
        <v>5.1470721268240114</v>
      </c>
      <c r="AY140" s="75">
        <f>Table2[CPI]+4%</f>
        <v>6.7699999999999996E-2</v>
      </c>
      <c r="AZ140" s="72">
        <f t="shared" si="36"/>
        <v>1043.1662881768091</v>
      </c>
      <c r="BA140" s="74">
        <f>Table2[[#This Row],[Annual benefit payments (closed scheme)]]/((1+AZ139)*(1+Table2[[#This Row],[Discount rate E]])^0.5)+BA139</f>
        <v>48.297580675656633</v>
      </c>
      <c r="BB140" s="17">
        <f>BB139*(1+Table2[Discount rate E])</f>
        <v>62649.977290608644</v>
      </c>
      <c r="BC140" s="71">
        <f>Table2[[#This Row],[Asset growth E]]/(1+Table2[Compounded CPI])</f>
        <v>3828.5670150123215</v>
      </c>
      <c r="BD140" s="74">
        <f>(BD139*((1+Table2[Discount rate E])^0.5)-Table2[Annual benefit payments (closed scheme)])*(1+Table2[Discount rate E])^0.5</f>
        <v>12219.271748588108</v>
      </c>
      <c r="BE140" s="74">
        <f>Table2[[#This Row],[Asset growth E with benefit payments deducted]]/(1+Table2[Compounded CPI])</f>
        <v>746.72494368372452</v>
      </c>
      <c r="BF140" s="78">
        <f>Table2[[#This Row],[Asset growth E with benefit payments deducted]]/(1+Table2[Compounded discount rate E])</f>
        <v>11.702419324343301</v>
      </c>
      <c r="BG140" s="75">
        <f>Table2[[#This Row],[Long-dated forward gilt yields]]+0.75%</f>
        <v>2.5600000000000001E-2</v>
      </c>
      <c r="BH140" s="75">
        <f t="shared" si="37"/>
        <v>15.358087378752025</v>
      </c>
      <c r="BI140" s="17">
        <f>((Table2[[#This Row],[Annual benefit payments (closed scheme)]])*1.005^(Table2[[#This Row],[Year]]-2018))/((1+BH139)*(1+Table2[[#This Row],[Discount rate F]])^0.5)+BI139</f>
        <v>82.34349485762877</v>
      </c>
      <c r="BJ140" s="74">
        <f>BJ139*(1+Table2[Discount rate F])</f>
        <v>1346.9820839529098</v>
      </c>
      <c r="BK140" s="74">
        <f>Table2[[#This Row],[Asset growth F, under the assumption of full-funding at Year 0]]/(1+Table2[[#This Row],[Compounded CPI]])</f>
        <v>82.314653563453319</v>
      </c>
      <c r="BL140" s="74">
        <f>(BL139*((1+Table2[Discount rate F])^0.5)-Table2[Annual benefit payments (closed scheme)]*1.005^(Table2[Year]-2018))*(1+Table2[Discount rate F])^0.5</f>
        <v>-4.1423566339376313E-13</v>
      </c>
      <c r="BM140" s="74">
        <f>Table2[[#This Row],[Asset growth F with benefit payments deducted]]/(1+Table2[Compounded CPI])</f>
        <v>-2.5314119268624898E-14</v>
      </c>
      <c r="BN140" s="78">
        <f>Table2[[#This Row],[Asset growth F with benefit payments deducted]]/(1+Table2[Compounded discount rate F])</f>
        <v>-2.5322988794632885E-14</v>
      </c>
      <c r="BO140" s="18">
        <f>(1+BO139)*(1+Table2[Discount rate A2])-1</f>
        <v>49.266827033409172</v>
      </c>
      <c r="BP140" s="74">
        <f>Table2[[#This Row],[Annual benefit payments (ongoing scheme)]]/((1+BO139)*(1+Table2[[#This Row],[Discount rate A2]])^0.5)+BP139</f>
        <v>112.5091731857294</v>
      </c>
      <c r="BQ140" s="74">
        <f>(BQ139*((1+Table2[Discount rate A2])^0.5)-Table2[Annual benefit payments (ongoing scheme)])*(1+Table2[Discount rate A2])^0.5</f>
        <v>2.0129362893065854E-13</v>
      </c>
      <c r="BR140" s="18">
        <f>(1+BR139)*(1+Table2[Discount rate B])-1</f>
        <v>136.80225745266296</v>
      </c>
      <c r="BS140" s="74">
        <f>Table2[[#This Row],[Annual benefit payments (ongoing scheme)]]/((1+BR139)*(1+Table2[[#This Row],[Discount rate B]])^0.5)+BS139</f>
        <v>93.512942296053311</v>
      </c>
      <c r="BT140" s="18">
        <f>(1+BT139)*(1+Table2[Discount rate E])-1</f>
        <v>408.12631032942795</v>
      </c>
      <c r="BU140" s="74">
        <f>Table2[[#This Row],[Annual benefit payments (ongoing scheme)]]/((1+BT139)*(1+Table2[[#This Row],[Discount rate E]])^0.5)+BU139</f>
        <v>78.139825166219183</v>
      </c>
      <c r="BV140" s="18">
        <f>Table2[CPI]+0.75%+0.75%</f>
        <v>4.2699999999999995E-2</v>
      </c>
      <c r="BW140" s="18">
        <f>(1+BW139)*(1+Table2[Self-sufficiency discount rate, from 2037])-1</f>
        <v>40.797757687780333</v>
      </c>
      <c r="BX140" s="17">
        <f>(Table2[[#This Row],[Annual benefit payments (ongoing scheme)]]*1.005^(Table2[[#This Row],[Year]]-2038))/((1+BW139)*(1+Table2[[#This Row],[Self-sufficiency discount rate, from 2037]])^0.5)+BX139</f>
        <v>128.05052145331271</v>
      </c>
      <c r="BY140" s="74">
        <f>(BY139*((1+Table2[Self-sufficiency discount rate, from 2037])^0.5)-Table2[Annual benefit payments (ongoing scheme)]*1.005^(Table2[Year]-2038))*(1+Table2[Self-sufficiency discount rate, from 2037])^0.5</f>
        <v>-5.6652076274173918E-12</v>
      </c>
      <c r="BZ140" s="74">
        <f>(BZ139*((1+Table2[Discount rate B])^0.5)-Table2[Annual benefit payments (ongoing scheme)])*(1+Table2[Discount rate B])^0.5</f>
        <v>-5.1874314126702532E-12</v>
      </c>
      <c r="CA140" s="74">
        <f>(CA139*((1+Table2[Discount rate A2])^0.5)+Table2[Net cashflow (ongoing scheme)])*(1+Table2[Discount rate A2])^0.5</f>
        <v>-16.636573453657526</v>
      </c>
      <c r="CB140" s="74">
        <f>Table2[[#This Row],[Asset growth, ongoing scheme, with November de-risking, net of contributions and payments]]/(1+Table2[Compounded discount rate A2])</f>
        <v>-0.18613660305209309</v>
      </c>
      <c r="CC140" s="74">
        <f>Table2[[#This Row],[Asset growth, ongoing scheme, with November de-risking, net of contributions and payments]]/(1+Table2[Compounded CPI])</f>
        <v>-1.0166681477321255</v>
      </c>
      <c r="CD140" s="74">
        <f>(CD139*((1+Table2[Discount rate A1])^0.5)+Table2[Net cashflow (ongoing scheme)])*(1+Table2[Discount rate A1])^0.5</f>
        <v>272.02686556094244</v>
      </c>
      <c r="CE140" s="74">
        <f>Table2[[#This Row],[Asset growth, ongoing scheme, with September de-risking, net of contributions and payments]]/(1+Table2[Compounded discount rate A1])</f>
        <v>2.8907782951169834</v>
      </c>
      <c r="CF140" s="74">
        <f>Table2[[#This Row],[Asset growth, ongoing scheme, with September de-risking, net of contributions and payments]]/(1+Table2[Compounded CPI])</f>
        <v>16.623678566599168</v>
      </c>
      <c r="CG140" s="74">
        <f>(CG139*((1+Table2[Discount rate B])^0.5)+Table2[Net cashflow (ongoing scheme)])*(1+Table2[Discount rate B])^0.5</f>
        <v>4138.5796519083315</v>
      </c>
      <c r="CH140" s="74">
        <f>Table2[[#This Row],[Asset growth, ongoing scheme, no de-risking, net of contributions and payments]]/(1+Table2[Compounded discount rate B])</f>
        <v>15.305806084530854</v>
      </c>
      <c r="CI140" s="74">
        <f>Table2[[#This Row],[Asset growth, ongoing scheme, no de-risking, net of contributions and payments]]/(1+Table2[Compounded CPI])</f>
        <v>252.91037969254916</v>
      </c>
      <c r="CJ140" s="74">
        <f>(CJ139*((1+Table2[Discount rate E])^0.5)+Table2[Net cashflow (ongoing scheme)])*(1+Table2[Discount rate E])^0.5</f>
        <v>33345.797365377934</v>
      </c>
      <c r="CK140" s="74">
        <f>Table2[[#This Row],[Asset growth, ongoing scheme, best-estimates, no de-risking, net of contributions and payments ]]/(1+Table2[Compounded discount rate E])</f>
        <v>31.935332277009383</v>
      </c>
      <c r="CL140" s="74">
        <f>Table2[[#This Row],[Asset growth, ongoing scheme, best-estimates, no de-risking, net of contributions and payments ]]/(1+Table2[Compounded CPI])</f>
        <v>2037.7759961536046</v>
      </c>
      <c r="CM140" s="73">
        <f t="shared" si="24"/>
        <v>2.7699999999999999E-2</v>
      </c>
      <c r="CN140" s="75">
        <f>(1+Table2[[#This Row],[CPI]])*(1+CN139)-1</f>
        <v>15.363818902725153</v>
      </c>
      <c r="CO140" s="11">
        <f>CO139</f>
        <v>1.8100000000000002E-2</v>
      </c>
      <c r="CP140" s="75">
        <f>Table2[[#This Row],[CPI]]+2%</f>
        <v>4.7699999999999999E-2</v>
      </c>
      <c r="CQ140" s="76">
        <f>(1+Table2[[#This Row],[Salary growth]])*(1+CQ139)-1</f>
        <v>148.75434720374341</v>
      </c>
      <c r="CR140" s="77">
        <f t="shared" si="39"/>
        <v>163.63818902725151</v>
      </c>
      <c r="CS140" s="74">
        <f t="shared" si="40"/>
        <v>212.72964573542708</v>
      </c>
      <c r="CT140" s="74">
        <f>CT139*(1+Table2[[#This Row],[Salary growth]])</f>
        <v>1497.5434720374342</v>
      </c>
      <c r="CU140" s="78">
        <f t="shared" si="38"/>
        <v>1946.8065136486634</v>
      </c>
      <c r="CV140" s="116">
        <f>('Cash flows as at 31032017'!B125)/1000000000</f>
        <v>0</v>
      </c>
      <c r="CW140" s="117">
        <v>0</v>
      </c>
      <c r="CX140" s="117">
        <f>Table2[[#This Row],[Annual contributions (closed scheme)]]-Table2[[#This Row],[Annual benefit payments (closed scheme)]]</f>
        <v>0</v>
      </c>
      <c r="CY140" s="117">
        <v>0</v>
      </c>
      <c r="CZ140" s="117">
        <v>0</v>
      </c>
      <c r="DA140" s="117">
        <v>0</v>
      </c>
    </row>
    <row r="141" spans="1:105" x14ac:dyDescent="0.2">
      <c r="A141" s="7">
        <v>2134</v>
      </c>
      <c r="E141" s="6">
        <v>6.0999999999999999E-2</v>
      </c>
      <c r="F141" s="1">
        <f>F140*(1+Table2[[#This Row],[2008 discount rate]])</f>
        <v>58584.129668137386</v>
      </c>
      <c r="G141" s="1">
        <v>43.061</v>
      </c>
      <c r="H141">
        <f>H140*(1+Table2[[#This Row],[2011 discount rate]])</f>
        <v>1.2308841530763722E+58</v>
      </c>
      <c r="I141" s="1">
        <v>43.052</v>
      </c>
      <c r="J141" s="1">
        <f>J140*(1+Table2[[#This Row],[2014 discount rate]])</f>
        <v>6.5423298973362526E+57</v>
      </c>
      <c r="K141" s="9">
        <f>Table2[CPI]+1.7%</f>
        <v>4.4700000000000004E-2</v>
      </c>
      <c r="L141" s="108">
        <f t="shared" si="41"/>
        <v>97.307942512075684</v>
      </c>
      <c r="M141" s="17">
        <f>Table2[[#This Row],[Annual benefit payments (closed scheme)]]/((1+L140)*(1+Table2[[#This Row],[Discount rate A1]])^0.5)+M140</f>
        <v>64.922568716167319</v>
      </c>
      <c r="N141" s="74">
        <f>N140*(1+Table2[Discount rate A1])</f>
        <v>6382.4041530852674</v>
      </c>
      <c r="O141" s="74">
        <f>Table2[[#This Row],[Asset growth A1, under the assumption of full-funding at Year 0]]/(1+Table2[[#This Row],[Compounded CPI]])</f>
        <v>379.51878806007261</v>
      </c>
      <c r="P141" s="74">
        <f>(P140*((1+Table2[Discount rate A1])^0.5)-Table2[Annual benefit payments (closed scheme)])*(1+Table2[Discount rate A1])^0.5</f>
        <v>8.6783978598991428E-13</v>
      </c>
      <c r="Q141" s="74">
        <f>Table2[[#This Row],[Asset growth A1 with benefit payments deducted]]/(1+Table2[Compounded CPI])</f>
        <v>5.1604614171916866E-14</v>
      </c>
      <c r="R141" s="74">
        <f>Table2[[#This Row],[Asset growth A1 with benefit payments deducted]]/(1+Table2[Compounded discount rate A1])</f>
        <v>8.8277687826018018E-15</v>
      </c>
      <c r="S141" s="73">
        <f>Table2[CPI]+1.7%</f>
        <v>4.4700000000000004E-2</v>
      </c>
      <c r="T141" s="72">
        <f t="shared" si="32"/>
        <v>92.373511722312358</v>
      </c>
      <c r="U141" s="17">
        <f>Table2[[#This Row],[Annual benefit payments (closed scheme)]]/((1+T140)*(1+Table2[[#This Row],[Discount rate A2]])^0.5)+U140</f>
        <v>67.511306032910724</v>
      </c>
      <c r="V141" s="74">
        <f>V140*(1+Table2[Discount rate A2])</f>
        <v>6303.7677252525991</v>
      </c>
      <c r="W141" s="74">
        <f>Table2[[#This Row],[Asset growth A2, under the assumption of full-funding at Year 0]]/(1+Table2[Compounded CPI])</f>
        <v>374.84280686668467</v>
      </c>
      <c r="X141" s="74">
        <f>(X140*((1+Table2[Discount rate A2])^0.5)-Table2[Annual benefit payments (closed scheme)])*(1+Table2[Discount rate A2])^0.5</f>
        <v>2.7175585841029606E-12</v>
      </c>
      <c r="Y141" s="74">
        <f>Table2[[#This Row],[Asset growth A2 with benefit payments deducted]]/(1+Table2[[#This Row],[Compounded CPI]])</f>
        <v>1.6159499078767031E-13</v>
      </c>
      <c r="Z141" s="78">
        <f>Table2[[#This Row],[Asset growth A2 with benefit payments deducted]]/(1+Table2[Compounded discount rate A2])</f>
        <v>2.910417027245188E-14</v>
      </c>
      <c r="AA141" s="109">
        <f>Table2[CPI]+2.8%</f>
        <v>5.57E-2</v>
      </c>
      <c r="AB141" s="72">
        <f t="shared" si="33"/>
        <v>284.45367126631442</v>
      </c>
      <c r="AC141" s="74">
        <f>Table2[[#This Row],[Annual benefit payments (closed scheme)]]/((1+AB140)*(1+Table2[[#This Row],[Discount rate B]])^0.5)+AC140</f>
        <v>60.426898501081197</v>
      </c>
      <c r="AD141" s="110">
        <f>AD140*(1+Table2[Discount rate B])</f>
        <v>17127.220275978863</v>
      </c>
      <c r="AE141" s="71">
        <f>Table2[[#This Row],[Asset growth B]]/(1+Table2[Compounded CPI])</f>
        <v>1018.4409708425057</v>
      </c>
      <c r="AF141" s="74">
        <f>(AF140*((1+Table2[Discount rate B])^0.5)-Table2[Annual benefit payments (closed scheme)])*(1+Table2[Discount rate B])^0.5</f>
        <v>-121.85974439171423</v>
      </c>
      <c r="AG141" s="74">
        <f>Table2[[#This Row],[Asset growth B with benefit payments deducted]]/(1+Table2[Compounded CPI])</f>
        <v>-7.2461820648724045</v>
      </c>
      <c r="AH141" s="78">
        <f>Table2[[#This Row],[Asset growth B with benefit payments deducted]]/(1+Table2[Compounded discount rate B])</f>
        <v>-0.42689850108119648</v>
      </c>
      <c r="AI141" s="75">
        <f>Table2[CPI]+2.56%</f>
        <v>5.33E-2</v>
      </c>
      <c r="AJ141" s="72">
        <f t="shared" si="34"/>
        <v>277.06002498470735</v>
      </c>
      <c r="AK141" s="74">
        <f>Table2[[#This Row],[Annual benefit payments (closed scheme)]]/((1+AJ140)*(1+Table2[[#This Row],[Discount rate C]])^0.5)+AK140</f>
        <v>52.353435276202354</v>
      </c>
      <c r="AL141" s="74">
        <f>AL140*(1+Table2[Discount rate C])</f>
        <v>16683.601499082441</v>
      </c>
      <c r="AM141" s="74">
        <f>Table2[[#This Row],[Asset growth C]]/(1+Table2[Compounded CPI])</f>
        <v>992.06193615116058</v>
      </c>
      <c r="AN141" s="74">
        <f>(AN140*((1+Table2[Discount rate C])^0.5)-Table2[Annual benefit payments (closed scheme)])*(1+Table2[Discount rate C])^0.5</f>
        <v>2126.2039781463332</v>
      </c>
      <c r="AO141" s="74">
        <f>Table2[[#This Row],[Asset growth C with benefit payments deducted]]/(1+Table2[Compounded CPI])</f>
        <v>126.4310967465963</v>
      </c>
      <c r="AP141" s="78">
        <f>Table2[[#This Row],[Asset growth C with benefit payments deducted]]/(1+Table2[Compounded discount rate C])</f>
        <v>7.6465647237975665</v>
      </c>
      <c r="AQ141" s="75">
        <f>Table2[CPI]+2.56%</f>
        <v>5.33E-2</v>
      </c>
      <c r="AR141" s="72">
        <f t="shared" si="35"/>
        <v>259.28284793807086</v>
      </c>
      <c r="AS141" s="74">
        <f>Table2[[#This Row],[Annual benefit payments (closed scheme)]]/((1+AR140)*(1+Table2[[#This Row],[Discount rate D]])^0.5)+AS140</f>
        <v>54.852927873175936</v>
      </c>
      <c r="AT141" s="71">
        <f>AT140*(1+Table2[Discount rate D])</f>
        <v>15616.970876284244</v>
      </c>
      <c r="AU141" s="74">
        <f>Table2[[#This Row],[Asset growth D]]/(1+Table2[Compounded CPI])</f>
        <v>928.6365635858009</v>
      </c>
      <c r="AV141" s="74">
        <f>(AV140*((1+Table2[Discount rate D])^0.5)-Table2[Annual benefit payments (closed scheme)])*(1+Table2[Discount rate D])^0.5</f>
        <v>1339.6945917124172</v>
      </c>
      <c r="AW141" s="74">
        <f>Table2[[#This Row],[Asset growth D with benefit payments deducted]]/(1+Table2[Compounded CPI])</f>
        <v>79.662656206368524</v>
      </c>
      <c r="AX141" s="78">
        <f>Table2[[#This Row],[Asset growth D with benefit payments deducted]]/(1+Table2[Compounded discount rate D])</f>
        <v>5.1470721268240114</v>
      </c>
      <c r="AY141" s="75">
        <f>Table2[CPI]+4%</f>
        <v>6.7699999999999996E-2</v>
      </c>
      <c r="AZ141" s="72">
        <f t="shared" si="36"/>
        <v>1113.8563458863791</v>
      </c>
      <c r="BA141" s="74">
        <f>Table2[[#This Row],[Annual benefit payments (closed scheme)]]/((1+AZ140)*(1+Table2[[#This Row],[Discount rate E]])^0.5)+BA140</f>
        <v>48.297580675656633</v>
      </c>
      <c r="BB141" s="17">
        <f>BB140*(1+Table2[Discount rate E])</f>
        <v>66891.38075318285</v>
      </c>
      <c r="BC141" s="71">
        <f>Table2[[#This Row],[Asset growth E]]/(1+Table2[Compounded CPI])</f>
        <v>3977.5819810534745</v>
      </c>
      <c r="BD141" s="74">
        <f>(BD140*((1+Table2[Discount rate E])^0.5)-Table2[Annual benefit payments (closed scheme)])*(1+Table2[Discount rate E])^0.5</f>
        <v>13046.516445967522</v>
      </c>
      <c r="BE141" s="74">
        <f>Table2[[#This Row],[Asset growth E with benefit payments deducted]]/(1+Table2[Compounded CPI])</f>
        <v>775.78887065399692</v>
      </c>
      <c r="BF141" s="78">
        <f>Table2[[#This Row],[Asset growth E with benefit payments deducted]]/(1+Table2[Compounded discount rate E])</f>
        <v>11.7024193243433</v>
      </c>
      <c r="BG141" s="75">
        <f>Table2[[#This Row],[Long-dated forward gilt yields]]+0.75%</f>
        <v>2.5600000000000001E-2</v>
      </c>
      <c r="BH141" s="75">
        <f t="shared" si="37"/>
        <v>15.776854415648078</v>
      </c>
      <c r="BI141" s="17">
        <f>((Table2[[#This Row],[Annual benefit payments (closed scheme)]])*1.005^(Table2[[#This Row],[Year]]-2018))/((1+BH140)*(1+Table2[[#This Row],[Discount rate F]])^0.5)+BI140</f>
        <v>82.34349485762877</v>
      </c>
      <c r="BJ141" s="74">
        <f>BJ140*(1+Table2[Discount rate F])</f>
        <v>1381.4648253021044</v>
      </c>
      <c r="BK141" s="74">
        <f>Table2[[#This Row],[Asset growth F, under the assumption of full-funding at Year 0]]/(1+Table2[[#This Row],[Compounded CPI]])</f>
        <v>82.146451974971029</v>
      </c>
      <c r="BL141" s="74">
        <f>(BL140*((1+Table2[Discount rate F])^0.5)-Table2[Annual benefit payments (closed scheme)]*1.005^(Table2[Year]-2018))*(1+Table2[Discount rate F])^0.5</f>
        <v>-4.2484009637664351E-13</v>
      </c>
      <c r="BM141" s="74">
        <f>Table2[[#This Row],[Asset growth F with benefit payments deducted]]/(1+Table2[Compounded CPI])</f>
        <v>-2.5262392451008755E-14</v>
      </c>
      <c r="BN141" s="78">
        <f>Table2[[#This Row],[Asset growth F with benefit payments deducted]]/(1+Table2[Compounded discount rate F])</f>
        <v>-2.5322988794632885E-14</v>
      </c>
      <c r="BO141" s="18">
        <f>(1+BO140)*(1+Table2[Discount rate A2])-1</f>
        <v>51.513754201802563</v>
      </c>
      <c r="BP141" s="74">
        <f>Table2[[#This Row],[Annual benefit payments (ongoing scheme)]]/((1+BO140)*(1+Table2[[#This Row],[Discount rate A2]])^0.5)+BP140</f>
        <v>112.5091731857294</v>
      </c>
      <c r="BQ141" s="74">
        <f>(BQ140*((1+Table2[Discount rate A2])^0.5)-Table2[Annual benefit payments (ongoing scheme)])*(1+Table2[Discount rate A2])^0.5</f>
        <v>2.1029145414385896E-13</v>
      </c>
      <c r="BR141" s="18">
        <f>(1+BR140)*(1+Table2[Discount rate B])-1</f>
        <v>144.47784319277631</v>
      </c>
      <c r="BS141" s="74">
        <f>Table2[[#This Row],[Annual benefit payments (ongoing scheme)]]/((1+BR140)*(1+Table2[[#This Row],[Discount rate B]])^0.5)+BS140</f>
        <v>93.512942296053311</v>
      </c>
      <c r="BT141" s="18">
        <f>(1+BT140)*(1+Table2[Discount rate E])-1</f>
        <v>435.82416153873027</v>
      </c>
      <c r="BU141" s="74">
        <f>Table2[[#This Row],[Annual benefit payments (ongoing scheme)]]/((1+BT140)*(1+Table2[[#This Row],[Discount rate E]])^0.5)+BU140</f>
        <v>78.139825166219183</v>
      </c>
      <c r="BV141" s="18">
        <f>Table2[CPI]+0.75%+0.75%</f>
        <v>4.2699999999999995E-2</v>
      </c>
      <c r="BW141" s="18">
        <f>(1+BW140)*(1+Table2[Self-sufficiency discount rate, from 2037])-1</f>
        <v>42.582521941048554</v>
      </c>
      <c r="BX141" s="17">
        <f>(Table2[[#This Row],[Annual benefit payments (ongoing scheme)]]*1.005^(Table2[[#This Row],[Year]]-2038))/((1+BW140)*(1+Table2[[#This Row],[Self-sufficiency discount rate, from 2037]])^0.5)+BX140</f>
        <v>128.05052145331271</v>
      </c>
      <c r="BY141" s="74">
        <f>(BY140*((1+Table2[Self-sufficiency discount rate, from 2037])^0.5)-Table2[Annual benefit payments (ongoing scheme)]*1.005^(Table2[Year]-2038))*(1+Table2[Self-sufficiency discount rate, from 2037])^0.5</f>
        <v>-5.9071119931081135E-12</v>
      </c>
      <c r="BZ141" s="74">
        <f>(BZ140*((1+Table2[Discount rate B])^0.5)-Table2[Annual benefit payments (ongoing scheme)])*(1+Table2[Discount rate B])^0.5</f>
        <v>-5.4763713423559852E-12</v>
      </c>
      <c r="CA141" s="74">
        <f>(CA140*((1+Table2[Discount rate A2])^0.5)+Table2[Net cashflow (ongoing scheme)])*(1+Table2[Discount rate A2])^0.5</f>
        <v>-17.380228287036015</v>
      </c>
      <c r="CB141" s="74">
        <f>Table2[[#This Row],[Asset growth, ongoing scheme, with November de-risking, net of contributions and payments]]/(1+Table2[Compounded discount rate A2])</f>
        <v>-0.18613660305209306</v>
      </c>
      <c r="CC141" s="74">
        <f>Table2[[#This Row],[Asset growth, ongoing scheme, with November de-risking, net of contributions and payments]]/(1+Table2[Compounded CPI])</f>
        <v>-1.0334856611226539</v>
      </c>
      <c r="CD141" s="74">
        <f>(CD140*((1+Table2[Discount rate A1])^0.5)+Table2[Net cashflow (ongoing scheme)])*(1+Table2[Discount rate A1])^0.5</f>
        <v>284.18646645151654</v>
      </c>
      <c r="CE141" s="74">
        <f>Table2[[#This Row],[Asset growth, ongoing scheme, with September de-risking, net of contributions and payments]]/(1+Table2[Compounded discount rate A1])</f>
        <v>2.8907782951169834</v>
      </c>
      <c r="CF141" s="74">
        <f>Table2[[#This Row],[Asset growth, ongoing scheme, with September de-risking, net of contributions and payments]]/(1+Table2[Compounded CPI])</f>
        <v>16.89866400557181</v>
      </c>
      <c r="CG141" s="74">
        <f>(CG140*((1+Table2[Discount rate B])^0.5)+Table2[Net cashflow (ongoing scheme)])*(1+Table2[Discount rate B])^0.5</f>
        <v>4369.0985385196245</v>
      </c>
      <c r="CH141" s="74">
        <f>Table2[[#This Row],[Asset growth, ongoing scheme, no de-risking, net of contributions and payments]]/(1+Table2[Compounded discount rate B])</f>
        <v>15.30580608453085</v>
      </c>
      <c r="CI141" s="74">
        <f>Table2[[#This Row],[Asset growth, ongoing scheme, no de-risking, net of contributions and payments]]/(1+Table2[Compounded CPI])</f>
        <v>259.80100013761222</v>
      </c>
      <c r="CJ141" s="74">
        <f>(CJ140*((1+Table2[Discount rate E])^0.5)+Table2[Net cashflow (ongoing scheme)])*(1+Table2[Discount rate E])^0.5</f>
        <v>35603.307847014017</v>
      </c>
      <c r="CK141" s="74">
        <f>Table2[[#This Row],[Asset growth, ongoing scheme, best-estimates, no de-risking, net of contributions and payments ]]/(1+Table2[Compounded discount rate E])</f>
        <v>31.93533227700938</v>
      </c>
      <c r="CL141" s="74">
        <f>Table2[[#This Row],[Asset growth, ongoing scheme, best-estimates, no de-risking, net of contributions and payments ]]/(1+Table2[Compounded CPI])</f>
        <v>2117.0900370664626</v>
      </c>
      <c r="CM141" s="73">
        <f>CM140</f>
        <v>2.7699999999999999E-2</v>
      </c>
      <c r="CN141" s="75">
        <f>(1+Table2[[#This Row],[CPI]])*(1+CN140)-1</f>
        <v>15.81709668633064</v>
      </c>
      <c r="CO141" s="11">
        <f>CO140</f>
        <v>1.8100000000000002E-2</v>
      </c>
      <c r="CP141" s="75">
        <f>Table2[[#This Row],[CPI]]+2%</f>
        <v>4.7699999999999999E-2</v>
      </c>
      <c r="CQ141" s="76">
        <f>(1+Table2[[#This Row],[Salary growth]])*(1+CQ140)-1</f>
        <v>155.89762956536197</v>
      </c>
      <c r="CR141" s="77">
        <f t="shared" si="39"/>
        <v>168.1709668633064</v>
      </c>
      <c r="CS141" s="74">
        <f t="shared" si="40"/>
        <v>218.62225692229842</v>
      </c>
      <c r="CT141" s="74">
        <f>CT140*(1+Table2[[#This Row],[Salary growth]])</f>
        <v>1568.9762956536199</v>
      </c>
      <c r="CU141" s="78">
        <f t="shared" si="38"/>
        <v>2039.6691843497049</v>
      </c>
      <c r="CV141" s="116">
        <f>('Cash flows as at 31032017'!B126)/1000000000</f>
        <v>0</v>
      </c>
      <c r="CW141" s="117">
        <v>0</v>
      </c>
      <c r="CX141" s="117">
        <f>Table2[[#This Row],[Annual contributions (closed scheme)]]-Table2[[#This Row],[Annual benefit payments (closed scheme)]]</f>
        <v>0</v>
      </c>
      <c r="CY141" s="117">
        <v>0</v>
      </c>
      <c r="CZ141" s="117">
        <v>0</v>
      </c>
      <c r="DA141" s="117">
        <v>0</v>
      </c>
    </row>
    <row r="142" spans="1:105" x14ac:dyDescent="0.2">
      <c r="A142" s="7">
        <v>2135</v>
      </c>
      <c r="E142" s="6">
        <v>6.0999999999999999E-2</v>
      </c>
      <c r="F142" s="1">
        <f>F141*(1+Table2[[#This Row],[2008 discount rate]])</f>
        <v>62157.761577893762</v>
      </c>
      <c r="G142" s="1">
        <v>44.061</v>
      </c>
      <c r="H142">
        <f>H141*(1+Table2[[#This Row],[2011 discount rate]])</f>
        <v>5.5464870821774412E+59</v>
      </c>
      <c r="I142" s="1">
        <v>44.052</v>
      </c>
      <c r="J142" s="1">
        <f>J141*(1+Table2[[#This Row],[2014 discount rate]])</f>
        <v>2.9474504653479283E+59</v>
      </c>
      <c r="K142" s="9">
        <f>Table2[CPI]+1.7%</f>
        <v>4.4700000000000004E-2</v>
      </c>
      <c r="L142" s="108">
        <f t="shared" si="41"/>
        <v>101.70230754236546</v>
      </c>
      <c r="M142" s="17">
        <f>Table2[[#This Row],[Annual benefit payments (closed scheme)]]/((1+L141)*(1+Table2[[#This Row],[Discount rate A1]])^0.5)+M141</f>
        <v>64.922568716167319</v>
      </c>
      <c r="N142" s="74">
        <f>N141*(1+Table2[Discount rate A1])</f>
        <v>6667.6976187281789</v>
      </c>
      <c r="O142" s="74">
        <f>Table2[[#This Row],[Asset growth A1, under the assumption of full-funding at Year 0]]/(1+Table2[[#This Row],[Compounded CPI]])</f>
        <v>385.79670904578944</v>
      </c>
      <c r="P142" s="74">
        <f>(P141*((1+Table2[Discount rate A1])^0.5)-Table2[Annual benefit payments (closed scheme)])*(1+Table2[Discount rate A1])^0.5</f>
        <v>9.0663222442366334E-13</v>
      </c>
      <c r="Q142" s="74">
        <f>Table2[[#This Row],[Asset growth A1 with benefit payments deducted]]/(1+Table2[Compounded CPI])</f>
        <v>5.2458246983946231E-14</v>
      </c>
      <c r="R142" s="74">
        <f>Table2[[#This Row],[Asset growth A1 with benefit payments deducted]]/(1+Table2[Compounded discount rate A1])</f>
        <v>8.8277687826018018E-15</v>
      </c>
      <c r="S142" s="73">
        <f>Table2[CPI]+1.7%</f>
        <v>4.4700000000000004E-2</v>
      </c>
      <c r="T142" s="72">
        <f t="shared" si="32"/>
        <v>96.547307696299711</v>
      </c>
      <c r="U142" s="17">
        <f>Table2[[#This Row],[Annual benefit payments (closed scheme)]]/((1+T141)*(1+Table2[[#This Row],[Discount rate A2]])^0.5)+U141</f>
        <v>67.511306032910724</v>
      </c>
      <c r="V142" s="74">
        <f>V141*(1+Table2[Discount rate A2])</f>
        <v>6585.5461425713902</v>
      </c>
      <c r="W142" s="74">
        <f>Table2[[#This Row],[Asset growth A2, under the assumption of full-funding at Year 0]]/(1+Table2[Compounded CPI])</f>
        <v>381.04337874245937</v>
      </c>
      <c r="X142" s="74">
        <f>(X141*((1+Table2[Discount rate A2])^0.5)-Table2[Annual benefit payments (closed scheme)])*(1+Table2[Discount rate A2])^0.5</f>
        <v>2.8390334528123626E-12</v>
      </c>
      <c r="Y142" s="74">
        <f>Table2[[#This Row],[Asset growth A2 with benefit payments deducted]]/(1+Table2[[#This Row],[Compounded CPI]])</f>
        <v>1.6426806157037964E-13</v>
      </c>
      <c r="Z142" s="78">
        <f>Table2[[#This Row],[Asset growth A2 with benefit payments deducted]]/(1+Table2[Compounded discount rate A2])</f>
        <v>2.910417027245188E-14</v>
      </c>
      <c r="AA142" s="109">
        <f>Table2[CPI]+2.8%</f>
        <v>5.57E-2</v>
      </c>
      <c r="AB142" s="72">
        <f t="shared" si="33"/>
        <v>300.35344075584817</v>
      </c>
      <c r="AC142" s="74">
        <f>Table2[[#This Row],[Annual benefit payments (closed scheme)]]/((1+AB141)*(1+Table2[[#This Row],[Discount rate B]])^0.5)+AC141</f>
        <v>60.426898501081197</v>
      </c>
      <c r="AD142" s="110">
        <f>AD141*(1+Table2[Discount rate B])</f>
        <v>18081.206445350886</v>
      </c>
      <c r="AE142" s="71">
        <f>Table2[[#This Row],[Asset growth B]]/(1+Table2[Compounded CPI])</f>
        <v>1046.188705768642</v>
      </c>
      <c r="AF142" s="74">
        <f>(AF141*((1+Table2[Discount rate B])^0.5)-Table2[Annual benefit payments (closed scheme)])*(1+Table2[Discount rate B])^0.5</f>
        <v>-128.6473321543327</v>
      </c>
      <c r="AG142" s="74">
        <f>Table2[[#This Row],[Asset growth B with benefit payments deducted]]/(1+Table2[Compounded CPI])</f>
        <v>-7.4436065056785017</v>
      </c>
      <c r="AH142" s="78">
        <f>Table2[[#This Row],[Asset growth B with benefit payments deducted]]/(1+Table2[Compounded discount rate B])</f>
        <v>-0.42689850108119637</v>
      </c>
      <c r="AI142" s="75">
        <f>Table2[CPI]+2.56%</f>
        <v>5.33E-2</v>
      </c>
      <c r="AJ142" s="72">
        <f t="shared" si="34"/>
        <v>291.88062431639224</v>
      </c>
      <c r="AK142" s="74">
        <f>Table2[[#This Row],[Annual benefit payments (closed scheme)]]/((1+AJ141)*(1+Table2[[#This Row],[Discount rate C]])^0.5)+AK141</f>
        <v>52.353435276202354</v>
      </c>
      <c r="AL142" s="74">
        <f>AL141*(1+Table2[Discount rate C])</f>
        <v>17572.837458983533</v>
      </c>
      <c r="AM142" s="74">
        <f>Table2[[#This Row],[Asset growth C]]/(1+Table2[Compounded CPI])</f>
        <v>1016.7741922234283</v>
      </c>
      <c r="AN142" s="74">
        <f>(AN141*((1+Table2[Discount rate C])^0.5)-Table2[Annual benefit payments (closed scheme)])*(1+Table2[Discount rate C])^0.5</f>
        <v>2239.5306501815321</v>
      </c>
      <c r="AO142" s="74">
        <f>Table2[[#This Row],[Asset growth C with benefit payments deducted]]/(1+Table2[Compounded CPI])</f>
        <v>129.58049450539053</v>
      </c>
      <c r="AP142" s="78">
        <f>Table2[[#This Row],[Asset growth C with benefit payments deducted]]/(1+Table2[Compounded discount rate C])</f>
        <v>7.6465647237975647</v>
      </c>
      <c r="AQ142" s="75">
        <f>Table2[CPI]+2.56%</f>
        <v>5.33E-2</v>
      </c>
      <c r="AR142" s="72">
        <f t="shared" si="35"/>
        <v>273.15592373317003</v>
      </c>
      <c r="AS142" s="74">
        <f>Table2[[#This Row],[Annual benefit payments (closed scheme)]]/((1+AR141)*(1+Table2[[#This Row],[Discount rate D]])^0.5)+AS141</f>
        <v>54.852927873175936</v>
      </c>
      <c r="AT142" s="71">
        <f>AT141*(1+Table2[Discount rate D])</f>
        <v>16449.355423990193</v>
      </c>
      <c r="AU142" s="74">
        <f>Table2[[#This Row],[Asset growth D]]/(1+Table2[Compounded CPI])</f>
        <v>951.76889405947645</v>
      </c>
      <c r="AV142" s="74">
        <f>(AV141*((1+Table2[Discount rate D])^0.5)-Table2[Annual benefit payments (closed scheme)])*(1+Table2[Discount rate D])^0.5</f>
        <v>1411.1003134506886</v>
      </c>
      <c r="AW142" s="74">
        <f>Table2[[#This Row],[Asset growth D with benefit payments deducted]]/(1+Table2[Compounded CPI])</f>
        <v>81.647052429860807</v>
      </c>
      <c r="AX142" s="78">
        <f>Table2[[#This Row],[Asset growth D with benefit payments deducted]]/(1+Table2[Compounded discount rate D])</f>
        <v>5.1470721268240105</v>
      </c>
      <c r="AY142" s="75">
        <f>Table2[CPI]+4%</f>
        <v>6.7699999999999996E-2</v>
      </c>
      <c r="AZ142" s="72">
        <f t="shared" si="36"/>
        <v>1189.3321205028872</v>
      </c>
      <c r="BA142" s="74">
        <f>Table2[[#This Row],[Annual benefit payments (closed scheme)]]/((1+AZ141)*(1+Table2[[#This Row],[Discount rate E]])^0.5)+BA141</f>
        <v>48.297580675656633</v>
      </c>
      <c r="BB142" s="17">
        <f>BB141*(1+Table2[Discount rate E])</f>
        <v>71419.927230173329</v>
      </c>
      <c r="BC142" s="71">
        <f>Table2[[#This Row],[Asset growth E]]/(1+Table2[Compounded CPI])</f>
        <v>4132.3968873900894</v>
      </c>
      <c r="BD142" s="74">
        <f>(BD141*((1+Table2[Discount rate E])^0.5)-Table2[Annual benefit payments (closed scheme)])*(1+Table2[Discount rate E])^0.5</f>
        <v>13929.765609359521</v>
      </c>
      <c r="BE142" s="74">
        <f>Table2[[#This Row],[Asset growth E with benefit payments deducted]]/(1+Table2[Compounded CPI])</f>
        <v>805.98401984749682</v>
      </c>
      <c r="BF142" s="78">
        <f>Table2[[#This Row],[Asset growth E with benefit payments deducted]]/(1+Table2[Compounded discount rate E])</f>
        <v>11.702419324343298</v>
      </c>
      <c r="BG142" s="75">
        <f>Table2[[#This Row],[Long-dated forward gilt yields]]+0.75%</f>
        <v>2.5600000000000001E-2</v>
      </c>
      <c r="BH142" s="75">
        <f t="shared" si="37"/>
        <v>16.206341888688669</v>
      </c>
      <c r="BI142" s="17">
        <f>((Table2[[#This Row],[Annual benefit payments (closed scheme)]])*1.005^(Table2[[#This Row],[Year]]-2018))/((1+BH141)*(1+Table2[[#This Row],[Discount rate F]])^0.5)+BI141</f>
        <v>82.34349485762877</v>
      </c>
      <c r="BJ142" s="74">
        <f>BJ141*(1+Table2[Discount rate F])</f>
        <v>1416.8303248298384</v>
      </c>
      <c r="BK142" s="74">
        <f>Table2[[#This Row],[Asset growth F, under the assumption of full-funding at Year 0]]/(1+Table2[[#This Row],[Compounded CPI]])</f>
        <v>81.978594089257854</v>
      </c>
      <c r="BL142" s="74">
        <f>(BL141*((1+Table2[Discount rate F])^0.5)-Table2[Annual benefit payments (closed scheme)]*1.005^(Table2[Year]-2018))*(1+Table2[Discount rate F])^0.5</f>
        <v>-4.3571600284388562E-13</v>
      </c>
      <c r="BM142" s="74">
        <f>Table2[[#This Row],[Asset growth F with benefit payments deducted]]/(1+Table2[Compounded CPI])</f>
        <v>-2.5210771331862004E-14</v>
      </c>
      <c r="BN142" s="78">
        <f>Table2[[#This Row],[Asset growth F with benefit payments deducted]]/(1+Table2[Compounded discount rate F])</f>
        <v>-2.5322988794632885E-14</v>
      </c>
      <c r="BO142" s="18">
        <f>(1+BO141)*(1+Table2[Discount rate A2])-1</f>
        <v>53.861119014623135</v>
      </c>
      <c r="BP142" s="74">
        <f>Table2[[#This Row],[Annual benefit payments (ongoing scheme)]]/((1+BO141)*(1+Table2[[#This Row],[Discount rate A2]])^0.5)+BP141</f>
        <v>112.5091731857294</v>
      </c>
      <c r="BQ142" s="74">
        <f>(BQ141*((1+Table2[Discount rate A2])^0.5)-Table2[Annual benefit payments (ongoing scheme)])*(1+Table2[Discount rate A2])^0.5</f>
        <v>2.1969148214408944E-13</v>
      </c>
      <c r="BR142" s="18">
        <f>(1+BR141)*(1+Table2[Discount rate B])-1</f>
        <v>152.58095905861396</v>
      </c>
      <c r="BS142" s="74">
        <f>Table2[[#This Row],[Annual benefit payments (ongoing scheme)]]/((1+BR141)*(1+Table2[[#This Row],[Discount rate B]])^0.5)+BS141</f>
        <v>93.512942296053311</v>
      </c>
      <c r="BT142" s="18">
        <f>(1+BT141)*(1+Table2[Discount rate E])-1</f>
        <v>465.39715727490233</v>
      </c>
      <c r="BU142" s="74">
        <f>Table2[[#This Row],[Annual benefit payments (ongoing scheme)]]/((1+BT141)*(1+Table2[[#This Row],[Discount rate E]])^0.5)+BU141</f>
        <v>78.139825166219183</v>
      </c>
      <c r="BV142" s="18">
        <f>Table2[CPI]+0.75%+0.75%</f>
        <v>4.2699999999999995E-2</v>
      </c>
      <c r="BW142" s="18">
        <f>(1+BW141)*(1+Table2[Self-sufficiency discount rate, from 2037])-1</f>
        <v>44.443495627931327</v>
      </c>
      <c r="BX142" s="17">
        <f>(Table2[[#This Row],[Annual benefit payments (ongoing scheme)]]*1.005^(Table2[[#This Row],[Year]]-2038))/((1+BW141)*(1+Table2[[#This Row],[Self-sufficiency discount rate, from 2037]])^0.5)+BX141</f>
        <v>128.05052145331271</v>
      </c>
      <c r="BY142" s="74">
        <f>(BY141*((1+Table2[Self-sufficiency discount rate, from 2037])^0.5)-Table2[Annual benefit payments (ongoing scheme)]*1.005^(Table2[Year]-2038))*(1+Table2[Self-sufficiency discount rate, from 2037])^0.5</f>
        <v>-6.1593456752138293E-12</v>
      </c>
      <c r="BZ142" s="74">
        <f>(BZ141*((1+Table2[Discount rate B])^0.5)-Table2[Annual benefit payments (ongoing scheme)])*(1+Table2[Discount rate B])^0.5</f>
        <v>-5.781405226125213E-12</v>
      </c>
      <c r="CA142" s="74">
        <f>(CA141*((1+Table2[Discount rate A2])^0.5)+Table2[Net cashflow (ongoing scheme)])*(1+Table2[Discount rate A2])^0.5</f>
        <v>-18.157124491466522</v>
      </c>
      <c r="CB142" s="74">
        <f>Table2[[#This Row],[Asset growth, ongoing scheme, with November de-risking, net of contributions and payments]]/(1+Table2[Compounded discount rate A2])</f>
        <v>-0.18613660305209306</v>
      </c>
      <c r="CC142" s="74">
        <f>Table2[[#This Row],[Asset growth, ongoing scheme, with November de-risking, net of contributions and payments]]/(1+Table2[Compounded CPI])</f>
        <v>-1.0505813663275629</v>
      </c>
      <c r="CD142" s="74">
        <f>(CD141*((1+Table2[Discount rate A1])^0.5)+Table2[Net cashflow (ongoing scheme)])*(1+Table2[Discount rate A1])^0.5</f>
        <v>296.88960150189934</v>
      </c>
      <c r="CE142" s="74">
        <f>Table2[[#This Row],[Asset growth, ongoing scheme, with September de-risking, net of contributions and payments]]/(1+Table2[Compounded discount rate A1])</f>
        <v>2.8907782951169834</v>
      </c>
      <c r="CF142" s="74">
        <f>Table2[[#This Row],[Asset growth, ongoing scheme, with September de-risking, net of contributions and payments]]/(1+Table2[Compounded CPI])</f>
        <v>17.178198196575721</v>
      </c>
      <c r="CG142" s="74">
        <f>(CG141*((1+Table2[Discount rate B])^0.5)+Table2[Net cashflow (ongoing scheme)])*(1+Table2[Discount rate B])^0.5</f>
        <v>4612.4573271151676</v>
      </c>
      <c r="CH142" s="74">
        <f>Table2[[#This Row],[Asset growth, ongoing scheme, no de-risking, net of contributions and payments]]/(1+Table2[Compounded discount rate B])</f>
        <v>15.305806084530849</v>
      </c>
      <c r="CI142" s="74">
        <f>Table2[[#This Row],[Asset growth, ongoing scheme, no de-risking, net of contributions and payments]]/(1+Table2[Compounded CPI])</f>
        <v>266.87935763868563</v>
      </c>
      <c r="CJ142" s="74">
        <f>(CJ141*((1+Table2[Discount rate E])^0.5)+Table2[Net cashflow (ongoing scheme)])*(1+Table2[Discount rate E])^0.5</f>
        <v>38013.651788256866</v>
      </c>
      <c r="CK142" s="74">
        <f>Table2[[#This Row],[Asset growth, ongoing scheme, best-estimates, no de-risking, net of contributions and payments ]]/(1+Table2[Compounded discount rate E])</f>
        <v>31.935332277009376</v>
      </c>
      <c r="CL142" s="74">
        <f>Table2[[#This Row],[Asset growth, ongoing scheme, best-estimates, no de-risking, net of contributions and payments ]]/(1+Table2[Compounded CPI])</f>
        <v>2199.4911283213601</v>
      </c>
      <c r="CM142" s="73">
        <f>CM141</f>
        <v>2.7699999999999999E-2</v>
      </c>
      <c r="CN142" s="75">
        <f>(1+Table2[[#This Row],[CPI]])*(1+CN141)-1</f>
        <v>16.282930264541999</v>
      </c>
      <c r="CO142" s="11">
        <f>CO141</f>
        <v>1.8100000000000002E-2</v>
      </c>
      <c r="CP142" s="75">
        <f>Table2[[#This Row],[CPI]]+2%</f>
        <v>4.7699999999999999E-2</v>
      </c>
      <c r="CQ142" s="76">
        <f>(1+Table2[[#This Row],[Salary growth]])*(1+CQ141)-1</f>
        <v>163.38164649562975</v>
      </c>
      <c r="CR142" s="77">
        <f t="shared" si="39"/>
        <v>172.82930264542</v>
      </c>
      <c r="CS142" s="74">
        <f t="shared" si="40"/>
        <v>224.67809343904611</v>
      </c>
      <c r="CT142" s="74">
        <f>CT141*(1+Table2[[#This Row],[Salary growth]])</f>
        <v>1643.8164649562978</v>
      </c>
      <c r="CU142" s="78">
        <f t="shared" si="38"/>
        <v>2136.961404443186</v>
      </c>
      <c r="CV142" s="116">
        <f>('Cash flows as at 31032017'!B127)/1000000000</f>
        <v>0</v>
      </c>
      <c r="CW142" s="117">
        <v>0</v>
      </c>
      <c r="CX142" s="117">
        <f>Table2[[#This Row],[Annual contributions (closed scheme)]]-Table2[[#This Row],[Annual benefit payments (closed scheme)]]</f>
        <v>0</v>
      </c>
      <c r="CY142" s="117">
        <v>0</v>
      </c>
      <c r="CZ142" s="117">
        <v>0</v>
      </c>
      <c r="DA142" s="117">
        <v>0</v>
      </c>
    </row>
    <row r="143" spans="1:105" x14ac:dyDescent="0.2">
      <c r="A143" s="7">
        <v>2136</v>
      </c>
      <c r="E143" s="6">
        <v>6.0999999999999999E-2</v>
      </c>
      <c r="F143" s="1">
        <f>F142*(1+Table2[[#This Row],[2008 discount rate]])</f>
        <v>65949.385034145278</v>
      </c>
      <c r="G143" s="1">
        <v>45.061</v>
      </c>
      <c r="H143">
        <f>H142*(1+Table2[[#This Row],[2011 discount rate]])</f>
        <v>2.5547674149217513E+61</v>
      </c>
      <c r="I143" s="1">
        <v>45.052</v>
      </c>
      <c r="J143" s="1">
        <f>J142*(1+Table2[[#This Row],[2014 discount rate]])</f>
        <v>1.3573598883020278E+61</v>
      </c>
      <c r="K143" s="9">
        <f>Table2[CPI]+1.7%</f>
        <v>4.4700000000000004E-2</v>
      </c>
      <c r="L143" s="108">
        <f t="shared" si="41"/>
        <v>106.29310068950919</v>
      </c>
      <c r="M143" s="17">
        <f>Table2[[#This Row],[Annual benefit payments (closed scheme)]]/((1+L142)*(1+Table2[[#This Row],[Discount rate A1]])^0.5)+M142</f>
        <v>64.922568716167319</v>
      </c>
      <c r="N143" s="74">
        <f>N142*(1+Table2[Discount rate A1])</f>
        <v>6965.7437022853283</v>
      </c>
      <c r="O143" s="74">
        <f>Table2[[#This Row],[Asset growth A1, under the assumption of full-funding at Year 0]]/(1+Table2[[#This Row],[Compounded CPI]])</f>
        <v>392.17847809685338</v>
      </c>
      <c r="P143" s="74">
        <f>(P142*((1+Table2[Discount rate A1])^0.5)-Table2[Annual benefit payments (closed scheme)])*(1+Table2[Discount rate A1])^0.5</f>
        <v>9.4715868485540102E-13</v>
      </c>
      <c r="Q143" s="74">
        <f>Table2[[#This Row],[Asset growth A1 with benefit payments deducted]]/(1+Table2[Compounded CPI])</f>
        <v>5.3326000412696911E-14</v>
      </c>
      <c r="R143" s="74">
        <f>Table2[[#This Row],[Asset growth A1 with benefit payments deducted]]/(1+Table2[Compounded discount rate A1])</f>
        <v>8.8277687826018018E-15</v>
      </c>
      <c r="S143" s="73">
        <f>Table2[CPI]+1.7%</f>
        <v>4.4700000000000004E-2</v>
      </c>
      <c r="T143" s="72">
        <f t="shared" si="32"/>
        <v>100.9076723503243</v>
      </c>
      <c r="U143" s="17">
        <f>Table2[[#This Row],[Annual benefit payments (closed scheme)]]/((1+T142)*(1+Table2[[#This Row],[Discount rate A2]])^0.5)+U142</f>
        <v>67.511306032910724</v>
      </c>
      <c r="V143" s="74">
        <f>V142*(1+Table2[Discount rate A2])</f>
        <v>6879.9200551443309</v>
      </c>
      <c r="W143" s="74">
        <f>Table2[[#This Row],[Asset growth A2, under the assumption of full-funding at Year 0]]/(1+Table2[Compounded CPI])</f>
        <v>387.34651919066579</v>
      </c>
      <c r="X143" s="74">
        <f>(X142*((1+Table2[Discount rate A2])^0.5)-Table2[Annual benefit payments (closed scheme)])*(1+Table2[Discount rate A2])^0.5</f>
        <v>2.9659382481530749E-12</v>
      </c>
      <c r="Y143" s="74">
        <f>Table2[[#This Row],[Asset growth A2 with benefit payments deducted]]/(1+Table2[[#This Row],[Compounded CPI]])</f>
        <v>1.6698534973491832E-13</v>
      </c>
      <c r="Z143" s="78">
        <f>Table2[[#This Row],[Asset growth A2 with benefit payments deducted]]/(1+Table2[Compounded discount rate A2])</f>
        <v>2.910417027245188E-14</v>
      </c>
      <c r="AA143" s="109">
        <f>Table2[CPI]+2.8%</f>
        <v>5.57E-2</v>
      </c>
      <c r="AB143" s="72">
        <f t="shared" si="33"/>
        <v>317.13882740594892</v>
      </c>
      <c r="AC143" s="74">
        <f>Table2[[#This Row],[Annual benefit payments (closed scheme)]]/((1+AB142)*(1+Table2[[#This Row],[Discount rate B]])^0.5)+AC142</f>
        <v>60.426898501081197</v>
      </c>
      <c r="AD143" s="110">
        <f>AD142*(1+Table2[Discount rate B])</f>
        <v>19088.329644356931</v>
      </c>
      <c r="AE143" s="71">
        <f>Table2[[#This Row],[Asset growth B]]/(1+Table2[Compounded CPI])</f>
        <v>1074.6924361972904</v>
      </c>
      <c r="AF143" s="74">
        <f>(AF142*((1+Table2[Discount rate B])^0.5)-Table2[Annual benefit payments (closed scheme)])*(1+Table2[Discount rate B])^0.5</f>
        <v>-135.81298855532901</v>
      </c>
      <c r="AG143" s="74">
        <f>Table2[[#This Row],[Asset growth B with benefit payments deducted]]/(1+Table2[Compounded CPI])</f>
        <v>-7.6464098355987087</v>
      </c>
      <c r="AH143" s="78">
        <f>Table2[[#This Row],[Asset growth B with benefit payments deducted]]/(1+Table2[Compounded discount rate B])</f>
        <v>-0.42689850108119631</v>
      </c>
      <c r="AI143" s="75">
        <f>Table2[CPI]+2.56%</f>
        <v>5.33E-2</v>
      </c>
      <c r="AJ143" s="72">
        <f t="shared" si="34"/>
        <v>307.49116159245591</v>
      </c>
      <c r="AK143" s="74">
        <f>Table2[[#This Row],[Annual benefit payments (closed scheme)]]/((1+AJ142)*(1+Table2[[#This Row],[Discount rate C]])^0.5)+AK142</f>
        <v>52.353435276202354</v>
      </c>
      <c r="AL143" s="74">
        <f>AL142*(1+Table2[Discount rate C])</f>
        <v>18509.469695547352</v>
      </c>
      <c r="AM143" s="74">
        <f>Table2[[#This Row],[Asset growth C]]/(1+Table2[Compounded CPI])</f>
        <v>1042.1020304261328</v>
      </c>
      <c r="AN143" s="74">
        <f>(AN142*((1+Table2[Discount rate C])^0.5)-Table2[Annual benefit payments (closed scheme)])*(1+Table2[Discount rate C])^0.5</f>
        <v>2358.8976338362072</v>
      </c>
      <c r="AO143" s="74">
        <f>Table2[[#This Row],[Asset growth C with benefit payments deducted]]/(1+Table2[Compounded CPI])</f>
        <v>132.80834374090475</v>
      </c>
      <c r="AP143" s="78">
        <f>Table2[[#This Row],[Asset growth C with benefit payments deducted]]/(1+Table2[Compounded discount rate C])</f>
        <v>7.6465647237975638</v>
      </c>
      <c r="AQ143" s="75">
        <f>Table2[CPI]+2.56%</f>
        <v>5.33E-2</v>
      </c>
      <c r="AR143" s="72">
        <f t="shared" si="35"/>
        <v>287.76843446814797</v>
      </c>
      <c r="AS143" s="74">
        <f>Table2[[#This Row],[Annual benefit payments (closed scheme)]]/((1+AR142)*(1+Table2[[#This Row],[Discount rate D]])^0.5)+AS142</f>
        <v>54.852927873175936</v>
      </c>
      <c r="AT143" s="71">
        <f>AT142*(1+Table2[Discount rate D])</f>
        <v>17326.10606808887</v>
      </c>
      <c r="AU143" s="74">
        <f>Table2[[#This Row],[Asset growth D]]/(1+Table2[Compounded CPI])</f>
        <v>975.47745072768942</v>
      </c>
      <c r="AV143" s="74">
        <f>(AV142*((1+Table2[Discount rate D])^0.5)-Table2[Annual benefit payments (closed scheme)])*(1+Table2[Discount rate D])^0.5</f>
        <v>1486.31196015761</v>
      </c>
      <c r="AW143" s="74">
        <f>Table2[[#This Row],[Asset growth D with benefit payments deducted]]/(1+Table2[Compounded CPI])</f>
        <v>83.680879949763892</v>
      </c>
      <c r="AX143" s="78">
        <f>Table2[[#This Row],[Asset growth D with benefit payments deducted]]/(1+Table2[Compounded discount rate D])</f>
        <v>5.1470721268240096</v>
      </c>
      <c r="AY143" s="75">
        <f>Table2[CPI]+4%</f>
        <v>6.7699999999999996E-2</v>
      </c>
      <c r="AZ143" s="72">
        <f t="shared" si="36"/>
        <v>1269.9176050609328</v>
      </c>
      <c r="BA143" s="74">
        <f>Table2[[#This Row],[Annual benefit payments (closed scheme)]]/((1+AZ142)*(1+Table2[[#This Row],[Discount rate E]])^0.5)+BA142</f>
        <v>48.297580675656633</v>
      </c>
      <c r="BB143" s="17">
        <f>BB142*(1+Table2[Discount rate E])</f>
        <v>76255.056303656063</v>
      </c>
      <c r="BC143" s="71">
        <f>Table2[[#This Row],[Asset growth E]]/(1+Table2[Compounded CPI])</f>
        <v>4293.2374785116263</v>
      </c>
      <c r="BD143" s="74">
        <f>(BD142*((1+Table2[Discount rate E])^0.5)-Table2[Annual benefit payments (closed scheme)])*(1+Table2[Discount rate E])^0.5</f>
        <v>14872.81074111316</v>
      </c>
      <c r="BE143" s="74">
        <f>Table2[[#This Row],[Asset growth E with benefit payments deducted]]/(1+Table2[Compounded CPI])</f>
        <v>837.35442054215457</v>
      </c>
      <c r="BF143" s="78">
        <f>Table2[[#This Row],[Asset growth E with benefit payments deducted]]/(1+Table2[Compounded discount rate E])</f>
        <v>11.702419324343294</v>
      </c>
      <c r="BG143" s="75">
        <f>Table2[[#This Row],[Long-dated forward gilt yields]]+0.75%</f>
        <v>2.5600000000000001E-2</v>
      </c>
      <c r="BH143" s="75">
        <f t="shared" si="37"/>
        <v>16.646824241039102</v>
      </c>
      <c r="BI143" s="17">
        <f>((Table2[[#This Row],[Annual benefit payments (closed scheme)]])*1.005^(Table2[[#This Row],[Year]]-2018))/((1+BH142)*(1+Table2[[#This Row],[Discount rate F]])^0.5)+BI142</f>
        <v>82.34349485762877</v>
      </c>
      <c r="BJ143" s="74">
        <f>BJ142*(1+Table2[Discount rate F])</f>
        <v>1453.1011811454823</v>
      </c>
      <c r="BK143" s="74">
        <f>Table2[[#This Row],[Asset growth F, under the assumption of full-funding at Year 0]]/(1+Table2[[#This Row],[Compounded CPI]])</f>
        <v>81.811079203992264</v>
      </c>
      <c r="BL143" s="74">
        <f>(BL142*((1+Table2[Discount rate F])^0.5)-Table2[Annual benefit payments (closed scheme)]*1.005^(Table2[Year]-2018))*(1+Table2[Discount rate F])^0.5</f>
        <v>-4.4687033251668911E-13</v>
      </c>
      <c r="BM143" s="74">
        <f>Table2[[#This Row],[Asset growth F with benefit payments deducted]]/(1+Table2[Compounded CPI])</f>
        <v>-2.5159255695200613E-14</v>
      </c>
      <c r="BN143" s="78">
        <f>Table2[[#This Row],[Asset growth F with benefit payments deducted]]/(1+Table2[Compounded discount rate F])</f>
        <v>-2.5322988794632882E-14</v>
      </c>
      <c r="BO143" s="18">
        <f>(1+BO142)*(1+Table2[Discount rate A2])-1</f>
        <v>56.313411034576788</v>
      </c>
      <c r="BP143" s="74">
        <f>Table2[[#This Row],[Annual benefit payments (ongoing scheme)]]/((1+BO142)*(1+Table2[[#This Row],[Discount rate A2]])^0.5)+BP142</f>
        <v>112.5091731857294</v>
      </c>
      <c r="BQ143" s="74">
        <f>(BQ142*((1+Table2[Discount rate A2])^0.5)-Table2[Annual benefit payments (ongoing scheme)])*(1+Table2[Discount rate A2])^0.5</f>
        <v>2.2951169139593023E-13</v>
      </c>
      <c r="BR143" s="18">
        <f>(1+BR142)*(1+Table2[Discount rate B])-1</f>
        <v>161.13541847817876</v>
      </c>
      <c r="BS143" s="74">
        <f>Table2[[#This Row],[Annual benefit payments (ongoing scheme)]]/((1+BR142)*(1+Table2[[#This Row],[Discount rate B]])^0.5)+BS142</f>
        <v>93.512942296053311</v>
      </c>
      <c r="BT143" s="18">
        <f>(1+BT142)*(1+Table2[Discount rate E])-1</f>
        <v>496.97224482241324</v>
      </c>
      <c r="BU143" s="74">
        <f>Table2[[#This Row],[Annual benefit payments (ongoing scheme)]]/((1+BT142)*(1+Table2[[#This Row],[Discount rate E]])^0.5)+BU142</f>
        <v>78.139825166219183</v>
      </c>
      <c r="BV143" s="18">
        <f>Table2[CPI]+0.75%+0.75%</f>
        <v>4.2699999999999995E-2</v>
      </c>
      <c r="BW143" s="18">
        <f>(1+BW142)*(1+Table2[Self-sufficiency discount rate, from 2037])-1</f>
        <v>46.383932891243994</v>
      </c>
      <c r="BX143" s="17">
        <f>(Table2[[#This Row],[Annual benefit payments (ongoing scheme)]]*1.005^(Table2[[#This Row],[Year]]-2038))/((1+BW142)*(1+Table2[[#This Row],[Self-sufficiency discount rate, from 2037]])^0.5)+BX142</f>
        <v>128.05052145331271</v>
      </c>
      <c r="BY143" s="74">
        <f>(BY142*((1+Table2[Self-sufficiency discount rate, from 2037])^0.5)-Table2[Annual benefit payments (ongoing scheme)]*1.005^(Table2[Year]-2038))*(1+Table2[Self-sufficiency discount rate, from 2037])^0.5</f>
        <v>-6.4223497355454597E-12</v>
      </c>
      <c r="BZ143" s="74">
        <f>(BZ142*((1+Table2[Discount rate B])^0.5)-Table2[Annual benefit payments (ongoing scheme)])*(1+Table2[Discount rate B])^0.5</f>
        <v>-6.1034294972203865E-12</v>
      </c>
      <c r="CA143" s="74">
        <f>(CA142*((1+Table2[Discount rate A2])^0.5)+Table2[Net cashflow (ongoing scheme)])*(1+Table2[Discount rate A2])^0.5</f>
        <v>-18.968747956235074</v>
      </c>
      <c r="CB143" s="74">
        <f>Table2[[#This Row],[Asset growth, ongoing scheme, with November de-risking, net of contributions and payments]]/(1+Table2[Compounded discount rate A2])</f>
        <v>-0.18613660305209306</v>
      </c>
      <c r="CC143" s="74">
        <f>Table2[[#This Row],[Asset growth, ongoing scheme, with November de-risking, net of contributions and payments]]/(1+Table2[Compounded CPI])</f>
        <v>-1.0679598651380799</v>
      </c>
      <c r="CD143" s="74">
        <f>(CD142*((1+Table2[Discount rate A1])^0.5)+Table2[Net cashflow (ongoing scheme)])*(1+Table2[Discount rate A1])^0.5</f>
        <v>310.16056668903423</v>
      </c>
      <c r="CE143" s="74">
        <f>Table2[[#This Row],[Asset growth, ongoing scheme, with September de-risking, net of contributions and payments]]/(1+Table2[Compounded discount rate A1])</f>
        <v>2.8907782951169834</v>
      </c>
      <c r="CF143" s="74">
        <f>Table2[[#This Row],[Asset growth, ongoing scheme, with September de-risking, net of contributions and payments]]/(1+Table2[Compounded CPI])</f>
        <v>17.462356384122462</v>
      </c>
      <c r="CG143" s="74">
        <f>(CG142*((1+Table2[Discount rate B])^0.5)+Table2[Net cashflow (ongoing scheme)])*(1+Table2[Discount rate B])^0.5</f>
        <v>4869.3712002354823</v>
      </c>
      <c r="CH143" s="74">
        <f>Table2[[#This Row],[Asset growth, ongoing scheme, no de-risking, net of contributions and payments]]/(1+Table2[Compounded discount rate B])</f>
        <v>15.305806084530849</v>
      </c>
      <c r="CI143" s="74">
        <f>Table2[[#This Row],[Asset growth, ongoing scheme, no de-risking, net of contributions and payments]]/(1+Table2[Compounded CPI])</f>
        <v>274.15056714912947</v>
      </c>
      <c r="CJ143" s="74">
        <f>(CJ142*((1+Table2[Discount rate E])^0.5)+Table2[Net cashflow (ongoing scheme)])*(1+Table2[Discount rate E])^0.5</f>
        <v>40587.176014321849</v>
      </c>
      <c r="CK143" s="74">
        <f>Table2[[#This Row],[Asset growth, ongoing scheme, best-estimates, no de-risking, net of contributions and payments ]]/(1+Table2[Compounded discount rate E])</f>
        <v>31.935332277009365</v>
      </c>
      <c r="CL143" s="74">
        <f>Table2[[#This Row],[Asset growth, ongoing scheme, best-estimates, no de-risking, net of contributions and payments ]]/(1+Table2[Compounded CPI])</f>
        <v>2285.0994236729744</v>
      </c>
      <c r="CM143" s="73">
        <f>CM142</f>
        <v>2.7699999999999999E-2</v>
      </c>
      <c r="CN143" s="75">
        <f>(1+Table2[[#This Row],[CPI]])*(1+CN142)-1</f>
        <v>16.761667432869814</v>
      </c>
      <c r="CO143" s="11">
        <f>CO142</f>
        <v>1.8100000000000002E-2</v>
      </c>
      <c r="CP143" s="75">
        <f>Table2[[#This Row],[CPI]]+2%</f>
        <v>4.7699999999999999E-2</v>
      </c>
      <c r="CQ143" s="76">
        <f>(1+Table2[[#This Row],[Salary growth]])*(1+CQ142)-1</f>
        <v>171.22265103347129</v>
      </c>
      <c r="CR143" s="77">
        <f t="shared" si="39"/>
        <v>177.61667432869814</v>
      </c>
      <c r="CS143" s="74">
        <f t="shared" si="40"/>
        <v>230.90167662730769</v>
      </c>
      <c r="CT143" s="74">
        <f>CT142*(1+Table2[[#This Row],[Salary growth]])</f>
        <v>1722.2265103347133</v>
      </c>
      <c r="CU143" s="78">
        <f t="shared" si="38"/>
        <v>2238.894463435126</v>
      </c>
      <c r="CV143" s="116">
        <f>('Cash flows as at 31032017'!B128)/1000000000</f>
        <v>0</v>
      </c>
      <c r="CW143" s="117">
        <v>0</v>
      </c>
      <c r="CX143" s="117">
        <f>Table2[[#This Row],[Annual contributions (closed scheme)]]-Table2[[#This Row],[Annual benefit payments (closed scheme)]]</f>
        <v>0</v>
      </c>
      <c r="CY143" s="117">
        <v>0</v>
      </c>
      <c r="CZ143" s="117">
        <v>0</v>
      </c>
      <c r="DA143" s="117">
        <v>0</v>
      </c>
    </row>
    <row r="144" spans="1:105" x14ac:dyDescent="0.2">
      <c r="A144" s="7">
        <v>2137</v>
      </c>
      <c r="E144" s="6">
        <v>6.0999999999999999E-2</v>
      </c>
      <c r="F144" s="1">
        <f>F143*(1+Table2[[#This Row],[2008 discount rate]])</f>
        <v>69972.297521228131</v>
      </c>
      <c r="G144" s="1">
        <v>46.061</v>
      </c>
      <c r="H144">
        <f>H143*(1+Table2[[#This Row],[2011 discount rate]])</f>
        <v>1.2022990931363254E+63</v>
      </c>
      <c r="I144" s="1">
        <v>46.052</v>
      </c>
      <c r="J144" s="1">
        <f>J143*(1+Table2[[#This Row],[2014 discount rate]])</f>
        <v>6.3866497464387011E+62</v>
      </c>
      <c r="K144" s="9">
        <f>Table2[CPI]+1.7%</f>
        <v>4.4700000000000004E-2</v>
      </c>
      <c r="L144" s="108">
        <f t="shared" si="41"/>
        <v>111.08910229033025</v>
      </c>
      <c r="M144" s="17">
        <f>Table2[[#This Row],[Annual benefit payments (closed scheme)]]/((1+L143)*(1+Table2[[#This Row],[Discount rate A1]])^0.5)+M143</f>
        <v>64.922568716167319</v>
      </c>
      <c r="N144" s="74">
        <f>N143*(1+Table2[Discount rate A1])</f>
        <v>7277.1124457774822</v>
      </c>
      <c r="O144" s="74">
        <f>Table2[[#This Row],[Asset growth A1, under the assumption of full-funding at Year 0]]/(1+Table2[[#This Row],[Compounded CPI]])</f>
        <v>398.66581304639749</v>
      </c>
      <c r="P144" s="74">
        <f>(P143*((1+Table2[Discount rate A1])^0.5)-Table2[Annual benefit payments (closed scheme)])*(1+Table2[Discount rate A1])^0.5</f>
        <v>9.8949667806843746E-13</v>
      </c>
      <c r="Q144" s="74">
        <f>Table2[[#This Row],[Asset growth A1 with benefit payments deducted]]/(1+Table2[Compounded CPI])</f>
        <v>5.4208108038478606E-14</v>
      </c>
      <c r="R144" s="74">
        <f>Table2[[#This Row],[Asset growth A1 with benefit payments deducted]]/(1+Table2[Compounded discount rate A1])</f>
        <v>8.8277687826018018E-15</v>
      </c>
      <c r="S144" s="73">
        <f>Table2[CPI]+1.7%</f>
        <v>4.4700000000000004E-2</v>
      </c>
      <c r="T144" s="72">
        <f t="shared" si="32"/>
        <v>105.46294530438379</v>
      </c>
      <c r="U144" s="17">
        <f>Table2[[#This Row],[Annual benefit payments (closed scheme)]]/((1+T143)*(1+Table2[[#This Row],[Discount rate A2]])^0.5)+U143</f>
        <v>67.511306032910724</v>
      </c>
      <c r="V144" s="74">
        <f>V143*(1+Table2[Discount rate A2])</f>
        <v>7187.4524816092826</v>
      </c>
      <c r="W144" s="74">
        <f>Table2[[#This Row],[Asset growth A2, under the assumption of full-funding at Year 0]]/(1+Table2[Compounded CPI])</f>
        <v>393.75392487933107</v>
      </c>
      <c r="X144" s="74">
        <f>(X143*((1+Table2[Discount rate A2])^0.5)-Table2[Annual benefit payments (closed scheme)])*(1+Table2[Discount rate A2])^0.5</f>
        <v>3.0985156878455167E-12</v>
      </c>
      <c r="Y144" s="74">
        <f>Table2[[#This Row],[Asset growth A2 with benefit payments deducted]]/(1+Table2[[#This Row],[Compounded CPI]])</f>
        <v>1.6974758671603496E-13</v>
      </c>
      <c r="Z144" s="78">
        <f>Table2[[#This Row],[Asset growth A2 with benefit payments deducted]]/(1+Table2[Compounded discount rate A2])</f>
        <v>2.9104170272451873E-14</v>
      </c>
      <c r="AA144" s="109">
        <f>Table2[CPI]+2.8%</f>
        <v>5.57E-2</v>
      </c>
      <c r="AB144" s="72">
        <f t="shared" si="33"/>
        <v>334.85916009246029</v>
      </c>
      <c r="AC144" s="74">
        <f>Table2[[#This Row],[Annual benefit payments (closed scheme)]]/((1+AB143)*(1+Table2[[#This Row],[Discount rate B]])^0.5)+AC143</f>
        <v>60.426898501081197</v>
      </c>
      <c r="AD144" s="110">
        <f>AD143*(1+Table2[Discount rate B])</f>
        <v>20151.549605547614</v>
      </c>
      <c r="AE144" s="71">
        <f>Table2[[#This Row],[Asset growth B]]/(1+Table2[Compounded CPI])</f>
        <v>1103.9727594565334</v>
      </c>
      <c r="AF144" s="74">
        <f>(AF143*((1+Table2[Discount rate B])^0.5)-Table2[Annual benefit payments (closed scheme)])*(1+Table2[Discount rate B])^0.5</f>
        <v>-143.37777201786082</v>
      </c>
      <c r="AG144" s="74">
        <f>Table2[[#This Row],[Asset growth B with benefit payments deducted]]/(1+Table2[Compounded CPI])</f>
        <v>-7.8547386041077703</v>
      </c>
      <c r="AH144" s="78">
        <f>Table2[[#This Row],[Asset growth B with benefit payments deducted]]/(1+Table2[Compounded discount rate B])</f>
        <v>-0.42689850108119626</v>
      </c>
      <c r="AI144" s="75">
        <f>Table2[CPI]+2.56%</f>
        <v>5.33E-2</v>
      </c>
      <c r="AJ144" s="72">
        <f t="shared" si="34"/>
        <v>323.93374050533379</v>
      </c>
      <c r="AK144" s="74">
        <f>Table2[[#This Row],[Annual benefit payments (closed scheme)]]/((1+AJ143)*(1+Table2[[#This Row],[Discount rate C]])^0.5)+AK143</f>
        <v>52.353435276202354</v>
      </c>
      <c r="AL144" s="74">
        <f>AL143*(1+Table2[Discount rate C])</f>
        <v>19496.024430320023</v>
      </c>
      <c r="AM144" s="74">
        <f>Table2[[#This Row],[Asset growth C]]/(1+Table2[Compounded CPI])</f>
        <v>1068.0607849059506</v>
      </c>
      <c r="AN144" s="74">
        <f>(AN143*((1+Table2[Discount rate C])^0.5)-Table2[Annual benefit payments (closed scheme)])*(1+Table2[Discount rate C])^0.5</f>
        <v>2484.6268777196769</v>
      </c>
      <c r="AO144" s="74">
        <f>Table2[[#This Row],[Asset growth C with benefit payments deducted]]/(1+Table2[Compounded CPI])</f>
        <v>136.11659867888969</v>
      </c>
      <c r="AP144" s="78">
        <f>Table2[[#This Row],[Asset growth C with benefit payments deducted]]/(1+Table2[Compounded discount rate C])</f>
        <v>7.6465647237975638</v>
      </c>
      <c r="AQ144" s="75">
        <f>Table2[CPI]+2.56%</f>
        <v>5.33E-2</v>
      </c>
      <c r="AR144" s="72">
        <f t="shared" si="35"/>
        <v>303.15979202530025</v>
      </c>
      <c r="AS144" s="74">
        <f>Table2[[#This Row],[Annual benefit payments (closed scheme)]]/((1+AR143)*(1+Table2[[#This Row],[Discount rate D]])^0.5)+AS143</f>
        <v>54.852927873175936</v>
      </c>
      <c r="AT144" s="71">
        <f>AT143*(1+Table2[Discount rate D])</f>
        <v>18249.587521518006</v>
      </c>
      <c r="AU144" s="74">
        <f>Table2[[#This Row],[Asset growth D]]/(1+Table2[Compounded CPI])</f>
        <v>999.77658738102093</v>
      </c>
      <c r="AV144" s="74">
        <f>(AV143*((1+Table2[Discount rate D])^0.5)-Table2[Annual benefit payments (closed scheme)])*(1+Table2[Discount rate D])^0.5</f>
        <v>1565.5323876340103</v>
      </c>
      <c r="AW144" s="74">
        <f>Table2[[#This Row],[Asset growth D with benefit payments deducted]]/(1+Table2[Compounded CPI])</f>
        <v>85.765370099334717</v>
      </c>
      <c r="AX144" s="78">
        <f>Table2[[#This Row],[Asset growth D with benefit payments deducted]]/(1+Table2[Compounded discount rate D])</f>
        <v>5.1470721268240087</v>
      </c>
      <c r="AY144" s="75">
        <f>Table2[CPI]+4%</f>
        <v>6.7699999999999996E-2</v>
      </c>
      <c r="AZ144" s="72">
        <f t="shared" si="36"/>
        <v>1355.9587269235581</v>
      </c>
      <c r="BA144" s="74">
        <f>Table2[[#This Row],[Annual benefit payments (closed scheme)]]/((1+AZ143)*(1+Table2[[#This Row],[Discount rate E]])^0.5)+BA143</f>
        <v>48.297580675656633</v>
      </c>
      <c r="BB144" s="17">
        <f>BB143*(1+Table2[Discount rate E])</f>
        <v>81417.523615413593</v>
      </c>
      <c r="BC144" s="71">
        <f>Table2[[#This Row],[Asset growth E]]/(1+Table2[Compounded CPI])</f>
        <v>4460.3382853039438</v>
      </c>
      <c r="BD144" s="74">
        <f>(BD143*((1+Table2[Discount rate E])^0.5)-Table2[Annual benefit payments (closed scheme)])*(1+Table2[Discount rate E])^0.5</f>
        <v>15879.700028286521</v>
      </c>
      <c r="BE144" s="74">
        <f>Table2[[#This Row],[Asset growth E with benefit payments deducted]]/(1+Table2[Compounded CPI])</f>
        <v>869.94581571748404</v>
      </c>
      <c r="BF144" s="78">
        <f>Table2[[#This Row],[Asset growth E with benefit payments deducted]]/(1+Table2[Compounded discount rate E])</f>
        <v>11.702419324343294</v>
      </c>
      <c r="BG144" s="75">
        <f>Table2[[#This Row],[Long-dated forward gilt yields]]+0.75%</f>
        <v>2.5600000000000001E-2</v>
      </c>
      <c r="BH144" s="75">
        <f t="shared" si="37"/>
        <v>17.098582941609703</v>
      </c>
      <c r="BI144" s="17">
        <f>((Table2[[#This Row],[Annual benefit payments (closed scheme)]])*1.005^(Table2[[#This Row],[Year]]-2018))/((1+BH143)*(1+Table2[[#This Row],[Discount rate F]])^0.5)+BI143</f>
        <v>82.34349485762877</v>
      </c>
      <c r="BJ144" s="74">
        <f>BJ143*(1+Table2[Discount rate F])</f>
        <v>1490.3005713828068</v>
      </c>
      <c r="BK144" s="74">
        <f>Table2[[#This Row],[Asset growth F, under the assumption of full-funding at Year 0]]/(1+Table2[[#This Row],[Compounded CPI]])</f>
        <v>81.6439066182879</v>
      </c>
      <c r="BL144" s="74">
        <f>(BL143*((1+Table2[Discount rate F])^0.5)-Table2[Annual benefit payments (closed scheme)]*1.005^(Table2[Year]-2018))*(1+Table2[Discount rate F])^0.5</f>
        <v>-4.5831021302911641E-13</v>
      </c>
      <c r="BM144" s="74">
        <f>Table2[[#This Row],[Asset growth F with benefit payments deducted]]/(1+Table2[Compounded CPI])</f>
        <v>-2.5107845325481901E-14</v>
      </c>
      <c r="BN144" s="78">
        <f>Table2[[#This Row],[Asset growth F with benefit payments deducted]]/(1+Table2[Compounded discount rate F])</f>
        <v>-2.5322988794632888E-14</v>
      </c>
      <c r="BO144" s="18">
        <f>(1+BO143)*(1+Table2[Discount rate A2])-1</f>
        <v>58.875320507822366</v>
      </c>
      <c r="BP144" s="74">
        <f>Table2[[#This Row],[Annual benefit payments (ongoing scheme)]]/((1+BO143)*(1+Table2[[#This Row],[Discount rate A2]])^0.5)+BP143</f>
        <v>112.5091731857294</v>
      </c>
      <c r="BQ144" s="74">
        <f>(BQ143*((1+Table2[Discount rate A2])^0.5)-Table2[Annual benefit payments (ongoing scheme)])*(1+Table2[Discount rate A2])^0.5</f>
        <v>2.3977086400132826E-13</v>
      </c>
      <c r="BR144" s="18">
        <f>(1+BR143)*(1+Table2[Discount rate B])-1</f>
        <v>170.16636128741334</v>
      </c>
      <c r="BS144" s="74">
        <f>Table2[[#This Row],[Annual benefit payments (ongoing scheme)]]/((1+BR143)*(1+Table2[[#This Row],[Discount rate B]])^0.5)+BS143</f>
        <v>93.512942296053311</v>
      </c>
      <c r="BT144" s="18">
        <f>(1+BT143)*(1+Table2[Discount rate E])-1</f>
        <v>530.68496579689065</v>
      </c>
      <c r="BU144" s="74">
        <f>Table2[[#This Row],[Annual benefit payments (ongoing scheme)]]/((1+BT143)*(1+Table2[[#This Row],[Discount rate E]])^0.5)+BU143</f>
        <v>78.139825166219183</v>
      </c>
      <c r="BV144" s="18">
        <f>Table2[CPI]+0.75%+0.75%</f>
        <v>4.2699999999999995E-2</v>
      </c>
      <c r="BW144" s="18">
        <f>(1+BW143)*(1+Table2[Self-sufficiency discount rate, from 2037])-1</f>
        <v>48.407226825700107</v>
      </c>
      <c r="BX144" s="17">
        <f>(Table2[[#This Row],[Annual benefit payments (ongoing scheme)]]*1.005^(Table2[[#This Row],[Year]]-2038))/((1+BW143)*(1+Table2[[#This Row],[Self-sufficiency discount rate, from 2037]])^0.5)+BX143</f>
        <v>128.05052145331271</v>
      </c>
      <c r="BY144" s="74">
        <f>(BY143*((1+Table2[Self-sufficiency discount rate, from 2037])^0.5)-Table2[Annual benefit payments (ongoing scheme)]*1.005^(Table2[Year]-2038))*(1+Table2[Self-sufficiency discount rate, from 2037])^0.5</f>
        <v>-6.69658406925325E-12</v>
      </c>
      <c r="BZ144" s="74">
        <f>(BZ143*((1+Table2[Discount rate B])^0.5)-Table2[Annual benefit payments (ongoing scheme)])*(1+Table2[Discount rate B])^0.5</f>
        <v>-6.4433905202155615E-12</v>
      </c>
      <c r="CA144" s="74">
        <f>(CA143*((1+Table2[Discount rate A2])^0.5)+Table2[Net cashflow (ongoing scheme)])*(1+Table2[Discount rate A2])^0.5</f>
        <v>-19.816650989878781</v>
      </c>
      <c r="CB144" s="74">
        <f>Table2[[#This Row],[Asset growth, ongoing scheme, with November de-risking, net of contributions and payments]]/(1+Table2[Compounded discount rate A2])</f>
        <v>-0.18613660305209306</v>
      </c>
      <c r="CC144" s="74">
        <f>Table2[[#This Row],[Asset growth, ongoing scheme, with November de-risking, net of contributions and payments]]/(1+Table2[Compounded CPI])</f>
        <v>-1.0856258354673076</v>
      </c>
      <c r="CD144" s="74">
        <f>(CD143*((1+Table2[Discount rate A1])^0.5)+Table2[Net cashflow (ongoing scheme)])*(1+Table2[Discount rate A1])^0.5</f>
        <v>324.02474402003406</v>
      </c>
      <c r="CE144" s="74">
        <f>Table2[[#This Row],[Asset growth, ongoing scheme, with September de-risking, net of contributions and payments]]/(1+Table2[Compounded discount rate A1])</f>
        <v>2.8907782951169838</v>
      </c>
      <c r="CF144" s="74">
        <f>Table2[[#This Row],[Asset growth, ongoing scheme, with September de-risking, net of contributions and payments]]/(1+Table2[Compounded CPI])</f>
        <v>17.751215057402682</v>
      </c>
      <c r="CG144" s="74">
        <f>(CG143*((1+Table2[Discount rate B])^0.5)+Table2[Net cashflow (ongoing scheme)])*(1+Table2[Discount rate B])^0.5</f>
        <v>5140.5951760885982</v>
      </c>
      <c r="CH144" s="74">
        <f>Table2[[#This Row],[Asset growth, ongoing scheme, no de-risking, net of contributions and payments]]/(1+Table2[Compounded discount rate B])</f>
        <v>15.305806084530847</v>
      </c>
      <c r="CI144" s="74">
        <f>Table2[[#This Row],[Asset growth, ongoing scheme, no de-risking, net of contributions and payments]]/(1+Table2[Compounded CPI])</f>
        <v>281.61988298076869</v>
      </c>
      <c r="CJ144" s="74">
        <f>(CJ143*((1+Table2[Discount rate E])^0.5)+Table2[Net cashflow (ongoing scheme)])*(1+Table2[Discount rate E])^0.5</f>
        <v>43334.927830491433</v>
      </c>
      <c r="CK144" s="74">
        <f>Table2[[#This Row],[Asset growth, ongoing scheme, best-estimates, no de-risking, net of contributions and payments ]]/(1+Table2[Compounded discount rate E])</f>
        <v>31.935332277009358</v>
      </c>
      <c r="CL144" s="74">
        <f>Table2[[#This Row],[Asset growth, ongoing scheme, best-estimates, no de-risking, net of contributions and payments ]]/(1+Table2[Compounded CPI])</f>
        <v>2374.039753484124</v>
      </c>
      <c r="CM144" s="73">
        <f>CM143</f>
        <v>2.7699999999999999E-2</v>
      </c>
      <c r="CN144" s="75">
        <f>(1+Table2[[#This Row],[CPI]])*(1+CN143)-1</f>
        <v>17.253665620760309</v>
      </c>
      <c r="CO144" s="11">
        <f>CO143</f>
        <v>1.8100000000000002E-2</v>
      </c>
      <c r="CP144" s="75">
        <f>Table2[[#This Row],[CPI]]+2%</f>
        <v>4.7699999999999999E-2</v>
      </c>
      <c r="CQ144" s="76">
        <f>(1+Table2[[#This Row],[Salary growth]])*(1+CQ143)-1</f>
        <v>179.43767148776789</v>
      </c>
      <c r="CR144" s="77">
        <f t="shared" si="39"/>
        <v>182.53665620760307</v>
      </c>
      <c r="CS144" s="74">
        <f t="shared" si="40"/>
        <v>237.29765306988412</v>
      </c>
      <c r="CT144" s="74">
        <f>CT143*(1+Table2[[#This Row],[Salary growth]])</f>
        <v>1804.3767148776792</v>
      </c>
      <c r="CU144" s="78">
        <f t="shared" si="38"/>
        <v>2345.6897293409816</v>
      </c>
      <c r="CV144" s="116">
        <f>('Cash flows as at 31032017'!B129)/1000000000</f>
        <v>0</v>
      </c>
      <c r="CW144" s="117">
        <v>0</v>
      </c>
      <c r="CX144" s="117">
        <f>Table2[[#This Row],[Annual contributions (closed scheme)]]-Table2[[#This Row],[Annual benefit payments (closed scheme)]]</f>
        <v>0</v>
      </c>
      <c r="CY144" s="117">
        <v>0</v>
      </c>
      <c r="CZ144" s="117">
        <v>0</v>
      </c>
      <c r="DA144" s="117">
        <v>0</v>
      </c>
    </row>
  </sheetData>
  <sortState xmlns:xlrd2="http://schemas.microsoft.com/office/spreadsheetml/2017/richdata2" ref="A1:F150">
    <sortCondition ref="A1:A150"/>
  </sortState>
  <mergeCells count="13">
    <mergeCell ref="CR6:CU6"/>
    <mergeCell ref="CV6:DA6"/>
    <mergeCell ref="B6:D6"/>
    <mergeCell ref="E6:J6"/>
    <mergeCell ref="K6:R6"/>
    <mergeCell ref="S6:Z6"/>
    <mergeCell ref="AA6:AH6"/>
    <mergeCell ref="BG6:BN6"/>
    <mergeCell ref="AI6:AP6"/>
    <mergeCell ref="AY6:BF6"/>
    <mergeCell ref="AQ6:AX6"/>
    <mergeCell ref="CM6:CQ6"/>
    <mergeCell ref="BO6:CL6"/>
  </mergeCell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9"/>
  <sheetViews>
    <sheetView tabSelected="1" zoomScaleNormal="100" workbookViewId="0">
      <selection activeCell="A2" sqref="A2"/>
    </sheetView>
  </sheetViews>
  <sheetFormatPr baseColWidth="10" defaultColWidth="8.83203125" defaultRowHeight="15" x14ac:dyDescent="0.2"/>
  <cols>
    <col min="1" max="1" width="11.33203125" customWidth="1"/>
    <col min="2" max="2" width="16.83203125" customWidth="1"/>
    <col min="3" max="3" width="14.83203125" customWidth="1"/>
  </cols>
  <sheetData>
    <row r="1" spans="1:3" x14ac:dyDescent="0.2">
      <c r="A1" s="6" t="s">
        <v>94</v>
      </c>
    </row>
    <row r="2" spans="1:3" x14ac:dyDescent="0.2">
      <c r="A2" t="s">
        <v>95</v>
      </c>
    </row>
    <row r="3" spans="1:3" x14ac:dyDescent="0.2">
      <c r="A3" s="89" t="s">
        <v>96</v>
      </c>
    </row>
    <row r="5" spans="1:3" x14ac:dyDescent="0.2">
      <c r="A5" t="s">
        <v>97</v>
      </c>
    </row>
    <row r="7" spans="1:3" x14ac:dyDescent="0.2">
      <c r="A7" s="90" t="s">
        <v>98</v>
      </c>
      <c r="B7" s="91"/>
      <c r="C7" s="91"/>
    </row>
    <row r="9" spans="1:3" ht="96" x14ac:dyDescent="0.2">
      <c r="A9" s="92" t="s">
        <v>99</v>
      </c>
      <c r="B9" s="93" t="s">
        <v>100</v>
      </c>
      <c r="C9" s="93" t="s">
        <v>101</v>
      </c>
    </row>
    <row r="10" spans="1:3" x14ac:dyDescent="0.2">
      <c r="A10" s="94">
        <v>43190</v>
      </c>
      <c r="B10" s="95">
        <v>1944605935</v>
      </c>
      <c r="C10" s="95">
        <v>21650060.45579556</v>
      </c>
    </row>
    <row r="11" spans="1:3" x14ac:dyDescent="0.2">
      <c r="A11" s="94">
        <v>43555</v>
      </c>
      <c r="B11" s="95">
        <v>1783566459</v>
      </c>
      <c r="C11" s="95">
        <v>9019049.7652540579</v>
      </c>
    </row>
    <row r="12" spans="1:3" x14ac:dyDescent="0.2">
      <c r="A12" s="94">
        <v>43921</v>
      </c>
      <c r="B12" s="95">
        <v>1830738684</v>
      </c>
      <c r="C12" s="95">
        <v>11007747.993801173</v>
      </c>
    </row>
    <row r="13" spans="1:3" x14ac:dyDescent="0.2">
      <c r="A13" s="94">
        <v>44286</v>
      </c>
      <c r="B13" s="95">
        <v>1883082644</v>
      </c>
      <c r="C13" s="95">
        <v>13061926.779709518</v>
      </c>
    </row>
    <row r="14" spans="1:3" x14ac:dyDescent="0.2">
      <c r="A14" s="94">
        <v>44651</v>
      </c>
      <c r="B14" s="95">
        <v>1945749712</v>
      </c>
      <c r="C14" s="95">
        <v>15388172.350327231</v>
      </c>
    </row>
    <row r="15" spans="1:3" x14ac:dyDescent="0.2">
      <c r="A15" s="94">
        <v>45016</v>
      </c>
      <c r="B15" s="95">
        <v>2003982492</v>
      </c>
      <c r="C15" s="95">
        <v>17409095.441728622</v>
      </c>
    </row>
    <row r="16" spans="1:3" x14ac:dyDescent="0.2">
      <c r="A16" s="94">
        <v>45382</v>
      </c>
      <c r="B16" s="95">
        <v>2071733746</v>
      </c>
      <c r="C16" s="95">
        <v>19994855.739202037</v>
      </c>
    </row>
    <row r="17" spans="1:3" x14ac:dyDescent="0.2">
      <c r="A17" s="94">
        <v>45747</v>
      </c>
      <c r="B17" s="95">
        <v>2146018247</v>
      </c>
      <c r="C17" s="95">
        <v>22970164.50522539</v>
      </c>
    </row>
    <row r="18" spans="1:3" x14ac:dyDescent="0.2">
      <c r="A18" s="94">
        <v>46112</v>
      </c>
      <c r="B18" s="95">
        <v>2229662638</v>
      </c>
      <c r="C18" s="95">
        <v>26171814.365032613</v>
      </c>
    </row>
    <row r="19" spans="1:3" x14ac:dyDescent="0.2">
      <c r="A19" s="94">
        <v>46477</v>
      </c>
      <c r="B19" s="95">
        <v>2303103165</v>
      </c>
      <c r="C19" s="95">
        <v>29354506.362037688</v>
      </c>
    </row>
    <row r="20" spans="1:3" x14ac:dyDescent="0.2">
      <c r="A20" s="94">
        <v>46843</v>
      </c>
      <c r="B20" s="95">
        <v>2392993020</v>
      </c>
      <c r="C20" s="95">
        <v>33242427.617316097</v>
      </c>
    </row>
    <row r="21" spans="1:3" x14ac:dyDescent="0.2">
      <c r="A21" s="94">
        <v>47208</v>
      </c>
      <c r="B21" s="95">
        <v>2484743788</v>
      </c>
      <c r="C21" s="95">
        <v>37269074.524977207</v>
      </c>
    </row>
    <row r="22" spans="1:3" x14ac:dyDescent="0.2">
      <c r="A22" s="94">
        <v>47573</v>
      </c>
      <c r="B22" s="95">
        <v>2567758061</v>
      </c>
      <c r="C22" s="95">
        <v>41334199.489800274</v>
      </c>
    </row>
    <row r="23" spans="1:3" x14ac:dyDescent="0.2">
      <c r="A23" s="94">
        <v>47938</v>
      </c>
      <c r="B23" s="95">
        <v>2651191441</v>
      </c>
      <c r="C23" s="95">
        <v>45767829.698599994</v>
      </c>
    </row>
    <row r="24" spans="1:3" x14ac:dyDescent="0.2">
      <c r="A24" s="94">
        <v>48304</v>
      </c>
      <c r="B24" s="95">
        <v>2726064192</v>
      </c>
      <c r="C24" s="95">
        <v>50083208.831500888</v>
      </c>
    </row>
    <row r="25" spans="1:3" x14ac:dyDescent="0.2">
      <c r="A25" s="94">
        <v>48669</v>
      </c>
      <c r="B25" s="95">
        <v>2799334012</v>
      </c>
      <c r="C25" s="95">
        <v>54831632.613213122</v>
      </c>
    </row>
    <row r="26" spans="1:3" x14ac:dyDescent="0.2">
      <c r="A26" s="94">
        <v>49034</v>
      </c>
      <c r="B26" s="95">
        <v>2877928953</v>
      </c>
      <c r="C26" s="95">
        <v>60135259.190399408</v>
      </c>
    </row>
    <row r="27" spans="1:3" x14ac:dyDescent="0.2">
      <c r="A27" s="94">
        <v>49399</v>
      </c>
      <c r="B27" s="95">
        <v>2937950674</v>
      </c>
      <c r="C27" s="95">
        <v>65151556.602570117</v>
      </c>
    </row>
    <row r="28" spans="1:3" x14ac:dyDescent="0.2">
      <c r="A28" s="94">
        <v>49765</v>
      </c>
      <c r="B28" s="95">
        <v>3008806050</v>
      </c>
      <c r="C28" s="95">
        <v>70751933.35465014</v>
      </c>
    </row>
    <row r="29" spans="1:3" x14ac:dyDescent="0.2">
      <c r="A29" s="94">
        <v>50130</v>
      </c>
      <c r="B29" s="95">
        <v>3065003341</v>
      </c>
      <c r="C29" s="95">
        <v>76821889.022418618</v>
      </c>
    </row>
    <row r="30" spans="1:3" x14ac:dyDescent="0.2">
      <c r="A30" s="94">
        <v>50495</v>
      </c>
      <c r="B30" s="95">
        <v>3109307385</v>
      </c>
      <c r="C30" s="95">
        <v>82554676.029677272</v>
      </c>
    </row>
    <row r="31" spans="1:3" x14ac:dyDescent="0.2">
      <c r="A31" s="94">
        <v>50860</v>
      </c>
      <c r="B31" s="95">
        <v>3143095872</v>
      </c>
      <c r="C31" s="95">
        <v>88339935.678225517</v>
      </c>
    </row>
    <row r="32" spans="1:3" x14ac:dyDescent="0.2">
      <c r="A32" s="94">
        <v>51226</v>
      </c>
      <c r="B32" s="95">
        <v>3164928239</v>
      </c>
      <c r="C32" s="95">
        <v>94187686.965185642</v>
      </c>
    </row>
    <row r="33" spans="1:3" x14ac:dyDescent="0.2">
      <c r="A33" s="94">
        <v>51591</v>
      </c>
      <c r="B33" s="95">
        <v>3175653453</v>
      </c>
      <c r="C33" s="95">
        <v>100419851.94303441</v>
      </c>
    </row>
    <row r="34" spans="1:3" x14ac:dyDescent="0.2">
      <c r="A34" s="94">
        <v>51956</v>
      </c>
      <c r="B34" s="95">
        <v>3192667441</v>
      </c>
      <c r="C34" s="95">
        <v>107503832.58983707</v>
      </c>
    </row>
    <row r="35" spans="1:3" x14ac:dyDescent="0.2">
      <c r="A35" s="94">
        <v>52321</v>
      </c>
      <c r="B35" s="95">
        <v>3178397667</v>
      </c>
      <c r="C35" s="95">
        <v>113745191.16797376</v>
      </c>
    </row>
    <row r="36" spans="1:3" x14ac:dyDescent="0.2">
      <c r="A36" s="94">
        <v>52687</v>
      </c>
      <c r="B36" s="95">
        <v>3162861167</v>
      </c>
      <c r="C36" s="95">
        <v>120621711.11979628</v>
      </c>
    </row>
    <row r="37" spans="1:3" x14ac:dyDescent="0.2">
      <c r="A37" s="94">
        <v>53052</v>
      </c>
      <c r="B37" s="95">
        <v>3134169081</v>
      </c>
      <c r="C37" s="95">
        <v>127646173.7613616</v>
      </c>
    </row>
    <row r="38" spans="1:3" x14ac:dyDescent="0.2">
      <c r="A38" s="94">
        <v>53417</v>
      </c>
      <c r="B38" s="95">
        <v>3081227667</v>
      </c>
      <c r="C38" s="95">
        <v>133652281.82779646</v>
      </c>
    </row>
    <row r="39" spans="1:3" x14ac:dyDescent="0.2">
      <c r="A39" s="94">
        <v>53782</v>
      </c>
      <c r="B39" s="95">
        <v>3018670190</v>
      </c>
      <c r="C39" s="95">
        <v>139396174.14182258</v>
      </c>
    </row>
    <row r="40" spans="1:3" x14ac:dyDescent="0.2">
      <c r="A40" s="94">
        <v>54148</v>
      </c>
      <c r="B40" s="95">
        <v>2945494612</v>
      </c>
      <c r="C40" s="95">
        <v>144065894.93810463</v>
      </c>
    </row>
    <row r="41" spans="1:3" x14ac:dyDescent="0.2">
      <c r="A41" s="94">
        <v>54513</v>
      </c>
      <c r="B41" s="95">
        <v>2862231837</v>
      </c>
      <c r="C41" s="95">
        <v>148260142.27001452</v>
      </c>
    </row>
    <row r="42" spans="1:3" x14ac:dyDescent="0.2">
      <c r="A42" s="94">
        <v>54878</v>
      </c>
      <c r="B42" s="95">
        <v>2773231729</v>
      </c>
      <c r="C42" s="95">
        <v>152196073.84897399</v>
      </c>
    </row>
    <row r="43" spans="1:3" x14ac:dyDescent="0.2">
      <c r="A43" s="94">
        <v>55243</v>
      </c>
      <c r="B43" s="95">
        <v>2678675393</v>
      </c>
      <c r="C43" s="95">
        <v>155105187.99002171</v>
      </c>
    </row>
    <row r="44" spans="1:3" x14ac:dyDescent="0.2">
      <c r="A44" s="94">
        <v>55609</v>
      </c>
      <c r="B44" s="95">
        <v>2580555657</v>
      </c>
      <c r="C44" s="95">
        <v>157192064.83414698</v>
      </c>
    </row>
    <row r="45" spans="1:3" x14ac:dyDescent="0.2">
      <c r="A45" s="94">
        <v>55974</v>
      </c>
      <c r="B45" s="95">
        <v>2480258354</v>
      </c>
      <c r="C45" s="95">
        <v>158295834.4474659</v>
      </c>
    </row>
    <row r="46" spans="1:3" x14ac:dyDescent="0.2">
      <c r="A46" s="94">
        <v>56339</v>
      </c>
      <c r="B46" s="95">
        <v>2376392072</v>
      </c>
      <c r="C46" s="95">
        <v>157806671.09800673</v>
      </c>
    </row>
    <row r="47" spans="1:3" x14ac:dyDescent="0.2">
      <c r="A47" s="94">
        <v>56704</v>
      </c>
      <c r="B47" s="95">
        <v>2274232571</v>
      </c>
      <c r="C47" s="95">
        <v>156511191.55543661</v>
      </c>
    </row>
    <row r="48" spans="1:3" x14ac:dyDescent="0.2">
      <c r="A48" s="94">
        <v>57070</v>
      </c>
      <c r="B48" s="95">
        <v>2171881801</v>
      </c>
      <c r="C48" s="95">
        <v>153971878.55129528</v>
      </c>
    </row>
    <row r="49" spans="1:3" x14ac:dyDescent="0.2">
      <c r="A49" s="94">
        <v>57435</v>
      </c>
      <c r="B49" s="95">
        <v>2071792568</v>
      </c>
      <c r="C49" s="95">
        <v>151417271.59439993</v>
      </c>
    </row>
    <row r="50" spans="1:3" x14ac:dyDescent="0.2">
      <c r="A50" s="94">
        <v>57800</v>
      </c>
      <c r="B50" s="95">
        <v>1973970927</v>
      </c>
      <c r="C50" s="95">
        <v>149244633.79143286</v>
      </c>
    </row>
    <row r="51" spans="1:3" x14ac:dyDescent="0.2">
      <c r="A51" s="94">
        <v>58165</v>
      </c>
      <c r="B51" s="95">
        <v>1877464162</v>
      </c>
      <c r="C51" s="95">
        <v>146859252.5478487</v>
      </c>
    </row>
    <row r="52" spans="1:3" x14ac:dyDescent="0.2">
      <c r="A52" s="94">
        <v>58531</v>
      </c>
      <c r="B52" s="95">
        <v>1782898747</v>
      </c>
      <c r="C52" s="95">
        <v>144303287.87757826</v>
      </c>
    </row>
    <row r="53" spans="1:3" x14ac:dyDescent="0.2">
      <c r="A53" s="94">
        <v>58896</v>
      </c>
      <c r="B53" s="95">
        <v>1690244214</v>
      </c>
      <c r="C53" s="95">
        <v>141709060.27880716</v>
      </c>
    </row>
    <row r="54" spans="1:3" x14ac:dyDescent="0.2">
      <c r="A54" s="94">
        <v>59261</v>
      </c>
      <c r="B54" s="95">
        <v>1599578816</v>
      </c>
      <c r="C54" s="95">
        <v>139204137.40309906</v>
      </c>
    </row>
    <row r="55" spans="1:3" x14ac:dyDescent="0.2">
      <c r="A55" s="94">
        <v>59626</v>
      </c>
      <c r="B55" s="95">
        <v>1510768220</v>
      </c>
      <c r="C55" s="95">
        <v>136641180.35285187</v>
      </c>
    </row>
    <row r="56" spans="1:3" x14ac:dyDescent="0.2">
      <c r="A56" s="94">
        <v>59992</v>
      </c>
      <c r="B56" s="95">
        <v>1423982835</v>
      </c>
      <c r="C56" s="95">
        <v>133994933.51002216</v>
      </c>
    </row>
    <row r="57" spans="1:3" x14ac:dyDescent="0.2">
      <c r="A57" s="94">
        <v>60357</v>
      </c>
      <c r="B57" s="95">
        <v>1339084010</v>
      </c>
      <c r="C57" s="95">
        <v>131242906.23310375</v>
      </c>
    </row>
    <row r="58" spans="1:3" x14ac:dyDescent="0.2">
      <c r="A58" s="94">
        <v>60722</v>
      </c>
      <c r="B58" s="95">
        <v>1256377213</v>
      </c>
      <c r="C58" s="95">
        <v>128402964.89378738</v>
      </c>
    </row>
    <row r="59" spans="1:3" x14ac:dyDescent="0.2">
      <c r="A59" s="94">
        <v>61087</v>
      </c>
      <c r="B59" s="95">
        <v>1175738824</v>
      </c>
      <c r="C59" s="95">
        <v>125454137.58630657</v>
      </c>
    </row>
    <row r="60" spans="1:3" x14ac:dyDescent="0.2">
      <c r="A60" s="94">
        <v>61453</v>
      </c>
      <c r="B60" s="95">
        <v>1097288418</v>
      </c>
      <c r="C60" s="95">
        <v>122385974.07762814</v>
      </c>
    </row>
    <row r="61" spans="1:3" x14ac:dyDescent="0.2">
      <c r="A61" s="94">
        <v>61818</v>
      </c>
      <c r="B61" s="95">
        <v>1019541185</v>
      </c>
      <c r="C61" s="95">
        <v>119015502.78600597</v>
      </c>
    </row>
    <row r="62" spans="1:3" x14ac:dyDescent="0.2">
      <c r="A62" s="94">
        <v>62183</v>
      </c>
      <c r="B62" s="95">
        <v>943091945</v>
      </c>
      <c r="C62" s="95">
        <v>115358175.08518219</v>
      </c>
    </row>
    <row r="63" spans="1:3" x14ac:dyDescent="0.2">
      <c r="A63" s="94">
        <v>62548</v>
      </c>
      <c r="B63" s="95">
        <v>868139332</v>
      </c>
      <c r="C63" s="95">
        <v>111406884.8958149</v>
      </c>
    </row>
    <row r="64" spans="1:3" x14ac:dyDescent="0.2">
      <c r="A64" s="94">
        <v>62914</v>
      </c>
      <c r="B64" s="95">
        <v>795078469</v>
      </c>
      <c r="C64" s="95">
        <v>107170165.26167202</v>
      </c>
    </row>
    <row r="65" spans="1:3" x14ac:dyDescent="0.2">
      <c r="A65" s="94">
        <v>63279</v>
      </c>
      <c r="B65" s="95">
        <v>724071526</v>
      </c>
      <c r="C65" s="95">
        <v>102642696.26463032</v>
      </c>
    </row>
    <row r="66" spans="1:3" x14ac:dyDescent="0.2">
      <c r="A66" s="94">
        <v>63644</v>
      </c>
      <c r="B66" s="95">
        <v>655599729</v>
      </c>
      <c r="C66" s="95">
        <v>97849128.05605793</v>
      </c>
    </row>
    <row r="67" spans="1:3" x14ac:dyDescent="0.2">
      <c r="A67" s="94">
        <v>64009</v>
      </c>
      <c r="B67" s="95">
        <v>589801611</v>
      </c>
      <c r="C67" s="95">
        <v>92792350.439742088</v>
      </c>
    </row>
    <row r="68" spans="1:3" x14ac:dyDescent="0.2">
      <c r="A68" s="94">
        <v>64375</v>
      </c>
      <c r="B68" s="95">
        <v>526989156</v>
      </c>
      <c r="C68" s="95">
        <v>87496495.126168251</v>
      </c>
    </row>
    <row r="69" spans="1:3" x14ac:dyDescent="0.2">
      <c r="A69" s="94">
        <v>64740</v>
      </c>
      <c r="B69" s="95">
        <v>467292254</v>
      </c>
      <c r="C69" s="95">
        <v>81975454.913441658</v>
      </c>
    </row>
    <row r="70" spans="1:3" x14ac:dyDescent="0.2">
      <c r="A70" s="94">
        <v>65105</v>
      </c>
      <c r="B70" s="95">
        <v>411101458</v>
      </c>
      <c r="C70" s="95">
        <v>76279598.078947067</v>
      </c>
    </row>
    <row r="71" spans="1:3" x14ac:dyDescent="0.2">
      <c r="A71" s="94">
        <v>65470</v>
      </c>
      <c r="B71" s="95">
        <v>358530500</v>
      </c>
      <c r="C71" s="95">
        <v>70440070.640639305</v>
      </c>
    </row>
    <row r="72" spans="1:3" x14ac:dyDescent="0.2">
      <c r="A72" s="94">
        <v>65836</v>
      </c>
      <c r="B72" s="95">
        <v>309811556</v>
      </c>
      <c r="C72" s="95">
        <v>64512622.80486393</v>
      </c>
    </row>
    <row r="73" spans="1:3" x14ac:dyDescent="0.2">
      <c r="A73" s="94">
        <v>66201</v>
      </c>
      <c r="B73" s="95">
        <v>265013112</v>
      </c>
      <c r="C73" s="95">
        <v>58543693.757015228</v>
      </c>
    </row>
    <row r="74" spans="1:3" x14ac:dyDescent="0.2">
      <c r="A74" s="94">
        <v>66566</v>
      </c>
      <c r="B74" s="95">
        <v>224352534</v>
      </c>
      <c r="C74" s="95">
        <v>52614076.912334442</v>
      </c>
    </row>
    <row r="75" spans="1:3" x14ac:dyDescent="0.2">
      <c r="A75" s="94">
        <v>66931</v>
      </c>
      <c r="B75" s="95">
        <v>187803025</v>
      </c>
      <c r="C75" s="95">
        <v>46781892.923424721</v>
      </c>
    </row>
    <row r="76" spans="1:3" x14ac:dyDescent="0.2">
      <c r="A76" s="94">
        <v>67297</v>
      </c>
      <c r="B76" s="95">
        <v>155375968</v>
      </c>
      <c r="C76" s="95">
        <v>41122700.932562828</v>
      </c>
    </row>
    <row r="77" spans="1:3" x14ac:dyDescent="0.2">
      <c r="A77" s="94">
        <v>67662</v>
      </c>
      <c r="B77" s="95">
        <v>126934189</v>
      </c>
      <c r="C77" s="95">
        <v>35696021.161459923</v>
      </c>
    </row>
    <row r="78" spans="1:3" x14ac:dyDescent="0.2">
      <c r="A78" s="94">
        <v>68027</v>
      </c>
      <c r="B78" s="95">
        <v>102394660</v>
      </c>
      <c r="C78" s="95">
        <v>30580892.999072075</v>
      </c>
    </row>
    <row r="79" spans="1:3" x14ac:dyDescent="0.2">
      <c r="A79" s="94">
        <v>68392</v>
      </c>
      <c r="B79" s="95">
        <v>81496760</v>
      </c>
      <c r="C79" s="95">
        <v>25825807.278431892</v>
      </c>
    </row>
    <row r="80" spans="1:3" x14ac:dyDescent="0.2">
      <c r="A80" s="94">
        <v>68758</v>
      </c>
      <c r="B80" s="95">
        <v>63987162</v>
      </c>
      <c r="C80" s="95">
        <v>21481573.199267387</v>
      </c>
    </row>
    <row r="81" spans="1:3" x14ac:dyDescent="0.2">
      <c r="A81" s="94">
        <v>69123</v>
      </c>
      <c r="B81" s="95">
        <v>49528470</v>
      </c>
      <c r="C81" s="95">
        <v>17575289.649709702</v>
      </c>
    </row>
    <row r="82" spans="1:3" x14ac:dyDescent="0.2">
      <c r="A82" s="94">
        <v>69488</v>
      </c>
      <c r="B82" s="95">
        <v>37816514</v>
      </c>
      <c r="C82" s="95">
        <v>14135971.969472885</v>
      </c>
    </row>
    <row r="83" spans="1:3" x14ac:dyDescent="0.2">
      <c r="A83" s="94">
        <v>69853</v>
      </c>
      <c r="B83" s="95">
        <v>28477308</v>
      </c>
      <c r="C83" s="95">
        <v>11161549.830916405</v>
      </c>
    </row>
    <row r="84" spans="1:3" x14ac:dyDescent="0.2">
      <c r="A84" s="94">
        <v>70219</v>
      </c>
      <c r="B84" s="95">
        <v>21167945</v>
      </c>
      <c r="C84" s="95">
        <v>8643769.3541259766</v>
      </c>
    </row>
    <row r="85" spans="1:3" x14ac:dyDescent="0.2">
      <c r="A85" s="94">
        <v>70584</v>
      </c>
      <c r="B85" s="95">
        <v>15542202</v>
      </c>
      <c r="C85" s="95">
        <v>6555130.3458738327</v>
      </c>
    </row>
    <row r="86" spans="1:3" x14ac:dyDescent="0.2">
      <c r="A86" s="94">
        <v>70949</v>
      </c>
      <c r="B86" s="95">
        <v>11302219</v>
      </c>
      <c r="C86" s="95">
        <v>4865901.4386415482</v>
      </c>
    </row>
    <row r="87" spans="1:3" x14ac:dyDescent="0.2">
      <c r="A87" s="94">
        <v>71314</v>
      </c>
      <c r="B87" s="95">
        <v>8160025</v>
      </c>
      <c r="C87" s="95">
        <v>3530051.3688316345</v>
      </c>
    </row>
    <row r="88" spans="1:3" x14ac:dyDescent="0.2">
      <c r="A88" s="94">
        <v>71680</v>
      </c>
      <c r="B88" s="95">
        <v>5874875</v>
      </c>
      <c r="C88" s="95">
        <v>2500868.2858953476</v>
      </c>
    </row>
    <row r="89" spans="1:3" x14ac:dyDescent="0.2">
      <c r="A89" s="94">
        <v>72045</v>
      </c>
      <c r="B89" s="95">
        <v>4238495</v>
      </c>
      <c r="C89" s="95">
        <v>1727439.7548189163</v>
      </c>
    </row>
    <row r="90" spans="1:3" x14ac:dyDescent="0.2">
      <c r="A90" s="94">
        <v>72410</v>
      </c>
      <c r="B90" s="95">
        <v>3086912</v>
      </c>
      <c r="C90" s="95">
        <v>1163286.4164590836</v>
      </c>
    </row>
    <row r="91" spans="1:3" x14ac:dyDescent="0.2">
      <c r="A91" s="94">
        <v>72775</v>
      </c>
      <c r="B91" s="95">
        <v>2284553</v>
      </c>
      <c r="C91" s="95">
        <v>762614.023478508</v>
      </c>
    </row>
    <row r="92" spans="1:3" x14ac:dyDescent="0.2">
      <c r="A92" s="94">
        <v>73140</v>
      </c>
      <c r="B92" s="95">
        <v>1729607</v>
      </c>
      <c r="C92" s="95">
        <v>486411.36716938019</v>
      </c>
    </row>
    <row r="93" spans="1:3" x14ac:dyDescent="0.2">
      <c r="A93" s="94">
        <v>73505</v>
      </c>
      <c r="B93" s="95">
        <v>1345718</v>
      </c>
      <c r="C93" s="95">
        <v>301668.0162115097</v>
      </c>
    </row>
    <row r="94" spans="1:3" x14ac:dyDescent="0.2">
      <c r="A94" s="94">
        <v>73870</v>
      </c>
      <c r="B94" s="95">
        <v>1077675</v>
      </c>
      <c r="C94" s="95">
        <v>181846.25207424164</v>
      </c>
    </row>
    <row r="95" spans="1:3" x14ac:dyDescent="0.2">
      <c r="A95" s="94">
        <v>74235</v>
      </c>
      <c r="B95" s="95">
        <v>886760</v>
      </c>
      <c r="C95" s="95">
        <v>106516.12588214874</v>
      </c>
    </row>
    <row r="96" spans="1:3" x14ac:dyDescent="0.2">
      <c r="A96" s="94">
        <v>74601</v>
      </c>
      <c r="B96" s="95">
        <v>746635</v>
      </c>
      <c r="C96" s="95">
        <v>60636.205963134766</v>
      </c>
    </row>
    <row r="97" spans="1:3" x14ac:dyDescent="0.2">
      <c r="A97" s="94">
        <v>74966</v>
      </c>
      <c r="B97" s="95">
        <v>639498</v>
      </c>
      <c r="C97" s="95">
        <v>33530.582062721252</v>
      </c>
    </row>
    <row r="98" spans="1:3" x14ac:dyDescent="0.2">
      <c r="A98" s="94">
        <v>75331</v>
      </c>
      <c r="B98" s="95">
        <v>554163</v>
      </c>
      <c r="C98" s="95">
        <v>18049.422507286072</v>
      </c>
    </row>
    <row r="99" spans="1:3" x14ac:dyDescent="0.2">
      <c r="A99" s="94">
        <v>75696</v>
      </c>
      <c r="B99" s="95">
        <v>483141</v>
      </c>
      <c r="C99" s="95">
        <v>9449.9243106842041</v>
      </c>
    </row>
    <row r="100" spans="1:3" x14ac:dyDescent="0.2">
      <c r="A100" s="94">
        <v>76062</v>
      </c>
      <c r="B100" s="95">
        <v>421885</v>
      </c>
      <c r="C100" s="95">
        <v>4810.6336030960083</v>
      </c>
    </row>
    <row r="101" spans="1:3" x14ac:dyDescent="0.2">
      <c r="A101" s="94">
        <v>76427</v>
      </c>
      <c r="B101" s="95">
        <v>367501</v>
      </c>
      <c r="C101" s="95">
        <v>2377.779577255249</v>
      </c>
    </row>
    <row r="102" spans="1:3" x14ac:dyDescent="0.2">
      <c r="A102" s="94">
        <v>76792</v>
      </c>
      <c r="B102" s="95">
        <v>318441</v>
      </c>
      <c r="C102" s="95">
        <v>1143.9093198776245</v>
      </c>
    </row>
    <row r="103" spans="1:3" x14ac:dyDescent="0.2">
      <c r="A103" s="94">
        <v>77157</v>
      </c>
      <c r="B103" s="95">
        <v>273619</v>
      </c>
      <c r="C103" s="95">
        <v>535.07323169708252</v>
      </c>
    </row>
    <row r="104" spans="1:3" x14ac:dyDescent="0.2">
      <c r="A104" s="94">
        <v>77523</v>
      </c>
      <c r="B104" s="95">
        <v>232501</v>
      </c>
      <c r="C104" s="95">
        <v>242.99059867858887</v>
      </c>
    </row>
    <row r="105" spans="1:3" x14ac:dyDescent="0.2">
      <c r="A105" s="94">
        <v>77888</v>
      </c>
      <c r="B105" s="95">
        <v>194771</v>
      </c>
      <c r="C105" s="95">
        <v>106.61361980438232</v>
      </c>
    </row>
    <row r="106" spans="1:3" x14ac:dyDescent="0.2">
      <c r="A106" s="94">
        <v>78253</v>
      </c>
      <c r="B106" s="95">
        <v>160422</v>
      </c>
      <c r="C106" s="95">
        <v>45.144396781921387</v>
      </c>
    </row>
    <row r="107" spans="1:3" x14ac:dyDescent="0.2">
      <c r="A107" s="94">
        <v>78618</v>
      </c>
      <c r="B107" s="95">
        <v>129436</v>
      </c>
      <c r="C107" s="95">
        <v>18.470479965209961</v>
      </c>
    </row>
    <row r="108" spans="1:3" x14ac:dyDescent="0.2">
      <c r="A108" s="94">
        <v>78984</v>
      </c>
      <c r="B108" s="95">
        <v>101990</v>
      </c>
      <c r="C108" s="95">
        <v>7.3675575256347656</v>
      </c>
    </row>
    <row r="109" spans="1:3" x14ac:dyDescent="0.2">
      <c r="A109" s="94">
        <v>79349</v>
      </c>
      <c r="B109" s="95">
        <v>78204</v>
      </c>
      <c r="C109" s="95">
        <v>2.8432025909423828</v>
      </c>
    </row>
  </sheetData>
  <hyperlinks>
    <hyperlink ref="A3" r:id="rId1" xr:uid="{00000000-0004-0000-0200-000000000000}"/>
  </hyperlinks>
  <pageMargins left="0.7" right="0.7" top="0.75" bottom="1.3333333333333333" header="0.3" footer="0.3"/>
  <pageSetup paperSize="9" orientation="portrait" r:id="rId2"/>
  <headerFooter>
    <oddFooter>&amp;L&amp;K999999Restricted Business Sensitive (RBS)&amp;R&amp;G</oddFooter>
  </headerFooter>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0"/>
  <sheetViews>
    <sheetView zoomScaleNormal="100" workbookViewId="0">
      <selection activeCell="A3" sqref="A3"/>
    </sheetView>
  </sheetViews>
  <sheetFormatPr baseColWidth="10" defaultColWidth="8.83203125" defaultRowHeight="15" x14ac:dyDescent="0.2"/>
  <cols>
    <col min="1" max="6" width="11.6640625" customWidth="1"/>
  </cols>
  <sheetData>
    <row r="1" spans="1:6" x14ac:dyDescent="0.2">
      <c r="A1" s="6" t="s">
        <v>102</v>
      </c>
    </row>
    <row r="2" spans="1:6" x14ac:dyDescent="0.2">
      <c r="A2" t="s">
        <v>103</v>
      </c>
    </row>
    <row r="3" spans="1:6" x14ac:dyDescent="0.2">
      <c r="A3" s="89" t="s">
        <v>96</v>
      </c>
    </row>
    <row r="4" spans="1:6" x14ac:dyDescent="0.2">
      <c r="A4" t="s">
        <v>104</v>
      </c>
    </row>
    <row r="6" spans="1:6" ht="16" thickBot="1" x14ac:dyDescent="0.25">
      <c r="A6" s="96"/>
      <c r="B6" s="97"/>
    </row>
    <row r="7" spans="1:6" x14ac:dyDescent="0.2">
      <c r="A7" s="141" t="s">
        <v>105</v>
      </c>
      <c r="B7" s="98" t="s">
        <v>106</v>
      </c>
      <c r="C7" s="98" t="s">
        <v>1</v>
      </c>
      <c r="D7" s="141" t="s">
        <v>105</v>
      </c>
      <c r="E7" s="98" t="s">
        <v>106</v>
      </c>
      <c r="F7" s="98" t="s">
        <v>1</v>
      </c>
    </row>
    <row r="8" spans="1:6" ht="31" thickBot="1" x14ac:dyDescent="0.25">
      <c r="A8" s="142"/>
      <c r="B8" s="99" t="s">
        <v>107</v>
      </c>
      <c r="C8" s="99" t="s">
        <v>107</v>
      </c>
      <c r="D8" s="142"/>
      <c r="E8" s="99" t="s">
        <v>107</v>
      </c>
      <c r="F8" s="99" t="s">
        <v>107</v>
      </c>
    </row>
    <row r="9" spans="1:6" ht="16" thickBot="1" x14ac:dyDescent="0.25">
      <c r="A9" s="100">
        <v>1</v>
      </c>
      <c r="B9" s="101">
        <v>0.02</v>
      </c>
      <c r="C9" s="101">
        <v>2.53E-2</v>
      </c>
      <c r="D9" s="100">
        <v>26</v>
      </c>
      <c r="E9" s="101">
        <v>3.61E-2</v>
      </c>
      <c r="F9" s="101">
        <v>1.9099999999999999E-2</v>
      </c>
    </row>
    <row r="10" spans="1:6" ht="16" thickBot="1" x14ac:dyDescent="0.25">
      <c r="A10" s="100">
        <v>2</v>
      </c>
      <c r="B10" s="101">
        <v>6.4999999999999997E-3</v>
      </c>
      <c r="C10" s="101">
        <v>1.2699999999999999E-2</v>
      </c>
      <c r="D10" s="100">
        <v>27</v>
      </c>
      <c r="E10" s="101">
        <v>3.4599999999999999E-2</v>
      </c>
      <c r="F10" s="101">
        <v>1.7600000000000001E-2</v>
      </c>
    </row>
    <row r="11" spans="1:6" ht="16" thickBot="1" x14ac:dyDescent="0.25">
      <c r="A11" s="100">
        <v>3</v>
      </c>
      <c r="B11" s="101">
        <v>5.5999999999999999E-3</v>
      </c>
      <c r="C11" s="101">
        <v>1.26E-2</v>
      </c>
      <c r="D11" s="100">
        <v>28</v>
      </c>
      <c r="E11" s="101">
        <v>3.3099999999999997E-2</v>
      </c>
      <c r="F11" s="101">
        <v>1.61E-2</v>
      </c>
    </row>
    <row r="12" spans="1:6" ht="16" thickBot="1" x14ac:dyDescent="0.25">
      <c r="A12" s="100">
        <v>4</v>
      </c>
      <c r="B12" s="101">
        <v>6.1000000000000004E-3</v>
      </c>
      <c r="C12" s="101">
        <v>1.41E-2</v>
      </c>
      <c r="D12" s="100">
        <v>29</v>
      </c>
      <c r="E12" s="101">
        <v>3.1699999999999999E-2</v>
      </c>
      <c r="F12" s="101">
        <v>1.47E-2</v>
      </c>
    </row>
    <row r="13" spans="1:6" ht="16" thickBot="1" x14ac:dyDescent="0.25">
      <c r="A13" s="100">
        <v>5</v>
      </c>
      <c r="B13" s="101">
        <v>6.8999999999999999E-3</v>
      </c>
      <c r="C13" s="101">
        <v>1.5699999999999999E-2</v>
      </c>
      <c r="D13" s="100">
        <v>30</v>
      </c>
      <c r="E13" s="101">
        <v>3.0499999999999999E-2</v>
      </c>
      <c r="F13" s="101">
        <v>1.35E-2</v>
      </c>
    </row>
    <row r="14" spans="1:6" ht="16" thickBot="1" x14ac:dyDescent="0.25">
      <c r="A14" s="100">
        <v>6</v>
      </c>
      <c r="B14" s="101">
        <v>7.9000000000000008E-3</v>
      </c>
      <c r="C14" s="101">
        <v>1.7600000000000001E-2</v>
      </c>
      <c r="D14" s="100">
        <v>31</v>
      </c>
      <c r="E14" s="101">
        <v>2.9600000000000001E-2</v>
      </c>
      <c r="F14" s="101">
        <v>1.26E-2</v>
      </c>
    </row>
    <row r="15" spans="1:6" ht="16" thickBot="1" x14ac:dyDescent="0.25">
      <c r="A15" s="100">
        <v>7</v>
      </c>
      <c r="B15" s="101">
        <v>8.8999999999999999E-3</v>
      </c>
      <c r="C15" s="101">
        <v>1.9400000000000001E-2</v>
      </c>
      <c r="D15" s="100">
        <v>32</v>
      </c>
      <c r="E15" s="101">
        <v>2.9000000000000001E-2</v>
      </c>
      <c r="F15" s="101">
        <v>1.2E-2</v>
      </c>
    </row>
    <row r="16" spans="1:6" ht="16" thickBot="1" x14ac:dyDescent="0.25">
      <c r="A16" s="100">
        <v>8</v>
      </c>
      <c r="B16" s="101">
        <v>9.7999999999999997E-3</v>
      </c>
      <c r="C16" s="101">
        <v>2.1299999999999999E-2</v>
      </c>
      <c r="D16" s="100">
        <v>33</v>
      </c>
      <c r="E16" s="101">
        <v>2.86E-2</v>
      </c>
      <c r="F16" s="101">
        <v>1.1599999999999999E-2</v>
      </c>
    </row>
    <row r="17" spans="1:6" ht="16" thickBot="1" x14ac:dyDescent="0.25">
      <c r="A17" s="100">
        <v>9</v>
      </c>
      <c r="B17" s="101">
        <v>1.06E-2</v>
      </c>
      <c r="C17" s="101">
        <v>2.29E-2</v>
      </c>
      <c r="D17" s="100">
        <v>34</v>
      </c>
      <c r="E17" s="101">
        <v>2.8400000000000002E-2</v>
      </c>
      <c r="F17" s="101">
        <v>1.14E-2</v>
      </c>
    </row>
    <row r="18" spans="1:6" ht="16" thickBot="1" x14ac:dyDescent="0.25">
      <c r="A18" s="100">
        <v>10</v>
      </c>
      <c r="B18" s="101">
        <v>1.11E-2</v>
      </c>
      <c r="C18" s="101">
        <v>2.4299999999999999E-2</v>
      </c>
      <c r="D18" s="100">
        <v>35</v>
      </c>
      <c r="E18" s="101">
        <v>2.8500000000000001E-2</v>
      </c>
      <c r="F18" s="101">
        <v>1.15E-2</v>
      </c>
    </row>
    <row r="19" spans="1:6" ht="16" thickBot="1" x14ac:dyDescent="0.25">
      <c r="A19" s="100">
        <v>11</v>
      </c>
      <c r="B19" s="101">
        <v>5.11E-2</v>
      </c>
      <c r="C19" s="101">
        <v>2.5499999999999998E-2</v>
      </c>
      <c r="D19" s="100">
        <v>36</v>
      </c>
      <c r="E19" s="101">
        <v>2.8799999999999999E-2</v>
      </c>
      <c r="F19" s="101">
        <v>1.18E-2</v>
      </c>
    </row>
    <row r="20" spans="1:6" ht="16" thickBot="1" x14ac:dyDescent="0.25">
      <c r="A20" s="100">
        <v>12</v>
      </c>
      <c r="B20" s="101">
        <v>5.1299999999999998E-2</v>
      </c>
      <c r="C20" s="101">
        <v>2.6499999999999999E-2</v>
      </c>
      <c r="D20" s="100">
        <v>37</v>
      </c>
      <c r="E20" s="101">
        <v>2.93E-2</v>
      </c>
      <c r="F20" s="101">
        <v>1.23E-2</v>
      </c>
    </row>
    <row r="21" spans="1:6" ht="16" thickBot="1" x14ac:dyDescent="0.25">
      <c r="A21" s="100">
        <v>13</v>
      </c>
      <c r="B21" s="101">
        <v>5.1200000000000002E-2</v>
      </c>
      <c r="C21" s="101">
        <v>2.7400000000000001E-2</v>
      </c>
      <c r="D21" s="100">
        <v>38</v>
      </c>
      <c r="E21" s="101">
        <v>2.9899999999999999E-2</v>
      </c>
      <c r="F21" s="101">
        <v>1.29E-2</v>
      </c>
    </row>
    <row r="22" spans="1:6" ht="16" thickBot="1" x14ac:dyDescent="0.25">
      <c r="A22" s="100">
        <v>14</v>
      </c>
      <c r="B22" s="101">
        <v>5.0999999999999997E-2</v>
      </c>
      <c r="C22" s="101">
        <v>2.8000000000000001E-2</v>
      </c>
      <c r="D22" s="100">
        <v>39</v>
      </c>
      <c r="E22" s="101">
        <v>3.0700000000000002E-2</v>
      </c>
      <c r="F22" s="101">
        <v>1.37E-2</v>
      </c>
    </row>
    <row r="23" spans="1:6" ht="16" thickBot="1" x14ac:dyDescent="0.25">
      <c r="A23" s="100">
        <v>15</v>
      </c>
      <c r="B23" s="101">
        <v>5.0599999999999999E-2</v>
      </c>
      <c r="C23" s="101">
        <v>2.8500000000000001E-2</v>
      </c>
      <c r="D23" s="100">
        <v>40</v>
      </c>
      <c r="E23" s="101">
        <v>3.1699999999999999E-2</v>
      </c>
      <c r="F23" s="101">
        <v>1.47E-2</v>
      </c>
    </row>
    <row r="24" spans="1:6" ht="16" thickBot="1" x14ac:dyDescent="0.25">
      <c r="A24" s="100">
        <v>16</v>
      </c>
      <c r="B24" s="101">
        <v>0.05</v>
      </c>
      <c r="C24" s="101">
        <v>2.87E-2</v>
      </c>
      <c r="D24" s="100">
        <v>41</v>
      </c>
      <c r="E24" s="101">
        <v>3.27E-2</v>
      </c>
      <c r="F24" s="101">
        <v>1.5699999999999999E-2</v>
      </c>
    </row>
    <row r="25" spans="1:6" ht="16" thickBot="1" x14ac:dyDescent="0.25">
      <c r="A25" s="100">
        <v>17</v>
      </c>
      <c r="B25" s="101">
        <v>4.9200000000000001E-2</v>
      </c>
      <c r="C25" s="101">
        <v>2.87E-2</v>
      </c>
      <c r="D25" s="100">
        <v>42</v>
      </c>
      <c r="E25" s="101">
        <v>3.39E-2</v>
      </c>
      <c r="F25" s="101">
        <v>1.6899999999999998E-2</v>
      </c>
    </row>
    <row r="26" spans="1:6" ht="16" thickBot="1" x14ac:dyDescent="0.25">
      <c r="A26" s="100">
        <v>18</v>
      </c>
      <c r="B26" s="101">
        <v>4.8099999999999997E-2</v>
      </c>
      <c r="C26" s="101">
        <v>2.8500000000000001E-2</v>
      </c>
      <c r="D26" s="100">
        <v>43</v>
      </c>
      <c r="E26" s="101">
        <v>3.5099999999999999E-2</v>
      </c>
      <c r="F26" s="101">
        <v>1.8100000000000002E-2</v>
      </c>
    </row>
    <row r="27" spans="1:6" ht="16" thickBot="1" x14ac:dyDescent="0.25">
      <c r="A27" s="100">
        <v>19</v>
      </c>
      <c r="B27" s="101">
        <v>4.6800000000000001E-2</v>
      </c>
      <c r="C27" s="101">
        <v>2.8000000000000001E-2</v>
      </c>
      <c r="D27" s="100">
        <v>44</v>
      </c>
      <c r="E27" s="101">
        <v>3.6400000000000002E-2</v>
      </c>
      <c r="F27" s="101">
        <v>1.9400000000000001E-2</v>
      </c>
    </row>
    <row r="28" spans="1:6" ht="16" thickBot="1" x14ac:dyDescent="0.25">
      <c r="A28" s="100">
        <v>20</v>
      </c>
      <c r="B28" s="101">
        <v>4.5199999999999997E-2</v>
      </c>
      <c r="C28" s="101">
        <v>2.7300000000000001E-2</v>
      </c>
      <c r="D28" s="100">
        <v>45</v>
      </c>
      <c r="E28" s="101">
        <v>3.7699999999999997E-2</v>
      </c>
      <c r="F28" s="101">
        <v>2.07E-2</v>
      </c>
    </row>
    <row r="29" spans="1:6" ht="16" thickBot="1" x14ac:dyDescent="0.25">
      <c r="A29" s="100">
        <v>21</v>
      </c>
      <c r="B29" s="101">
        <v>4.3400000000000001E-2</v>
      </c>
      <c r="C29" s="101">
        <v>2.64E-2</v>
      </c>
      <c r="D29" s="100">
        <v>46</v>
      </c>
      <c r="E29" s="101">
        <v>3.9100000000000003E-2</v>
      </c>
      <c r="F29" s="101">
        <v>2.2100000000000002E-2</v>
      </c>
    </row>
    <row r="30" spans="1:6" ht="16" thickBot="1" x14ac:dyDescent="0.25">
      <c r="A30" s="100">
        <v>22</v>
      </c>
      <c r="B30" s="101">
        <v>4.2200000000000001E-2</v>
      </c>
      <c r="C30" s="101">
        <v>2.52E-2</v>
      </c>
      <c r="D30" s="100">
        <v>47</v>
      </c>
      <c r="E30" s="101">
        <v>4.0500000000000001E-2</v>
      </c>
      <c r="F30" s="101">
        <v>2.35E-2</v>
      </c>
    </row>
    <row r="31" spans="1:6" ht="16" thickBot="1" x14ac:dyDescent="0.25">
      <c r="A31" s="100">
        <v>23</v>
      </c>
      <c r="B31" s="101">
        <v>4.0899999999999999E-2</v>
      </c>
      <c r="C31" s="101">
        <v>2.3900000000000001E-2</v>
      </c>
      <c r="D31" s="100">
        <v>48</v>
      </c>
      <c r="E31" s="101">
        <v>4.19E-2</v>
      </c>
      <c r="F31" s="101">
        <v>2.4899999999999999E-2</v>
      </c>
    </row>
    <row r="32" spans="1:6" ht="16" thickBot="1" x14ac:dyDescent="0.25">
      <c r="A32" s="100">
        <v>24</v>
      </c>
      <c r="B32" s="101">
        <v>3.9399999999999998E-2</v>
      </c>
      <c r="C32" s="101">
        <v>2.24E-2</v>
      </c>
      <c r="D32" s="100">
        <v>49</v>
      </c>
      <c r="E32" s="101">
        <v>4.3299999999999998E-2</v>
      </c>
      <c r="F32" s="101">
        <v>2.63E-2</v>
      </c>
    </row>
    <row r="33" spans="1:6" ht="16" thickBot="1" x14ac:dyDescent="0.25">
      <c r="A33" s="100">
        <v>25</v>
      </c>
      <c r="B33" s="101">
        <v>3.78E-2</v>
      </c>
      <c r="C33" s="101">
        <v>2.0799999999999999E-2</v>
      </c>
      <c r="D33" s="100">
        <v>50</v>
      </c>
      <c r="E33" s="101">
        <v>4.4699999999999997E-2</v>
      </c>
      <c r="F33" s="101">
        <v>2.7699999999999999E-2</v>
      </c>
    </row>
    <row r="34" spans="1:6" x14ac:dyDescent="0.2">
      <c r="A34" s="102"/>
      <c r="B34" s="102"/>
      <c r="C34" s="102"/>
      <c r="D34" s="102"/>
      <c r="E34" s="102"/>
      <c r="F34" s="102"/>
    </row>
    <row r="35" spans="1:6" x14ac:dyDescent="0.2">
      <c r="A35" s="103"/>
      <c r="B35" s="104"/>
      <c r="C35" s="95"/>
    </row>
    <row r="36" spans="1:6" x14ac:dyDescent="0.2">
      <c r="A36" s="103"/>
      <c r="B36" s="104"/>
      <c r="C36" s="95"/>
    </row>
    <row r="37" spans="1:6" x14ac:dyDescent="0.2">
      <c r="A37" s="103"/>
      <c r="B37" s="104"/>
      <c r="C37" s="95"/>
    </row>
    <row r="38" spans="1:6" x14ac:dyDescent="0.2">
      <c r="A38" s="103"/>
      <c r="B38" s="104"/>
      <c r="C38" s="95"/>
    </row>
    <row r="39" spans="1:6" x14ac:dyDescent="0.2">
      <c r="A39" s="103"/>
      <c r="B39" s="104"/>
      <c r="C39" s="95"/>
    </row>
    <row r="40" spans="1:6" x14ac:dyDescent="0.2">
      <c r="A40" s="103"/>
      <c r="B40" s="104"/>
      <c r="C40" s="95"/>
    </row>
    <row r="41" spans="1:6" x14ac:dyDescent="0.2">
      <c r="A41" s="103"/>
      <c r="B41" s="104"/>
      <c r="C41" s="95"/>
    </row>
    <row r="42" spans="1:6" x14ac:dyDescent="0.2">
      <c r="A42" s="103"/>
      <c r="B42" s="104"/>
      <c r="C42" s="95"/>
    </row>
    <row r="43" spans="1:6" x14ac:dyDescent="0.2">
      <c r="A43" s="103"/>
      <c r="B43" s="104"/>
      <c r="C43" s="95"/>
    </row>
    <row r="44" spans="1:6" x14ac:dyDescent="0.2">
      <c r="A44" s="103"/>
      <c r="B44" s="104"/>
      <c r="C44" s="95"/>
    </row>
    <row r="45" spans="1:6" x14ac:dyDescent="0.2">
      <c r="A45" s="103"/>
      <c r="B45" s="104"/>
      <c r="C45" s="95"/>
    </row>
    <row r="46" spans="1:6" x14ac:dyDescent="0.2">
      <c r="A46" s="103"/>
      <c r="B46" s="104"/>
      <c r="C46" s="95"/>
    </row>
    <row r="47" spans="1:6" x14ac:dyDescent="0.2">
      <c r="A47" s="103"/>
      <c r="B47" s="104"/>
      <c r="C47" s="95"/>
    </row>
    <row r="48" spans="1:6" x14ac:dyDescent="0.2">
      <c r="A48" s="103"/>
      <c r="B48" s="104"/>
      <c r="C48" s="95"/>
    </row>
    <row r="49" spans="1:3" x14ac:dyDescent="0.2">
      <c r="A49" s="103"/>
      <c r="B49" s="104"/>
      <c r="C49" s="95"/>
    </row>
    <row r="50" spans="1:3" x14ac:dyDescent="0.2">
      <c r="A50" s="103"/>
      <c r="B50" s="104"/>
      <c r="C50" s="95"/>
    </row>
    <row r="51" spans="1:3" x14ac:dyDescent="0.2">
      <c r="A51" s="103"/>
      <c r="B51" s="104"/>
      <c r="C51" s="95"/>
    </row>
    <row r="52" spans="1:3" x14ac:dyDescent="0.2">
      <c r="A52" s="103"/>
      <c r="B52" s="104"/>
      <c r="C52" s="95"/>
    </row>
    <row r="53" spans="1:3" x14ac:dyDescent="0.2">
      <c r="A53" s="103"/>
      <c r="B53" s="104"/>
      <c r="C53" s="95"/>
    </row>
    <row r="54" spans="1:3" x14ac:dyDescent="0.2">
      <c r="A54" s="103"/>
      <c r="B54" s="104"/>
      <c r="C54" s="95"/>
    </row>
    <row r="55" spans="1:3" x14ac:dyDescent="0.2">
      <c r="A55" s="103"/>
      <c r="B55" s="104"/>
      <c r="C55" s="95"/>
    </row>
    <row r="56" spans="1:3" x14ac:dyDescent="0.2">
      <c r="A56" s="103"/>
      <c r="B56" s="104"/>
      <c r="C56" s="95"/>
    </row>
    <row r="57" spans="1:3" x14ac:dyDescent="0.2">
      <c r="A57" s="105"/>
      <c r="B57" s="106"/>
      <c r="C57" s="95"/>
    </row>
    <row r="58" spans="1:3" x14ac:dyDescent="0.2">
      <c r="A58" s="105"/>
      <c r="B58" s="106"/>
      <c r="C58" s="95"/>
    </row>
    <row r="59" spans="1:3" x14ac:dyDescent="0.2">
      <c r="A59" s="105"/>
      <c r="B59" s="106"/>
      <c r="C59" s="95"/>
    </row>
    <row r="60" spans="1:3" x14ac:dyDescent="0.2">
      <c r="A60" s="105"/>
      <c r="B60" s="106"/>
      <c r="C60" s="95"/>
    </row>
    <row r="61" spans="1:3" x14ac:dyDescent="0.2">
      <c r="A61" s="105"/>
      <c r="B61" s="106"/>
      <c r="C61" s="95"/>
    </row>
    <row r="62" spans="1:3" x14ac:dyDescent="0.2">
      <c r="A62" s="105"/>
      <c r="B62" s="106"/>
      <c r="C62" s="95"/>
    </row>
    <row r="63" spans="1:3" x14ac:dyDescent="0.2">
      <c r="A63" s="105"/>
      <c r="B63" s="106"/>
      <c r="C63" s="95"/>
    </row>
    <row r="64" spans="1:3" x14ac:dyDescent="0.2">
      <c r="A64" s="105"/>
      <c r="B64" s="106"/>
      <c r="C64" s="95"/>
    </row>
    <row r="65" spans="1:3" x14ac:dyDescent="0.2">
      <c r="A65" s="105"/>
      <c r="B65" s="106"/>
      <c r="C65" s="95"/>
    </row>
    <row r="66" spans="1:3" x14ac:dyDescent="0.2">
      <c r="A66" s="105"/>
      <c r="B66" s="106"/>
      <c r="C66" s="95"/>
    </row>
    <row r="67" spans="1:3" x14ac:dyDescent="0.2">
      <c r="A67" s="105"/>
      <c r="B67" s="106"/>
      <c r="C67" s="95"/>
    </row>
    <row r="68" spans="1:3" x14ac:dyDescent="0.2">
      <c r="A68" s="105"/>
      <c r="B68" s="106"/>
      <c r="C68" s="95"/>
    </row>
    <row r="69" spans="1:3" x14ac:dyDescent="0.2">
      <c r="A69" s="105"/>
      <c r="B69" s="106"/>
      <c r="C69" s="95"/>
    </row>
    <row r="70" spans="1:3" x14ac:dyDescent="0.2">
      <c r="A70" s="105"/>
      <c r="B70" s="106"/>
      <c r="C70" s="95"/>
    </row>
    <row r="71" spans="1:3" x14ac:dyDescent="0.2">
      <c r="A71" s="105"/>
      <c r="B71" s="106"/>
      <c r="C71" s="95"/>
    </row>
    <row r="72" spans="1:3" x14ac:dyDescent="0.2">
      <c r="A72" s="105"/>
      <c r="B72" s="106"/>
      <c r="C72" s="95"/>
    </row>
    <row r="73" spans="1:3" x14ac:dyDescent="0.2">
      <c r="A73" s="105"/>
      <c r="B73" s="106"/>
      <c r="C73" s="95"/>
    </row>
    <row r="74" spans="1:3" x14ac:dyDescent="0.2">
      <c r="A74" s="105"/>
      <c r="B74" s="106"/>
      <c r="C74" s="95"/>
    </row>
    <row r="75" spans="1:3" x14ac:dyDescent="0.2">
      <c r="A75" s="105"/>
      <c r="B75" s="106"/>
      <c r="C75" s="95"/>
    </row>
    <row r="76" spans="1:3" x14ac:dyDescent="0.2">
      <c r="A76" s="105"/>
      <c r="B76" s="106"/>
      <c r="C76" s="95"/>
    </row>
    <row r="77" spans="1:3" x14ac:dyDescent="0.2">
      <c r="A77" s="105"/>
      <c r="B77" s="106"/>
      <c r="C77" s="95"/>
    </row>
    <row r="78" spans="1:3" x14ac:dyDescent="0.2">
      <c r="A78" s="105"/>
      <c r="B78" s="106"/>
      <c r="C78" s="95"/>
    </row>
    <row r="79" spans="1:3" x14ac:dyDescent="0.2">
      <c r="A79" s="105"/>
      <c r="B79" s="106"/>
      <c r="C79" s="95"/>
    </row>
    <row r="80" spans="1:3" x14ac:dyDescent="0.2">
      <c r="A80" s="105"/>
      <c r="B80" s="106"/>
      <c r="C80" s="95"/>
    </row>
    <row r="81" spans="1:3" x14ac:dyDescent="0.2">
      <c r="A81" s="105"/>
      <c r="B81" s="106"/>
      <c r="C81" s="95"/>
    </row>
    <row r="82" spans="1:3" x14ac:dyDescent="0.2">
      <c r="A82" s="105"/>
      <c r="B82" s="106"/>
      <c r="C82" s="95"/>
    </row>
    <row r="83" spans="1:3" x14ac:dyDescent="0.2">
      <c r="A83" s="105"/>
      <c r="B83" s="106"/>
      <c r="C83" s="95"/>
    </row>
    <row r="84" spans="1:3" x14ac:dyDescent="0.2">
      <c r="A84" s="105"/>
      <c r="B84" s="106"/>
      <c r="C84" s="95"/>
    </row>
    <row r="85" spans="1:3" x14ac:dyDescent="0.2">
      <c r="A85" s="105"/>
      <c r="B85" s="106"/>
      <c r="C85" s="95"/>
    </row>
    <row r="86" spans="1:3" x14ac:dyDescent="0.2">
      <c r="A86" s="105"/>
      <c r="B86" s="106"/>
      <c r="C86" s="95"/>
    </row>
    <row r="87" spans="1:3" x14ac:dyDescent="0.2">
      <c r="A87" s="105"/>
      <c r="B87" s="106"/>
      <c r="C87" s="95"/>
    </row>
    <row r="88" spans="1:3" x14ac:dyDescent="0.2">
      <c r="A88" s="105"/>
      <c r="B88" s="106"/>
      <c r="C88" s="95"/>
    </row>
    <row r="89" spans="1:3" x14ac:dyDescent="0.2">
      <c r="A89" s="105"/>
      <c r="B89" s="106"/>
      <c r="C89" s="95"/>
    </row>
    <row r="90" spans="1:3" x14ac:dyDescent="0.2">
      <c r="A90" s="105"/>
      <c r="B90" s="106"/>
      <c r="C90" s="95"/>
    </row>
    <row r="91" spans="1:3" x14ac:dyDescent="0.2">
      <c r="A91" s="105"/>
      <c r="B91" s="106"/>
      <c r="C91" s="95"/>
    </row>
    <row r="92" spans="1:3" x14ac:dyDescent="0.2">
      <c r="A92" s="105"/>
      <c r="B92" s="106"/>
      <c r="C92" s="95"/>
    </row>
    <row r="93" spans="1:3" x14ac:dyDescent="0.2">
      <c r="A93" s="105"/>
      <c r="B93" s="106"/>
      <c r="C93" s="95"/>
    </row>
    <row r="94" spans="1:3" x14ac:dyDescent="0.2">
      <c r="A94" s="105"/>
      <c r="B94" s="106"/>
      <c r="C94" s="95"/>
    </row>
    <row r="95" spans="1:3" x14ac:dyDescent="0.2">
      <c r="A95" s="105"/>
      <c r="B95" s="106"/>
      <c r="C95" s="95"/>
    </row>
    <row r="96" spans="1:3" x14ac:dyDescent="0.2">
      <c r="A96" s="105"/>
      <c r="B96" s="106"/>
      <c r="C96" s="95"/>
    </row>
    <row r="97" spans="1:3" x14ac:dyDescent="0.2">
      <c r="A97" s="105"/>
      <c r="B97" s="106"/>
      <c r="C97" s="95"/>
    </row>
    <row r="98" spans="1:3" x14ac:dyDescent="0.2">
      <c r="A98" s="105"/>
      <c r="B98" s="106"/>
      <c r="C98" s="95"/>
    </row>
    <row r="99" spans="1:3" x14ac:dyDescent="0.2">
      <c r="A99" s="105"/>
      <c r="B99" s="106"/>
      <c r="C99" s="95"/>
    </row>
    <row r="100" spans="1:3" x14ac:dyDescent="0.2">
      <c r="A100" s="105"/>
      <c r="B100" s="106"/>
      <c r="C100" s="95"/>
    </row>
    <row r="101" spans="1:3" x14ac:dyDescent="0.2">
      <c r="A101" s="105"/>
      <c r="B101" s="106"/>
      <c r="C101" s="95"/>
    </row>
    <row r="102" spans="1:3" x14ac:dyDescent="0.2">
      <c r="A102" s="105"/>
      <c r="B102" s="106"/>
      <c r="C102" s="95"/>
    </row>
    <row r="103" spans="1:3" x14ac:dyDescent="0.2">
      <c r="A103" s="105"/>
      <c r="B103" s="106"/>
      <c r="C103" s="95"/>
    </row>
    <row r="104" spans="1:3" x14ac:dyDescent="0.2">
      <c r="A104" s="105"/>
      <c r="B104" s="106"/>
      <c r="C104" s="95"/>
    </row>
    <row r="105" spans="1:3" x14ac:dyDescent="0.2">
      <c r="A105" s="105"/>
      <c r="B105" s="106"/>
      <c r="C105" s="95"/>
    </row>
    <row r="106" spans="1:3" x14ac:dyDescent="0.2">
      <c r="A106" s="105"/>
      <c r="B106" s="106"/>
      <c r="C106" s="95"/>
    </row>
    <row r="107" spans="1:3" x14ac:dyDescent="0.2">
      <c r="A107" s="105"/>
      <c r="B107" s="106"/>
      <c r="C107" s="95"/>
    </row>
    <row r="108" spans="1:3" x14ac:dyDescent="0.2">
      <c r="C108" s="95"/>
    </row>
    <row r="109" spans="1:3" x14ac:dyDescent="0.2">
      <c r="C109" s="95"/>
    </row>
    <row r="110" spans="1:3" x14ac:dyDescent="0.2">
      <c r="C110" s="95"/>
    </row>
  </sheetData>
  <mergeCells count="2">
    <mergeCell ref="A7:A8"/>
    <mergeCell ref="D7:D8"/>
  </mergeCells>
  <hyperlinks>
    <hyperlink ref="A3" r:id="rId1" xr:uid="{00000000-0004-0000-0300-000000000000}"/>
  </hyperlinks>
  <pageMargins left="0.7" right="0.7" top="0.75" bottom="1.3333333333333333" header="0.3" footer="0.3"/>
  <pageSetup paperSize="9" orientation="portrait" r:id="rId2"/>
  <headerFooter>
    <oddFooter>&amp;L&amp;K999999Restricted Business Sensitive (RBS)&amp;R&amp;G</oddFooter>
  </headerFooter>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2"/>
  <sheetViews>
    <sheetView workbookViewId="0">
      <selection activeCell="B7" sqref="B7"/>
    </sheetView>
  </sheetViews>
  <sheetFormatPr baseColWidth="10" defaultColWidth="9.1640625" defaultRowHeight="12.75" customHeight="1" x14ac:dyDescent="0.15"/>
  <cols>
    <col min="1" max="3" width="19" style="118" customWidth="1"/>
    <col min="4" max="4" width="19.6640625" style="118" bestFit="1" customWidth="1"/>
    <col min="5" max="5" width="10.33203125" style="118" bestFit="1" customWidth="1"/>
    <col min="6" max="16384" width="9.1640625" style="118"/>
  </cols>
  <sheetData>
    <row r="1" spans="1:7" ht="17.5" customHeight="1" x14ac:dyDescent="0.2">
      <c r="A1" s="143" t="s">
        <v>116</v>
      </c>
      <c r="B1" s="143"/>
      <c r="C1" s="143"/>
      <c r="D1" s="143"/>
      <c r="E1" s="143"/>
      <c r="F1" s="143"/>
      <c r="G1" s="143"/>
    </row>
    <row r="2" spans="1:7" ht="12.75" customHeight="1" x14ac:dyDescent="0.15">
      <c r="A2" s="118" t="s">
        <v>117</v>
      </c>
    </row>
    <row r="4" spans="1:7" ht="12.75" customHeight="1" x14ac:dyDescent="0.15">
      <c r="A4" s="118" t="s">
        <v>118</v>
      </c>
    </row>
    <row r="6" spans="1:7" ht="12.75" customHeight="1" x14ac:dyDescent="0.15">
      <c r="A6" s="119" t="s">
        <v>119</v>
      </c>
      <c r="B6" s="119" t="s">
        <v>120</v>
      </c>
    </row>
    <row r="7" spans="1:7" ht="12.75" customHeight="1" x14ac:dyDescent="0.2">
      <c r="A7" s="120">
        <v>1</v>
      </c>
      <c r="B7" s="121">
        <v>4.6999999999999999E-4</v>
      </c>
      <c r="C7" s="122"/>
      <c r="D7" s="122"/>
      <c r="E7" s="123"/>
    </row>
    <row r="8" spans="1:7" ht="12.75" customHeight="1" x14ac:dyDescent="0.2">
      <c r="A8" s="120">
        <v>2</v>
      </c>
      <c r="B8" s="121">
        <v>1.2700000000000001E-3</v>
      </c>
      <c r="C8" s="122"/>
      <c r="D8" s="122"/>
      <c r="E8" s="123"/>
    </row>
    <row r="9" spans="1:7" ht="12.75" customHeight="1" x14ac:dyDescent="0.2">
      <c r="A9" s="120">
        <v>3</v>
      </c>
      <c r="B9" s="121">
        <v>3.49E-3</v>
      </c>
      <c r="C9" s="122"/>
      <c r="D9" s="122"/>
      <c r="E9" s="123"/>
    </row>
    <row r="10" spans="1:7" ht="12.75" customHeight="1" x14ac:dyDescent="0.2">
      <c r="A10" s="120">
        <v>4</v>
      </c>
      <c r="B10" s="121">
        <v>6.7000000000000002E-3</v>
      </c>
      <c r="C10" s="122"/>
      <c r="D10" s="122"/>
      <c r="E10" s="123"/>
    </row>
    <row r="11" spans="1:7" ht="12.75" customHeight="1" x14ac:dyDescent="0.2">
      <c r="A11" s="120">
        <v>5</v>
      </c>
      <c r="B11" s="121">
        <v>1.017E-2</v>
      </c>
      <c r="C11" s="122"/>
      <c r="D11" s="122"/>
      <c r="E11" s="123"/>
    </row>
    <row r="12" spans="1:7" ht="12.75" customHeight="1" x14ac:dyDescent="0.2">
      <c r="A12" s="120">
        <v>6</v>
      </c>
      <c r="B12" s="121">
        <v>1.3520000000000001E-2</v>
      </c>
      <c r="C12" s="122"/>
      <c r="D12" s="122"/>
      <c r="E12" s="123"/>
    </row>
    <row r="13" spans="1:7" ht="12.75" customHeight="1" x14ac:dyDescent="0.2">
      <c r="A13" s="120">
        <v>7</v>
      </c>
      <c r="B13" s="121">
        <v>1.651E-2</v>
      </c>
      <c r="C13" s="122"/>
      <c r="D13" s="122"/>
      <c r="E13" s="123"/>
    </row>
    <row r="14" spans="1:7" ht="12.75" customHeight="1" x14ac:dyDescent="0.2">
      <c r="A14" s="120">
        <v>8</v>
      </c>
      <c r="B14" s="121">
        <v>1.9060000000000001E-2</v>
      </c>
      <c r="C14" s="122"/>
      <c r="D14" s="122"/>
      <c r="E14" s="123"/>
    </row>
    <row r="15" spans="1:7" ht="12.75" customHeight="1" x14ac:dyDescent="0.2">
      <c r="A15" s="120">
        <v>9</v>
      </c>
      <c r="B15" s="121">
        <v>2.1129999999999999E-2</v>
      </c>
      <c r="C15" s="122"/>
      <c r="D15" s="122"/>
      <c r="E15" s="123"/>
    </row>
    <row r="16" spans="1:7" ht="12.75" customHeight="1" x14ac:dyDescent="0.2">
      <c r="A16" s="120">
        <v>10</v>
      </c>
      <c r="B16" s="121">
        <v>2.274E-2</v>
      </c>
      <c r="C16" s="122"/>
      <c r="D16" s="122"/>
      <c r="E16" s="123"/>
    </row>
    <row r="17" spans="1:5" ht="12.75" customHeight="1" x14ac:dyDescent="0.2">
      <c r="A17" s="120">
        <v>11</v>
      </c>
      <c r="B17" s="121">
        <v>2.3970000000000002E-2</v>
      </c>
      <c r="C17" s="122"/>
      <c r="D17" s="122"/>
      <c r="E17" s="123"/>
    </row>
    <row r="18" spans="1:5" ht="12.75" customHeight="1" x14ac:dyDescent="0.2">
      <c r="A18" s="120">
        <v>12</v>
      </c>
      <c r="B18" s="121">
        <v>2.4910000000000002E-2</v>
      </c>
      <c r="C18" s="122"/>
      <c r="D18" s="122"/>
      <c r="E18" s="123"/>
    </row>
    <row r="19" spans="1:5" ht="12.75" customHeight="1" x14ac:dyDescent="0.2">
      <c r="A19" s="120">
        <v>13</v>
      </c>
      <c r="B19" s="121">
        <v>2.5579999999999999E-2</v>
      </c>
      <c r="C19" s="122"/>
      <c r="D19" s="122"/>
      <c r="E19" s="123"/>
    </row>
    <row r="20" spans="1:5" ht="12.75" customHeight="1" x14ac:dyDescent="0.2">
      <c r="A20" s="120">
        <v>14</v>
      </c>
      <c r="B20" s="121">
        <v>2.5999999999999999E-2</v>
      </c>
      <c r="C20" s="122"/>
      <c r="D20" s="122"/>
      <c r="E20" s="123"/>
    </row>
    <row r="21" spans="1:5" ht="12.75" customHeight="1" x14ac:dyDescent="0.2">
      <c r="A21" s="120">
        <v>15</v>
      </c>
      <c r="B21" s="121">
        <v>2.6210000000000001E-2</v>
      </c>
      <c r="C21" s="122"/>
      <c r="D21" s="122"/>
      <c r="E21" s="123"/>
    </row>
    <row r="22" spans="1:5" ht="12.75" customHeight="1" x14ac:dyDescent="0.2">
      <c r="A22" s="120">
        <v>16</v>
      </c>
      <c r="B22" s="121">
        <v>2.622E-2</v>
      </c>
      <c r="C22" s="122"/>
      <c r="D22" s="122"/>
      <c r="E22" s="123"/>
    </row>
    <row r="23" spans="1:5" ht="12.75" customHeight="1" x14ac:dyDescent="0.2">
      <c r="A23" s="120">
        <v>17</v>
      </c>
      <c r="B23" s="121">
        <v>2.6030000000000001E-2</v>
      </c>
      <c r="C23" s="122"/>
      <c r="D23" s="122"/>
      <c r="E23" s="123"/>
    </row>
    <row r="24" spans="1:5" ht="12.75" customHeight="1" x14ac:dyDescent="0.2">
      <c r="A24" s="120">
        <v>18</v>
      </c>
      <c r="B24" s="121">
        <v>2.5649999999999999E-2</v>
      </c>
      <c r="C24" s="122"/>
      <c r="D24" s="122"/>
      <c r="E24" s="123"/>
    </row>
    <row r="25" spans="1:5" ht="12.75" customHeight="1" x14ac:dyDescent="0.2">
      <c r="A25" s="120">
        <v>19</v>
      </c>
      <c r="B25" s="121">
        <v>2.5100000000000001E-2</v>
      </c>
      <c r="C25" s="122"/>
      <c r="D25" s="122"/>
      <c r="E25" s="123"/>
    </row>
    <row r="26" spans="1:5" ht="12.75" customHeight="1" x14ac:dyDescent="0.2">
      <c r="A26" s="120">
        <v>20</v>
      </c>
      <c r="B26" s="121">
        <v>2.436E-2</v>
      </c>
      <c r="C26" s="122"/>
      <c r="D26" s="122"/>
      <c r="E26" s="123"/>
    </row>
    <row r="27" spans="1:5" ht="12.75" customHeight="1" x14ac:dyDescent="0.2">
      <c r="A27" s="120">
        <v>21</v>
      </c>
      <c r="B27" s="121">
        <v>2.3460000000000002E-2</v>
      </c>
      <c r="C27" s="122"/>
      <c r="D27" s="122"/>
      <c r="E27" s="123"/>
    </row>
    <row r="28" spans="1:5" ht="12.75" customHeight="1" x14ac:dyDescent="0.2">
      <c r="A28" s="120">
        <v>22</v>
      </c>
      <c r="B28" s="121">
        <v>2.24E-2</v>
      </c>
      <c r="C28" s="122"/>
      <c r="D28" s="122"/>
      <c r="E28" s="123"/>
    </row>
    <row r="29" spans="1:5" ht="12.75" customHeight="1" x14ac:dyDescent="0.2">
      <c r="A29" s="120">
        <v>23</v>
      </c>
      <c r="B29" s="121">
        <v>2.1190000000000001E-2</v>
      </c>
      <c r="C29" s="122"/>
      <c r="D29" s="122"/>
      <c r="E29" s="123"/>
    </row>
    <row r="30" spans="1:5" ht="12.75" customHeight="1" x14ac:dyDescent="0.2">
      <c r="A30" s="120">
        <v>24</v>
      </c>
      <c r="B30" s="121">
        <v>1.985E-2</v>
      </c>
      <c r="C30" s="122"/>
      <c r="D30" s="122"/>
      <c r="E30" s="123"/>
    </row>
    <row r="31" spans="1:5" ht="12.75" customHeight="1" x14ac:dyDescent="0.2">
      <c r="A31" s="120">
        <v>25</v>
      </c>
      <c r="B31" s="121">
        <v>1.84E-2</v>
      </c>
      <c r="C31" s="122"/>
      <c r="D31" s="122"/>
      <c r="E31" s="123"/>
    </row>
    <row r="32" spans="1:5" ht="12.75" customHeight="1" x14ac:dyDescent="0.2">
      <c r="A32" s="120">
        <v>26</v>
      </c>
      <c r="B32" s="121">
        <v>1.6910000000000001E-2</v>
      </c>
      <c r="C32" s="122"/>
      <c r="D32" s="122"/>
      <c r="E32" s="123"/>
    </row>
    <row r="33" spans="1:5" ht="12.75" customHeight="1" x14ac:dyDescent="0.2">
      <c r="A33" s="120">
        <v>27</v>
      </c>
      <c r="B33" s="121">
        <v>1.5389999999999999E-2</v>
      </c>
      <c r="C33" s="122"/>
      <c r="D33" s="122"/>
      <c r="E33" s="123"/>
    </row>
    <row r="34" spans="1:5" ht="12.75" customHeight="1" x14ac:dyDescent="0.2">
      <c r="A34" s="120">
        <v>28</v>
      </c>
      <c r="B34" s="121">
        <v>1.3899999999999999E-2</v>
      </c>
      <c r="C34" s="122"/>
      <c r="D34" s="122"/>
      <c r="E34" s="123"/>
    </row>
    <row r="35" spans="1:5" ht="12.75" customHeight="1" x14ac:dyDescent="0.2">
      <c r="A35" s="120">
        <v>29</v>
      </c>
      <c r="B35" s="121">
        <v>1.2489999999999999E-2</v>
      </c>
      <c r="C35" s="122"/>
      <c r="D35" s="122"/>
      <c r="E35" s="123"/>
    </row>
    <row r="36" spans="1:5" ht="12.75" customHeight="1" x14ac:dyDescent="0.2">
      <c r="A36" s="120">
        <v>30</v>
      </c>
      <c r="B36" s="121">
        <v>1.1209999999999999E-2</v>
      </c>
      <c r="C36" s="122"/>
      <c r="D36" s="122"/>
      <c r="E36" s="123"/>
    </row>
    <row r="37" spans="1:5" ht="12.75" customHeight="1" x14ac:dyDescent="0.2">
      <c r="A37" s="120">
        <v>31</v>
      </c>
      <c r="B37" s="121">
        <v>1.0109999999999999E-2</v>
      </c>
      <c r="C37" s="122"/>
      <c r="D37" s="122"/>
      <c r="E37" s="123"/>
    </row>
    <row r="38" spans="1:5" ht="12.75" customHeight="1" x14ac:dyDescent="0.2">
      <c r="A38" s="120">
        <v>32</v>
      </c>
      <c r="B38" s="121">
        <v>9.2300000000000004E-3</v>
      </c>
      <c r="C38" s="122"/>
      <c r="D38" s="122"/>
      <c r="E38" s="123"/>
    </row>
    <row r="39" spans="1:5" ht="12.75" customHeight="1" x14ac:dyDescent="0.2">
      <c r="A39" s="120">
        <v>33</v>
      </c>
      <c r="B39" s="121">
        <v>8.5699999999999995E-3</v>
      </c>
      <c r="C39" s="122"/>
      <c r="D39" s="122"/>
      <c r="E39" s="123"/>
    </row>
    <row r="40" spans="1:5" ht="12.75" customHeight="1" x14ac:dyDescent="0.2">
      <c r="A40" s="120">
        <v>34</v>
      </c>
      <c r="B40" s="121">
        <v>8.0999999999999996E-3</v>
      </c>
      <c r="C40" s="122"/>
      <c r="D40" s="122"/>
      <c r="E40" s="123"/>
    </row>
    <row r="41" spans="1:5" ht="12.75" customHeight="1" x14ac:dyDescent="0.2">
      <c r="A41" s="120">
        <v>35</v>
      </c>
      <c r="B41" s="121">
        <v>7.8300000000000002E-3</v>
      </c>
      <c r="C41" s="122"/>
      <c r="D41" s="122"/>
      <c r="E41" s="123"/>
    </row>
    <row r="42" spans="1:5" ht="12.75" customHeight="1" x14ac:dyDescent="0.2">
      <c r="A42" s="120">
        <v>36</v>
      </c>
      <c r="B42" s="121">
        <v>7.7400000000000004E-3</v>
      </c>
      <c r="C42" s="122"/>
      <c r="D42" s="122"/>
      <c r="E42" s="123"/>
    </row>
    <row r="43" spans="1:5" ht="12.75" customHeight="1" x14ac:dyDescent="0.2">
      <c r="A43" s="120">
        <v>37</v>
      </c>
      <c r="B43" s="121">
        <v>7.8200000000000006E-3</v>
      </c>
      <c r="C43" s="122"/>
      <c r="D43" s="122"/>
      <c r="E43" s="123"/>
    </row>
    <row r="44" spans="1:5" ht="12.75" customHeight="1" x14ac:dyDescent="0.2">
      <c r="A44" s="120">
        <v>38</v>
      </c>
      <c r="B44" s="121">
        <v>8.0499999999999999E-3</v>
      </c>
      <c r="C44" s="122"/>
      <c r="D44" s="122"/>
      <c r="E44" s="123"/>
    </row>
    <row r="45" spans="1:5" ht="12.75" customHeight="1" x14ac:dyDescent="0.2">
      <c r="A45" s="120">
        <v>39</v>
      </c>
      <c r="B45" s="121">
        <v>8.43E-3</v>
      </c>
      <c r="C45" s="122"/>
      <c r="D45" s="122"/>
      <c r="E45" s="123"/>
    </row>
    <row r="46" spans="1:5" ht="12.75" customHeight="1" x14ac:dyDescent="0.2">
      <c r="A46" s="120">
        <v>40</v>
      </c>
      <c r="B46" s="121">
        <v>8.94E-3</v>
      </c>
      <c r="C46" s="122"/>
      <c r="D46" s="122"/>
      <c r="E46" s="123"/>
    </row>
    <row r="47" spans="1:5" ht="12.75" customHeight="1" x14ac:dyDescent="0.2">
      <c r="A47" s="120">
        <v>41</v>
      </c>
      <c r="B47" s="121">
        <v>9.5700000000000004E-3</v>
      </c>
      <c r="C47" s="122"/>
      <c r="D47" s="122"/>
      <c r="E47" s="123"/>
    </row>
    <row r="48" spans="1:5" ht="12.75" customHeight="1" x14ac:dyDescent="0.2">
      <c r="A48" s="120">
        <v>42</v>
      </c>
      <c r="B48" s="121">
        <v>1.031E-2</v>
      </c>
      <c r="C48" s="122"/>
      <c r="D48" s="122"/>
      <c r="E48" s="123"/>
    </row>
    <row r="49" spans="1:5" ht="12.75" customHeight="1" x14ac:dyDescent="0.2">
      <c r="A49" s="120">
        <v>43</v>
      </c>
      <c r="B49" s="121">
        <v>1.1140000000000001E-2</v>
      </c>
      <c r="C49" s="122"/>
      <c r="D49" s="122"/>
      <c r="E49" s="123"/>
    </row>
    <row r="50" spans="1:5" ht="12.75" customHeight="1" x14ac:dyDescent="0.2">
      <c r="A50" s="120">
        <v>44</v>
      </c>
      <c r="B50" s="121">
        <v>1.204E-2</v>
      </c>
      <c r="C50" s="122"/>
      <c r="D50" s="122"/>
      <c r="E50" s="123"/>
    </row>
    <row r="51" spans="1:5" ht="12.75" customHeight="1" x14ac:dyDescent="0.2">
      <c r="A51" s="120">
        <v>45</v>
      </c>
      <c r="B51" s="121">
        <v>1.2999999999999999E-2</v>
      </c>
      <c r="C51" s="122"/>
      <c r="D51" s="122"/>
      <c r="E51" s="123"/>
    </row>
    <row r="52" spans="1:5" ht="12.75" customHeight="1" x14ac:dyDescent="0.2">
      <c r="A52" s="120">
        <v>46</v>
      </c>
      <c r="B52" s="121">
        <v>1.3990000000000001E-2</v>
      </c>
      <c r="C52" s="122"/>
      <c r="D52" s="122"/>
      <c r="E52" s="123"/>
    </row>
    <row r="53" spans="1:5" ht="12.75" customHeight="1" x14ac:dyDescent="0.2">
      <c r="A53" s="120">
        <v>47</v>
      </c>
      <c r="B53" s="121">
        <v>1.502E-2</v>
      </c>
      <c r="C53" s="122"/>
      <c r="D53" s="122"/>
      <c r="E53" s="123"/>
    </row>
    <row r="54" spans="1:5" ht="12.75" customHeight="1" x14ac:dyDescent="0.2">
      <c r="A54" s="120">
        <v>48</v>
      </c>
      <c r="B54" s="121">
        <v>1.6060000000000001E-2</v>
      </c>
      <c r="C54" s="122"/>
      <c r="D54" s="122"/>
      <c r="E54" s="123"/>
    </row>
    <row r="55" spans="1:5" ht="12.75" customHeight="1" x14ac:dyDescent="0.2">
      <c r="A55" s="120">
        <v>49</v>
      </c>
      <c r="B55" s="121">
        <v>1.7090000000000001E-2</v>
      </c>
      <c r="C55" s="122"/>
      <c r="D55" s="122"/>
      <c r="E55" s="123"/>
    </row>
    <row r="56" spans="1:5" ht="12.75" customHeight="1" x14ac:dyDescent="0.2">
      <c r="A56" s="120">
        <v>50</v>
      </c>
      <c r="B56" s="121">
        <v>1.8100000000000002E-2</v>
      </c>
      <c r="C56" s="122"/>
      <c r="D56" s="122"/>
      <c r="E56" s="123"/>
    </row>
    <row r="57" spans="1:5" ht="12.75" customHeight="1" x14ac:dyDescent="0.15">
      <c r="C57" s="122"/>
      <c r="D57" s="122"/>
      <c r="E57" s="123"/>
    </row>
    <row r="58" spans="1:5" ht="12.75" customHeight="1" x14ac:dyDescent="0.15">
      <c r="C58" s="122"/>
      <c r="D58" s="122"/>
      <c r="E58" s="123"/>
    </row>
    <row r="59" spans="1:5" ht="12.75" customHeight="1" x14ac:dyDescent="0.15">
      <c r="C59" s="122"/>
      <c r="D59" s="122"/>
      <c r="E59" s="123"/>
    </row>
    <row r="60" spans="1:5" ht="12.75" customHeight="1" x14ac:dyDescent="0.15">
      <c r="C60" s="122"/>
      <c r="D60" s="122"/>
      <c r="E60" s="123"/>
    </row>
    <row r="61" spans="1:5" ht="12.75" customHeight="1" x14ac:dyDescent="0.15">
      <c r="C61" s="122"/>
      <c r="D61" s="122"/>
      <c r="E61" s="123"/>
    </row>
    <row r="62" spans="1:5" ht="12.75" customHeight="1" x14ac:dyDescent="0.15">
      <c r="C62" s="122"/>
      <c r="D62" s="122"/>
      <c r="E62" s="123"/>
    </row>
    <row r="63" spans="1:5" ht="12.75" customHeight="1" x14ac:dyDescent="0.15">
      <c r="C63" s="122"/>
      <c r="D63" s="122"/>
      <c r="E63" s="123"/>
    </row>
    <row r="64" spans="1:5" ht="12.75" customHeight="1" x14ac:dyDescent="0.15">
      <c r="C64" s="122"/>
      <c r="D64" s="122"/>
      <c r="E64" s="123"/>
    </row>
    <row r="65" spans="3:5" ht="12.75" customHeight="1" x14ac:dyDescent="0.15">
      <c r="C65" s="122"/>
      <c r="D65" s="122"/>
      <c r="E65" s="123"/>
    </row>
    <row r="66" spans="3:5" ht="12.75" customHeight="1" x14ac:dyDescent="0.15">
      <c r="C66" s="122"/>
      <c r="D66" s="122"/>
      <c r="E66" s="123"/>
    </row>
    <row r="67" spans="3:5" ht="12.75" customHeight="1" x14ac:dyDescent="0.15">
      <c r="C67" s="122"/>
      <c r="D67" s="122"/>
      <c r="E67" s="123"/>
    </row>
    <row r="68" spans="3:5" ht="12.75" customHeight="1" x14ac:dyDescent="0.15">
      <c r="C68" s="122"/>
      <c r="D68" s="122"/>
      <c r="E68" s="123"/>
    </row>
    <row r="69" spans="3:5" ht="12.75" customHeight="1" x14ac:dyDescent="0.15">
      <c r="C69" s="122"/>
      <c r="D69" s="122"/>
      <c r="E69" s="123"/>
    </row>
    <row r="70" spans="3:5" ht="12.75" customHeight="1" x14ac:dyDescent="0.15">
      <c r="C70" s="122"/>
      <c r="D70" s="122"/>
      <c r="E70" s="123"/>
    </row>
    <row r="71" spans="3:5" ht="12.75" customHeight="1" x14ac:dyDescent="0.15">
      <c r="C71" s="122"/>
      <c r="D71" s="122"/>
      <c r="E71" s="123"/>
    </row>
    <row r="72" spans="3:5" ht="12.75" customHeight="1" x14ac:dyDescent="0.15">
      <c r="C72" s="122"/>
      <c r="D72" s="122"/>
      <c r="E72" s="123"/>
    </row>
    <row r="73" spans="3:5" ht="12.75" customHeight="1" x14ac:dyDescent="0.15">
      <c r="C73" s="122"/>
      <c r="D73" s="122"/>
      <c r="E73" s="123"/>
    </row>
    <row r="74" spans="3:5" ht="12.75" customHeight="1" x14ac:dyDescent="0.15">
      <c r="C74" s="122"/>
      <c r="D74" s="122"/>
      <c r="E74" s="123"/>
    </row>
    <row r="75" spans="3:5" ht="12.75" customHeight="1" x14ac:dyDescent="0.15">
      <c r="C75" s="122"/>
      <c r="D75" s="122"/>
      <c r="E75" s="123"/>
    </row>
    <row r="76" spans="3:5" ht="12.75" customHeight="1" x14ac:dyDescent="0.15">
      <c r="C76" s="122"/>
      <c r="D76" s="122"/>
      <c r="E76" s="123"/>
    </row>
    <row r="77" spans="3:5" ht="12.75" customHeight="1" x14ac:dyDescent="0.15">
      <c r="C77" s="122"/>
      <c r="D77" s="122"/>
      <c r="E77" s="123"/>
    </row>
    <row r="78" spans="3:5" ht="12.75" customHeight="1" x14ac:dyDescent="0.15">
      <c r="C78" s="122"/>
      <c r="D78" s="122"/>
      <c r="E78" s="123"/>
    </row>
    <row r="79" spans="3:5" ht="12.75" customHeight="1" x14ac:dyDescent="0.15">
      <c r="C79" s="122"/>
      <c r="D79" s="122"/>
      <c r="E79" s="123"/>
    </row>
    <row r="80" spans="3:5" ht="12.75" customHeight="1" x14ac:dyDescent="0.15">
      <c r="C80" s="122"/>
      <c r="D80" s="122"/>
      <c r="E80" s="123"/>
    </row>
    <row r="81" spans="3:5" ht="12.75" customHeight="1" x14ac:dyDescent="0.15">
      <c r="C81" s="122"/>
      <c r="D81" s="122"/>
      <c r="E81" s="123"/>
    </row>
    <row r="82" spans="3:5" ht="12.75" customHeight="1" x14ac:dyDescent="0.15">
      <c r="C82" s="122"/>
      <c r="D82" s="122"/>
      <c r="E82" s="123"/>
    </row>
    <row r="83" spans="3:5" ht="12.75" customHeight="1" x14ac:dyDescent="0.15">
      <c r="C83" s="122"/>
      <c r="D83" s="122"/>
      <c r="E83" s="123"/>
    </row>
    <row r="84" spans="3:5" ht="12.75" customHeight="1" x14ac:dyDescent="0.15">
      <c r="C84" s="122"/>
      <c r="D84" s="122"/>
      <c r="E84" s="123"/>
    </row>
    <row r="85" spans="3:5" ht="12.75" customHeight="1" x14ac:dyDescent="0.15">
      <c r="C85" s="122"/>
      <c r="D85" s="122"/>
      <c r="E85" s="123"/>
    </row>
    <row r="86" spans="3:5" ht="12.75" customHeight="1" x14ac:dyDescent="0.15">
      <c r="C86" s="122"/>
      <c r="D86" s="122"/>
      <c r="E86" s="123"/>
    </row>
    <row r="87" spans="3:5" ht="12.75" customHeight="1" x14ac:dyDescent="0.15">
      <c r="C87" s="122"/>
      <c r="D87" s="122"/>
      <c r="E87" s="123"/>
    </row>
    <row r="88" spans="3:5" ht="12.75" customHeight="1" x14ac:dyDescent="0.15">
      <c r="C88" s="122"/>
      <c r="D88" s="122"/>
      <c r="E88" s="123"/>
    </row>
    <row r="89" spans="3:5" ht="12.75" customHeight="1" x14ac:dyDescent="0.15">
      <c r="C89" s="122"/>
      <c r="D89" s="122"/>
      <c r="E89" s="123"/>
    </row>
    <row r="90" spans="3:5" ht="12.75" customHeight="1" x14ac:dyDescent="0.15">
      <c r="C90" s="122"/>
      <c r="D90" s="122"/>
      <c r="E90" s="123"/>
    </row>
    <row r="91" spans="3:5" ht="12.75" customHeight="1" x14ac:dyDescent="0.15">
      <c r="C91" s="122"/>
      <c r="D91" s="122"/>
      <c r="E91" s="123"/>
    </row>
    <row r="92" spans="3:5" ht="12.75" customHeight="1" x14ac:dyDescent="0.15">
      <c r="C92" s="122"/>
      <c r="D92" s="122"/>
      <c r="E92" s="123"/>
    </row>
    <row r="93" spans="3:5" ht="12.75" customHeight="1" x14ac:dyDescent="0.15">
      <c r="C93" s="122"/>
      <c r="D93" s="122"/>
      <c r="E93" s="123"/>
    </row>
    <row r="94" spans="3:5" ht="12.75" customHeight="1" x14ac:dyDescent="0.15">
      <c r="C94" s="122"/>
      <c r="D94" s="122"/>
      <c r="E94" s="123"/>
    </row>
    <row r="95" spans="3:5" ht="12.75" customHeight="1" x14ac:dyDescent="0.15">
      <c r="C95" s="122"/>
      <c r="D95" s="122"/>
      <c r="E95" s="123"/>
    </row>
    <row r="96" spans="3:5" ht="12.75" customHeight="1" x14ac:dyDescent="0.15">
      <c r="C96" s="122"/>
      <c r="D96" s="122"/>
      <c r="E96" s="123"/>
    </row>
    <row r="97" spans="3:5" ht="12.75" customHeight="1" x14ac:dyDescent="0.15">
      <c r="C97" s="122"/>
      <c r="D97" s="122"/>
      <c r="E97" s="123"/>
    </row>
    <row r="98" spans="3:5" ht="12.75" customHeight="1" x14ac:dyDescent="0.15">
      <c r="C98" s="122"/>
      <c r="D98" s="122"/>
      <c r="E98" s="123"/>
    </row>
    <row r="99" spans="3:5" ht="12.75" customHeight="1" x14ac:dyDescent="0.15">
      <c r="C99" s="122"/>
      <c r="D99" s="122"/>
      <c r="E99" s="123"/>
    </row>
    <row r="100" spans="3:5" ht="12.75" customHeight="1" x14ac:dyDescent="0.15">
      <c r="C100" s="122"/>
      <c r="D100" s="122"/>
      <c r="E100" s="123"/>
    </row>
    <row r="101" spans="3:5" ht="12.75" customHeight="1" x14ac:dyDescent="0.15">
      <c r="C101" s="122"/>
      <c r="D101" s="122"/>
      <c r="E101" s="123"/>
    </row>
    <row r="102" spans="3:5" ht="12.75" customHeight="1" x14ac:dyDescent="0.15">
      <c r="C102" s="122"/>
      <c r="D102" s="122"/>
      <c r="E102" s="123"/>
    </row>
    <row r="103" spans="3:5" ht="12.75" customHeight="1" x14ac:dyDescent="0.15">
      <c r="C103" s="122"/>
      <c r="D103" s="122"/>
      <c r="E103" s="123"/>
    </row>
    <row r="104" spans="3:5" ht="12.75" customHeight="1" x14ac:dyDescent="0.15">
      <c r="C104" s="122"/>
      <c r="D104" s="122"/>
      <c r="E104" s="123"/>
    </row>
    <row r="105" spans="3:5" ht="12.75" customHeight="1" x14ac:dyDescent="0.15">
      <c r="C105" s="122"/>
      <c r="D105" s="122"/>
      <c r="E105" s="123"/>
    </row>
    <row r="106" spans="3:5" ht="12.75" customHeight="1" x14ac:dyDescent="0.15">
      <c r="C106" s="122"/>
      <c r="D106" s="122"/>
      <c r="E106" s="123"/>
    </row>
    <row r="107" spans="3:5" ht="12.75" customHeight="1" x14ac:dyDescent="0.15">
      <c r="C107" s="122"/>
      <c r="D107" s="122"/>
      <c r="E107" s="123"/>
    </row>
    <row r="108" spans="3:5" ht="12.75" customHeight="1" x14ac:dyDescent="0.15">
      <c r="C108" s="122"/>
      <c r="D108" s="122"/>
      <c r="E108" s="123"/>
    </row>
    <row r="109" spans="3:5" ht="12.75" customHeight="1" x14ac:dyDescent="0.15">
      <c r="C109" s="122"/>
      <c r="D109" s="122"/>
      <c r="E109" s="123"/>
    </row>
    <row r="110" spans="3:5" ht="12.75" customHeight="1" x14ac:dyDescent="0.15">
      <c r="C110" s="122"/>
      <c r="D110" s="122"/>
      <c r="E110" s="123"/>
    </row>
    <row r="111" spans="3:5" ht="12.75" customHeight="1" x14ac:dyDescent="0.15">
      <c r="C111" s="122"/>
      <c r="D111" s="122"/>
      <c r="E111" s="123"/>
    </row>
    <row r="112" spans="3:5" ht="12.75" customHeight="1" x14ac:dyDescent="0.15">
      <c r="C112" s="122"/>
      <c r="D112" s="122"/>
      <c r="E112" s="123"/>
    </row>
  </sheetData>
  <mergeCells count="1">
    <mergeCell ref="A1:G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Valuation analysis</vt:lpstr>
      <vt:lpstr>Cash flows as at 31032017</vt:lpstr>
      <vt:lpstr>CPI inflation and discount rate</vt:lpstr>
      <vt:lpstr>Gilt yields</vt:lpstr>
    </vt:vector>
  </TitlesOfParts>
  <Company>SoMaS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Microsoft Office User</cp:lastModifiedBy>
  <cp:lastPrinted>2018-02-12T08:13:49Z</cp:lastPrinted>
  <dcterms:created xsi:type="dcterms:W3CDTF">2017-09-04T06:15:34Z</dcterms:created>
  <dcterms:modified xsi:type="dcterms:W3CDTF">2021-12-20T08:38:44Z</dcterms:modified>
</cp:coreProperties>
</file>