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1"/>
  <workbookPr defaultThemeVersion="166925"/>
  <xr:revisionPtr revIDLastSave="0" documentId="8_{49D8435A-53EB-4D8E-8BAD-09FAD3031FA5}" xr6:coauthVersionLast="47" xr6:coauthVersionMax="47" xr10:uidLastSave="{00000000-0000-0000-0000-000000000000}"/>
  <bookViews>
    <workbookView xWindow="240" yWindow="105" windowWidth="14805" windowHeight="8010" firstSheet="2" activeTab="2" xr2:uid="{00000000-000D-0000-FFFF-FFFF00000000}"/>
  </bookViews>
  <sheets>
    <sheet name="master" sheetId="1" r:id="rId1"/>
    <sheet name="Trimmings price sensitivity" sheetId="3" r:id="rId2"/>
    <sheet name="For expor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9" i="3" l="1"/>
  <c r="R48" i="3"/>
  <c r="R49" i="3"/>
  <c r="R50" i="3"/>
  <c r="R51" i="3"/>
  <c r="R52" i="3"/>
  <c r="R53" i="3"/>
  <c r="R54" i="3"/>
  <c r="R55" i="3"/>
  <c r="R56" i="3"/>
  <c r="R47" i="3"/>
  <c r="R57" i="3"/>
  <c r="S47" i="3"/>
  <c r="S57" i="3"/>
  <c r="S56" i="3"/>
  <c r="S55" i="3"/>
  <c r="S54" i="3"/>
  <c r="S53" i="3"/>
  <c r="S52" i="3"/>
  <c r="S51" i="3"/>
  <c r="S50" i="3"/>
  <c r="S49" i="3"/>
  <c r="S48" i="3"/>
  <c r="N56" i="3"/>
  <c r="N59" i="3"/>
  <c r="O48" i="3"/>
  <c r="O49" i="3"/>
  <c r="O50" i="3"/>
  <c r="O51" i="3"/>
  <c r="O52" i="3"/>
  <c r="O53" i="3"/>
  <c r="O54" i="3"/>
  <c r="O55" i="3"/>
  <c r="O56" i="3"/>
  <c r="O57" i="3"/>
  <c r="O47" i="3"/>
  <c r="N48" i="3"/>
  <c r="N49" i="3"/>
  <c r="N50" i="3"/>
  <c r="N51" i="3"/>
  <c r="N52" i="3"/>
  <c r="N53" i="3"/>
  <c r="N54" i="3"/>
  <c r="N55" i="3"/>
  <c r="N57" i="3"/>
  <c r="N47" i="3"/>
  <c r="X2" i="1"/>
  <c r="D44" i="3"/>
  <c r="E44" i="3"/>
  <c r="F44" i="3"/>
  <c r="G44" i="3"/>
  <c r="H44" i="3"/>
  <c r="I44" i="3"/>
  <c r="J44" i="3"/>
  <c r="K44" i="3"/>
  <c r="L44" i="3"/>
  <c r="M44" i="3"/>
  <c r="C44" i="3"/>
  <c r="D43" i="3"/>
  <c r="E43" i="3"/>
  <c r="F43" i="3"/>
  <c r="G43" i="3"/>
  <c r="H43" i="3"/>
  <c r="I43" i="3"/>
  <c r="J43" i="3"/>
  <c r="K43" i="3"/>
  <c r="L43" i="3"/>
  <c r="M43" i="3"/>
  <c r="C43" i="3"/>
  <c r="D42" i="3"/>
  <c r="E42" i="3"/>
  <c r="F42" i="3"/>
  <c r="G42" i="3"/>
  <c r="H42" i="3"/>
  <c r="I42" i="3"/>
  <c r="J42" i="3"/>
  <c r="K42" i="3"/>
  <c r="L42" i="3"/>
  <c r="M42" i="3"/>
  <c r="C42" i="3"/>
  <c r="D41" i="3"/>
  <c r="E41" i="3"/>
  <c r="F41" i="3"/>
  <c r="G41" i="3"/>
  <c r="H41" i="3"/>
  <c r="I41" i="3"/>
  <c r="J41" i="3"/>
  <c r="K41" i="3"/>
  <c r="L41" i="3"/>
  <c r="M41" i="3"/>
  <c r="C41" i="3"/>
  <c r="D40" i="3"/>
  <c r="E40" i="3"/>
  <c r="F40" i="3"/>
  <c r="G40" i="3"/>
  <c r="H40" i="3"/>
  <c r="I40" i="3"/>
  <c r="J40" i="3"/>
  <c r="K40" i="3"/>
  <c r="L40" i="3"/>
  <c r="M40" i="3"/>
  <c r="C40" i="3"/>
  <c r="D39" i="3"/>
  <c r="E39" i="3"/>
  <c r="F39" i="3"/>
  <c r="G39" i="3"/>
  <c r="H39" i="3"/>
  <c r="I39" i="3"/>
  <c r="J39" i="3"/>
  <c r="K39" i="3"/>
  <c r="L39" i="3"/>
  <c r="M39" i="3"/>
  <c r="C39" i="3"/>
  <c r="C38" i="3"/>
  <c r="C37" i="3"/>
  <c r="D38" i="3"/>
  <c r="E38" i="3"/>
  <c r="F38" i="3"/>
  <c r="G38" i="3"/>
  <c r="H38" i="3"/>
  <c r="I38" i="3"/>
  <c r="J38" i="3"/>
  <c r="K38" i="3"/>
  <c r="L38" i="3"/>
  <c r="M38" i="3"/>
  <c r="D37" i="3"/>
  <c r="E37" i="3"/>
  <c r="F37" i="3"/>
  <c r="G37" i="3"/>
  <c r="H37" i="3"/>
  <c r="I37" i="3"/>
  <c r="J37" i="3"/>
  <c r="K37" i="3"/>
  <c r="L37" i="3"/>
  <c r="M37" i="3"/>
  <c r="J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E31" i="3"/>
  <c r="J31" i="3" s="1"/>
  <c r="E30" i="3"/>
  <c r="E29" i="3"/>
  <c r="J29" i="3" s="1"/>
  <c r="E28" i="3"/>
  <c r="E27" i="3"/>
  <c r="J27" i="3" s="1"/>
  <c r="E26" i="3"/>
  <c r="E25" i="3"/>
  <c r="J25" i="3" s="1"/>
  <c r="E24" i="3"/>
  <c r="E23" i="3"/>
  <c r="J23" i="3" s="1"/>
  <c r="E22" i="3"/>
  <c r="E21" i="3"/>
  <c r="J21" i="3" s="1"/>
  <c r="E20" i="3"/>
  <c r="E19" i="3"/>
  <c r="J19" i="3" s="1"/>
  <c r="E18" i="3"/>
  <c r="E17" i="3"/>
  <c r="J17" i="3" s="1"/>
  <c r="E16" i="3"/>
  <c r="E15" i="3"/>
  <c r="J15" i="3" s="1"/>
  <c r="E14" i="3"/>
  <c r="E13" i="3"/>
  <c r="J13" i="3" s="1"/>
  <c r="E12" i="3"/>
  <c r="E11" i="3"/>
  <c r="J11" i="3" s="1"/>
  <c r="E10" i="3"/>
  <c r="E9" i="3"/>
  <c r="J9" i="3" s="1"/>
  <c r="E8" i="3"/>
  <c r="E7" i="3"/>
  <c r="J7" i="3" s="1"/>
  <c r="E6" i="3"/>
  <c r="E5" i="3"/>
  <c r="J5" i="3" s="1"/>
  <c r="E4" i="3"/>
  <c r="E3" i="3"/>
  <c r="J3" i="3" s="1"/>
  <c r="E2" i="3"/>
  <c r="U2" i="1"/>
  <c r="N7" i="1"/>
  <c r="M7" i="1" s="1"/>
  <c r="N6" i="1"/>
  <c r="M6" i="1" s="1"/>
  <c r="N10" i="1"/>
  <c r="M10" i="1" s="1"/>
  <c r="N11" i="1"/>
  <c r="M11" i="1" s="1"/>
  <c r="N12" i="1"/>
  <c r="M12" i="1" s="1"/>
  <c r="N13" i="1"/>
  <c r="M13" i="1" s="1"/>
  <c r="N18" i="1"/>
  <c r="M18" i="1" s="1"/>
  <c r="N19" i="1"/>
  <c r="M19" i="1" s="1"/>
  <c r="N31" i="1"/>
  <c r="M31" i="1" s="1"/>
  <c r="N30" i="1"/>
  <c r="M30" i="1" s="1"/>
  <c r="N29" i="1"/>
  <c r="M29" i="1" s="1"/>
  <c r="N28" i="1"/>
  <c r="M28" i="1" s="1"/>
  <c r="C59" i="1"/>
  <c r="U31" i="1"/>
  <c r="R2" i="1"/>
  <c r="Y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H54" i="1"/>
  <c r="H55" i="1"/>
  <c r="H53" i="1"/>
  <c r="G54" i="1"/>
  <c r="G55" i="1"/>
  <c r="G53" i="1"/>
  <c r="D53" i="1"/>
  <c r="C53" i="1"/>
  <c r="U30" i="1"/>
  <c r="R30" i="1"/>
  <c r="R31" i="1"/>
  <c r="H31" i="1"/>
  <c r="I31" i="1" s="1"/>
  <c r="H30" i="1"/>
  <c r="I30" i="1" s="1"/>
  <c r="F30" i="1"/>
  <c r="F31" i="1"/>
  <c r="T31" i="1" s="1"/>
  <c r="U15" i="1"/>
  <c r="U29" i="1"/>
  <c r="U28" i="1"/>
  <c r="R29" i="1"/>
  <c r="R28" i="1"/>
  <c r="H28" i="1"/>
  <c r="I28" i="1" s="1"/>
  <c r="H29" i="1"/>
  <c r="I29" i="1" s="1"/>
  <c r="F28" i="1"/>
  <c r="F29" i="1"/>
  <c r="T29" i="1" s="1"/>
  <c r="U10" i="1"/>
  <c r="U11" i="1"/>
  <c r="U9" i="1"/>
  <c r="U8" i="1"/>
  <c r="U7" i="1"/>
  <c r="U6" i="1"/>
  <c r="U4" i="1"/>
  <c r="U5" i="1"/>
  <c r="U27" i="1"/>
  <c r="U26" i="1"/>
  <c r="U25" i="1"/>
  <c r="U24" i="1"/>
  <c r="U23" i="1"/>
  <c r="U22" i="1"/>
  <c r="U21" i="1"/>
  <c r="U20" i="1"/>
  <c r="U19" i="1"/>
  <c r="U18" i="1"/>
  <c r="U17" i="1"/>
  <c r="U16" i="1"/>
  <c r="U14" i="1"/>
  <c r="U13" i="1"/>
  <c r="U12" i="1"/>
  <c r="U3" i="1"/>
  <c r="H3" i="1"/>
  <c r="H4" i="1"/>
  <c r="H5" i="1"/>
  <c r="H6" i="1"/>
  <c r="H7" i="1"/>
  <c r="H8" i="1"/>
  <c r="H9" i="1"/>
  <c r="H10" i="1"/>
  <c r="H11" i="1"/>
  <c r="H12" i="1"/>
  <c r="H13" i="1"/>
  <c r="H14" i="1"/>
  <c r="H15" i="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 i="1"/>
  <c r="I2" i="1" s="1"/>
  <c r="I15" i="1"/>
  <c r="I14" i="1"/>
  <c r="I13" i="1"/>
  <c r="I12" i="1"/>
  <c r="I10" i="1"/>
  <c r="I11" i="1"/>
  <c r="C46" i="1"/>
  <c r="C45" i="1"/>
  <c r="C44" i="1"/>
  <c r="C43" i="1"/>
  <c r="I9" i="1"/>
  <c r="I8" i="1"/>
  <c r="C42" i="1"/>
  <c r="C41" i="1"/>
  <c r="C40" i="1"/>
  <c r="C39" i="1"/>
  <c r="C38" i="1"/>
  <c r="C37" i="1"/>
  <c r="I7" i="1"/>
  <c r="I6" i="1"/>
  <c r="I4" i="1"/>
  <c r="I5" i="1"/>
  <c r="I3" i="1"/>
  <c r="R27" i="1"/>
  <c r="R26" i="1"/>
  <c r="R25" i="1"/>
  <c r="R24" i="1"/>
  <c r="R23" i="1"/>
  <c r="R22" i="1"/>
  <c r="R21" i="1"/>
  <c r="R20" i="1"/>
  <c r="R19" i="1"/>
  <c r="R18" i="1"/>
  <c r="R17" i="1"/>
  <c r="R16" i="1"/>
  <c r="R15" i="1"/>
  <c r="R14" i="1"/>
  <c r="R13" i="1"/>
  <c r="R12" i="1"/>
  <c r="R11" i="1"/>
  <c r="R10" i="1"/>
  <c r="R9" i="1"/>
  <c r="R8" i="1"/>
  <c r="R7" i="1"/>
  <c r="R6" i="1"/>
  <c r="R5" i="1"/>
  <c r="R4" i="1"/>
  <c r="R3" i="1"/>
  <c r="F3" i="1"/>
  <c r="F4" i="1"/>
  <c r="F5" i="1"/>
  <c r="F6" i="1"/>
  <c r="T6" i="1" s="1"/>
  <c r="F7" i="1"/>
  <c r="T7" i="1" s="1"/>
  <c r="F8" i="1"/>
  <c r="F9" i="1"/>
  <c r="F10" i="1"/>
  <c r="T10" i="1" s="1"/>
  <c r="F11" i="1"/>
  <c r="T11" i="1" s="1"/>
  <c r="F12" i="1"/>
  <c r="T12" i="1" s="1"/>
  <c r="F13" i="1"/>
  <c r="T13" i="1" s="1"/>
  <c r="F14" i="1"/>
  <c r="F15" i="1"/>
  <c r="F16" i="1"/>
  <c r="F17" i="1"/>
  <c r="F18" i="1"/>
  <c r="T18" i="1" s="1"/>
  <c r="F19" i="1"/>
  <c r="T19" i="1" s="1"/>
  <c r="F20" i="1"/>
  <c r="F21" i="1"/>
  <c r="F22" i="1"/>
  <c r="F23" i="1"/>
  <c r="F24" i="1"/>
  <c r="F25" i="1"/>
  <c r="F26" i="1"/>
  <c r="F27" i="1"/>
  <c r="F2" i="1"/>
  <c r="W2" i="1" l="1"/>
  <c r="N2" i="1"/>
  <c r="N8" i="1"/>
  <c r="Q2" i="1"/>
  <c r="T28" i="1"/>
  <c r="W28" i="1"/>
  <c r="T30" i="1"/>
  <c r="Q30" i="1"/>
  <c r="Y2" i="1"/>
  <c r="L2" i="3"/>
  <c r="J4" i="3"/>
  <c r="J6" i="3"/>
  <c r="J8" i="3"/>
  <c r="J10" i="3"/>
  <c r="J12" i="3"/>
  <c r="J14" i="3"/>
  <c r="J16" i="3"/>
  <c r="J18" i="3"/>
  <c r="J20" i="3"/>
  <c r="J22" i="3"/>
  <c r="J24" i="3"/>
  <c r="J26" i="3"/>
  <c r="J28" i="3"/>
  <c r="J30"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N27" i="1"/>
  <c r="N26" i="1"/>
  <c r="N25" i="1"/>
  <c r="N24" i="1"/>
  <c r="N23" i="1"/>
  <c r="N22" i="1"/>
  <c r="N21" i="1"/>
  <c r="N20" i="1"/>
  <c r="N17" i="1"/>
  <c r="N16" i="1"/>
  <c r="N15" i="1"/>
  <c r="N14" i="1"/>
  <c r="N3" i="1"/>
  <c r="N4" i="1"/>
  <c r="N5" i="1"/>
  <c r="N9" i="1"/>
  <c r="R35" i="1"/>
  <c r="W27" i="1"/>
  <c r="Y27" i="1" s="1"/>
  <c r="W26" i="1"/>
  <c r="Y26" i="1" s="1"/>
  <c r="W25" i="1"/>
  <c r="Y25" i="1" s="1"/>
  <c r="W24" i="1"/>
  <c r="Y24" i="1" s="1"/>
  <c r="W23" i="1"/>
  <c r="Y23" i="1" s="1"/>
  <c r="W22" i="1"/>
  <c r="Y22" i="1" s="1"/>
  <c r="W21" i="1"/>
  <c r="Y21" i="1" s="1"/>
  <c r="W20" i="1"/>
  <c r="Y20" i="1" s="1"/>
  <c r="W19" i="1"/>
  <c r="Y19" i="1" s="1"/>
  <c r="W18" i="1"/>
  <c r="Y18" i="1" s="1"/>
  <c r="W17" i="1"/>
  <c r="Y17" i="1" s="1"/>
  <c r="W16" i="1"/>
  <c r="Y16" i="1" s="1"/>
  <c r="W15" i="1"/>
  <c r="Y15" i="1" s="1"/>
  <c r="W14" i="1"/>
  <c r="Y14" i="1" s="1"/>
  <c r="W13" i="1"/>
  <c r="Y13" i="1" s="1"/>
  <c r="W12" i="1"/>
  <c r="Y12" i="1" s="1"/>
  <c r="W11" i="1"/>
  <c r="Y11" i="1" s="1"/>
  <c r="W10" i="1"/>
  <c r="Y10" i="1" s="1"/>
  <c r="W9" i="1"/>
  <c r="Y9" i="1" s="1"/>
  <c r="W8" i="1"/>
  <c r="Y8" i="1" s="1"/>
  <c r="W7" i="1"/>
  <c r="Y7" i="1" s="1"/>
  <c r="W6" i="1"/>
  <c r="Y6" i="1" s="1"/>
  <c r="W29" i="1"/>
  <c r="Y29" i="1" s="1"/>
  <c r="Y28" i="1"/>
  <c r="W31" i="1"/>
  <c r="Y31" i="1" s="1"/>
  <c r="W30" i="1"/>
  <c r="Y30" i="1" s="1"/>
  <c r="W5" i="1"/>
  <c r="Y5" i="1" s="1"/>
  <c r="W4" i="1"/>
  <c r="Y4" i="1" s="1"/>
  <c r="W3" i="1"/>
  <c r="Y3" i="1" s="1"/>
  <c r="S2" i="1"/>
  <c r="Q27" i="1"/>
  <c r="S27" i="1" s="1"/>
  <c r="Q26" i="1"/>
  <c r="S26" i="1" s="1"/>
  <c r="Q25" i="1"/>
  <c r="S25" i="1" s="1"/>
  <c r="Q24" i="1"/>
  <c r="S24" i="1" s="1"/>
  <c r="Q23" i="1"/>
  <c r="S23" i="1" s="1"/>
  <c r="Q22" i="1"/>
  <c r="S22" i="1" s="1"/>
  <c r="Q21" i="1"/>
  <c r="S21" i="1" s="1"/>
  <c r="Q20" i="1"/>
  <c r="S20" i="1" s="1"/>
  <c r="V19" i="1"/>
  <c r="Q19" i="1"/>
  <c r="S19" i="1" s="1"/>
  <c r="V18" i="1"/>
  <c r="Q18" i="1"/>
  <c r="S18" i="1" s="1"/>
  <c r="Q17" i="1"/>
  <c r="S17" i="1" s="1"/>
  <c r="Q16" i="1"/>
  <c r="S16" i="1" s="1"/>
  <c r="Q15" i="1"/>
  <c r="S15" i="1" s="1"/>
  <c r="Q14" i="1"/>
  <c r="S14" i="1" s="1"/>
  <c r="V13" i="1"/>
  <c r="Q13" i="1"/>
  <c r="S13" i="1" s="1"/>
  <c r="V12" i="1"/>
  <c r="Q12" i="1"/>
  <c r="S12" i="1" s="1"/>
  <c r="V11" i="1"/>
  <c r="Q11" i="1"/>
  <c r="S11" i="1" s="1"/>
  <c r="V10" i="1"/>
  <c r="Q10" i="1"/>
  <c r="S10" i="1" s="1"/>
  <c r="Q9" i="1"/>
  <c r="S9" i="1" s="1"/>
  <c r="Q8" i="1"/>
  <c r="S8" i="1" s="1"/>
  <c r="V7" i="1"/>
  <c r="Q7" i="1"/>
  <c r="S7" i="1" s="1"/>
  <c r="V6" i="1"/>
  <c r="Q6" i="1"/>
  <c r="S6" i="1" s="1"/>
  <c r="Q5" i="1"/>
  <c r="S5" i="1" s="1"/>
  <c r="Q4" i="1"/>
  <c r="S4" i="1" s="1"/>
  <c r="Q3" i="1"/>
  <c r="Q29" i="1"/>
  <c r="S29" i="1" s="1"/>
  <c r="Q28" i="1"/>
  <c r="S28" i="1" s="1"/>
  <c r="Q31" i="1"/>
  <c r="S31" i="1" s="1"/>
  <c r="V30" i="1"/>
  <c r="S30" i="1"/>
  <c r="M2" i="1" l="1"/>
  <c r="T2" i="1"/>
  <c r="V2" i="1" s="1"/>
  <c r="M9" i="1"/>
  <c r="T9" i="1"/>
  <c r="V9" i="1" s="1"/>
  <c r="M8" i="1"/>
  <c r="T8" i="1" s="1"/>
  <c r="V8" i="1"/>
  <c r="M5" i="1"/>
  <c r="T5" i="1"/>
  <c r="V5" i="1" s="1"/>
  <c r="M4" i="1"/>
  <c r="T4" i="1"/>
  <c r="V4" i="1" s="1"/>
  <c r="M3" i="1"/>
  <c r="T3" i="1"/>
  <c r="M14" i="1"/>
  <c r="T14" i="1"/>
  <c r="V14" i="1" s="1"/>
  <c r="M15" i="1"/>
  <c r="T15" i="1"/>
  <c r="V15" i="1" s="1"/>
  <c r="M16" i="1"/>
  <c r="T16" i="1"/>
  <c r="V16" i="1" s="1"/>
  <c r="M17" i="1"/>
  <c r="T17" i="1"/>
  <c r="V17" i="1" s="1"/>
  <c r="M20" i="1"/>
  <c r="T20" i="1"/>
  <c r="V20" i="1" s="1"/>
  <c r="M21" i="1"/>
  <c r="T21" i="1"/>
  <c r="V21" i="1" s="1"/>
  <c r="M22" i="1"/>
  <c r="T22" i="1"/>
  <c r="V22" i="1" s="1"/>
  <c r="M23" i="1"/>
  <c r="T23" i="1"/>
  <c r="V23" i="1" s="1"/>
  <c r="M24" i="1"/>
  <c r="T24" i="1"/>
  <c r="V24" i="1" s="1"/>
  <c r="M25" i="1"/>
  <c r="T25" i="1"/>
  <c r="V25" i="1" s="1"/>
  <c r="M26" i="1"/>
  <c r="T26" i="1"/>
  <c r="V26" i="1" s="1"/>
  <c r="M27" i="1"/>
  <c r="T27" i="1"/>
  <c r="V27" i="1" s="1"/>
  <c r="V29" i="1"/>
  <c r="V28" i="1"/>
  <c r="V31" i="1"/>
  <c r="S3" i="1"/>
  <c r="R36" i="1"/>
  <c r="Q36" i="1"/>
  <c r="S36" i="1" s="1"/>
  <c r="T36" i="1" s="1"/>
  <c r="V3" i="1"/>
  <c r="Q35" i="1" l="1"/>
  <c r="S35" i="1" s="1"/>
  <c r="T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tc={2E173F60-4AD8-43A2-B3C1-4C1CB9232F94}</author>
    <author>tc={73BAED9D-0BD8-406E-92F7-FBF72D22D51F}</author>
    <author>tc={FD5177C7-AC96-403F-8707-E4589BC69CA2}</author>
    <author>tc={CDBAB1A3-EF20-4A33-AFF0-A4A408D73543}</author>
  </authors>
  <commentList>
    <comment ref="Q1" authorId="0" shapeId="0" xr:uid="{2E173F60-4AD8-43A2-B3C1-4C1CB9232F94}">
      <text>
        <t>[Threaded comment]
Your version of Excel allows you to read this threaded comment; however, any edits to it will get removed if the file is opened in a newer version of Excel. Learn more: https://go.microsoft.com/fwlink/?linkid=870924
Comment:
    This is the embodied fish from co and byproducts</t>
      </text>
    </comment>
    <comment ref="R1" authorId="1" shapeId="0" xr:uid="{73BAED9D-0BD8-406E-92F7-FBF72D22D51F}">
      <text>
        <t>[Threaded comment]
Your version of Excel allows you to read this threaded comment; however, any edits to it will get removed if the file is opened in a newer version of Excel. Learn more: https://go.microsoft.com/fwlink/?linkid=870924
Comment:
    This is the embodied by product from by products (fmfo)</t>
      </text>
    </comment>
    <comment ref="O2" authorId="2" shapeId="0" xr:uid="{FD5177C7-AC96-403F-8707-E4589BC69CA2}">
      <text>
        <t>[Threaded comment]
Your version of Excel allows you to read this threaded comment; however, any edits to it will get removed if the file is opened in a newer version of Excel. Learn more: https://go.microsoft.com/fwlink/?linkid=870924
Comment:
    http://www.regional.org.au/au/asssi/supersoil2004/s7/oral/1662_knuckeyi.htm#:~:text=Some%20of%20this%20fish%20waste,cost%20to%20the%20seafood%20industry.
Reply:
    Have used 100 USD as a nominal value which is approximate to the value published for Australia</t>
      </text>
    </comment>
    <comment ref="A58" authorId="3" shapeId="0" xr:uid="{CDBAB1A3-EF20-4A33-AFF0-A4A408D73543}">
      <text>
        <t xml:space="preserve">[Threaded comment]
Your version of Excel allows you to read this threaded comment; however, any edits to it will get removed if the file is opened in a newer version of Excel. Learn more: https://go.microsoft.com/fwlink/?linkid=870924
Comment:
    Oil content tends to predict energy density 
http://osu-wams-blogs-uploads.s3.amazonaws.com/blogs.dir/2849/files/2017/03/Anthony_et_al_2000.pdf 
Reply:
    Thus using a value for more oily fish and less oily fish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tc={25744E4A-321E-45D9-B4B8-455B2E7254B9}</author>
  </authors>
  <commentList>
    <comment ref="I2" authorId="0" shapeId="0" xr:uid="{25744E4A-321E-45D9-B4B8-455B2E7254B9}">
      <text>
        <t>[Threaded comment]
Your version of Excel allows you to read this threaded comment; however, any edits to it will get removed if the file is opened in a newer version of Excel. Learn more: https://go.microsoft.com/fwlink/?linkid=870924
Comment:
    http://www.regional.org.au/au/asssi/supersoil2004/s7/oral/1662_knuckeyi.htm#:~:text=Some%20of%20this%20fish%20waste,cost%20to%20the%20seafood%20industry.
Reply:
    Have used 100 USD as a nominal value which is approximate to the value published for Australia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tc={CD6AB80B-34EE-429A-B2DF-FC8797F3F945}</author>
    <author>tc={2BF6717A-EC7A-44D8-876D-5C52D206FEFB}</author>
    <author>tc={283A285B-4D2E-483F-908D-DB155105EBA3}</author>
  </authors>
  <commentList>
    <comment ref="J1" authorId="0" shapeId="0" xr:uid="{CD6AB80B-34EE-429A-B2DF-FC8797F3F945}">
      <text>
        <t xml:space="preserve">[Threaded comment]
Your version of Excel allows you to read this threaded comment; however, any edits to it will get removed if the file is opened in a newer version of Excel. Learn more: https://go.microsoft.com/fwlink/?linkid=870924
Comment:
    Gross energy of edible portion is impossible to find per species but given that fillet can yield both FM and FO if processed, the weighted mean of fm and fo energy content is used using the species yields (adjusted to dry matter) as weights 
Reply:
    https://www.sciencedirect.com/science/article/pii/S0044848621007468#s0055 - fillet is 42% of retained energy in catfish
Reply:
    Nearly 3 times more energy per unit in the viscera of Tilapia
Reply:
    https://edepot.wur.nl/424414
Reply:
    Dry mass lipid content tends to predict energy density - http://osu-wams-blogs-uploads.s3.amazonaws.com/blogs.dir/2849/files/2017/03/Anthony_et_al_2000.pdf 
</t>
      </text>
    </comment>
    <comment ref="M1" authorId="1" shapeId="0" xr:uid="{2BF6717A-EC7A-44D8-876D-5C52D206FEFB}">
      <text>
        <t>[Threaded comment]
Your version of Excel allows you to read this threaded comment; however, any edits to it will get removed if the file is opened in a newer version of Excel. Learn more: https://go.microsoft.com/fwlink/?linkid=870924
Comment:
    This is the embodied by product from by products (fmfo)</t>
      </text>
    </comment>
    <comment ref="K2" authorId="2" shapeId="0" xr:uid="{283A285B-4D2E-483F-908D-DB155105EBA3}">
      <text>
        <t>[Threaded comment]
Your version of Excel allows you to read this threaded comment; however, any edits to it will get removed if the file is opened in a newer version of Excel. Learn more: https://go.microsoft.com/fwlink/?linkid=870924
Comment:
    http://www.regional.org.au/au/asssi/supersoil2004/s7/oral/1662_knuckeyi.htm#:~:text=Some%20of%20this%20fish%20waste,cost%20to%20the%20seafood%20industry.</t>
      </text>
    </comment>
  </commentList>
</comments>
</file>

<file path=xl/sharedStrings.xml><?xml version="1.0" encoding="utf-8"?>
<sst xmlns="http://schemas.openxmlformats.org/spreadsheetml/2006/main" count="523" uniqueCount="153">
  <si>
    <t>common_name</t>
  </si>
  <si>
    <t>sci_name</t>
  </si>
  <si>
    <t>fishmeal_yield</t>
  </si>
  <si>
    <t>fish_oil_yield</t>
  </si>
  <si>
    <t>prop_edible</t>
  </si>
  <si>
    <t>prop_trimmed</t>
  </si>
  <si>
    <t>ingredient</t>
  </si>
  <si>
    <t>moisture_content_edible</t>
  </si>
  <si>
    <t>fmfo_yield_DM</t>
  </si>
  <si>
    <t>gross_energy_fmfo</t>
  </si>
  <si>
    <t>price_edible</t>
  </si>
  <si>
    <t>price_fmfo</t>
  </si>
  <si>
    <t>edible_weighting_energy</t>
  </si>
  <si>
    <t>trimmings_weighting_energy</t>
  </si>
  <si>
    <t>price_trimmings</t>
  </si>
  <si>
    <t>zero_price_trimmings</t>
  </si>
  <si>
    <t>trimmings_partition_mass</t>
  </si>
  <si>
    <t>emb_byproduct_mass</t>
  </si>
  <si>
    <t>mass_byproduct_cf</t>
  </si>
  <si>
    <t>trimmings_partition_ge</t>
  </si>
  <si>
    <t>emb_byproduct_ge</t>
  </si>
  <si>
    <t>ge_byproduct_cf</t>
  </si>
  <si>
    <t>trimmings_partition_econ</t>
  </si>
  <si>
    <t>emb_byproduct_econ</t>
  </si>
  <si>
    <t>econ_byproduct_cf</t>
  </si>
  <si>
    <t>reference_edible_yield</t>
  </si>
  <si>
    <t>reference_trim_fm_fo</t>
  </si>
  <si>
    <t>reference_energy</t>
  </si>
  <si>
    <t>Atlantic herring</t>
  </si>
  <si>
    <t>Clupea harengus</t>
  </si>
  <si>
    <t>Fishmeal</t>
  </si>
  <si>
    <t>https://www.fao.org/3/T0219E/T0219E03.htm#ch3.7</t>
  </si>
  <si>
    <t>Cashion et al 2016 https://link.springer.com/article/10.1007/s11367-016-1092-y/tables/3</t>
  </si>
  <si>
    <t>https://www.frontiersin.org/articles/10.3389/fmars.2017.00363/full</t>
  </si>
  <si>
    <t>https://www.oecd-ilibrary.org/sites/19428846-en/1/3/8/index.html?itemId=/content/publication/19428846-en&amp;_csp_=78a77099f3b0c6eae1de8bfe93d3b09e&amp;itemIGO=oecd&amp;itemContentType=book#section-d1e21762</t>
  </si>
  <si>
    <t>Fish oil</t>
  </si>
  <si>
    <t>https://www.feedtables.com/content/fish-oil-menhaden</t>
  </si>
  <si>
    <t>Atlantic sardine</t>
  </si>
  <si>
    <t>Sardina pilchardus</t>
  </si>
  <si>
    <t>https://www.fao.org/3/T0219E/T0219E04.htm</t>
  </si>
  <si>
    <t>Used sardine type  - values from Cashion</t>
  </si>
  <si>
    <t>Values from Sardinella in Cashion et al 2016</t>
  </si>
  <si>
    <t>Skipjack tuna</t>
  </si>
  <si>
    <t>Katsuwonus pelamis</t>
  </si>
  <si>
    <t>https://www.fao.org/3/T0219E/T0219E05.htm#ch3.47</t>
  </si>
  <si>
    <t>https://www.grocentre.is/static/gro/publication/329/document/britney16prf.pdf</t>
  </si>
  <si>
    <t>Assumed Scombriformes values from mackerel</t>
  </si>
  <si>
    <t>Atlantic mackerel</t>
  </si>
  <si>
    <t>Scomber scombrus</t>
  </si>
  <si>
    <t>https://www.fao.org/3/T0219E/T0219E03.htm#ch3.8</t>
  </si>
  <si>
    <t>Blue whiting</t>
  </si>
  <si>
    <t>Micromesistius poutassou</t>
  </si>
  <si>
    <t>https://www.fao.org/3/T0219E/T0219E03.htm#ch3.11</t>
  </si>
  <si>
    <t>Yellowfin tuna</t>
  </si>
  <si>
    <t>Thunnus albacares</t>
  </si>
  <si>
    <t>https://www.fao.org/3/T0219E/T0219E05.htm#ch3.52</t>
  </si>
  <si>
    <t>Capelin</t>
  </si>
  <si>
    <t>Mallotus villosus</t>
  </si>
  <si>
    <t>https://www.fao.org/3/T0219E/T0219E03.htm#ch3.13</t>
  </si>
  <si>
    <t>Pacific mackerel</t>
  </si>
  <si>
    <t>Scomber japonicus</t>
  </si>
  <si>
    <t>https://www.fao.org/3/T0219E/T0219E03.htm#ch3.15</t>
  </si>
  <si>
    <t>Used values from Atlantic mackerel</t>
  </si>
  <si>
    <t>Albacore</t>
  </si>
  <si>
    <t>Thunnus alalunga</t>
  </si>
  <si>
    <t>European sprat</t>
  </si>
  <si>
    <t>Sprattus sprattus</t>
  </si>
  <si>
    <t>https://www.fao.org/3/T0219E/T0219E04.htm#ch3.22</t>
  </si>
  <si>
    <t xml:space="preserve">European sprat </t>
  </si>
  <si>
    <t>Gulf menhaden</t>
  </si>
  <si>
    <t>Brevoorti patronus</t>
  </si>
  <si>
    <t>Took average of herring type species</t>
  </si>
  <si>
    <t xml:space="preserve">Gulf menhaden </t>
  </si>
  <si>
    <t>Pacific anchoveta</t>
  </si>
  <si>
    <t>Cetengraulis mysticetus</t>
  </si>
  <si>
    <t>https://www.fao.org/3/T0219E/T0219E03.htm#ch3.4</t>
  </si>
  <si>
    <t>Took same values as Peruvian acnhoveta</t>
  </si>
  <si>
    <t>Anchoveta values</t>
  </si>
  <si>
    <t>Peruvian anchovy</t>
  </si>
  <si>
    <t>Engraulis ringens</t>
  </si>
  <si>
    <t>Alaska pollack</t>
  </si>
  <si>
    <t>Gadus chalcogrammus</t>
  </si>
  <si>
    <t>https://www.fao.org/3/T0219E/T0219E03.htm#ch3.2</t>
  </si>
  <si>
    <t>Cashion et al 2017 https://onlinelibrary.wiley.com/doi/full/10.1111/faf.12222?casa_token=lxu3iIMor9oAAAAA%3Ax4gmgTWGVUGUm2QbLsbysoIPRGZFai67rxKK8fC7_5SfKHCuAmuZCVFEUKsJryRlhvn9hQ9XpoKHPRn0</t>
  </si>
  <si>
    <t>Cashion et al 2016 https://link.springer.com/article/10.1007/s11367-016-1092-y/tables/3 - used values from Atlantic cod (another Gadus sp.)</t>
  </si>
  <si>
    <t>Atlantic cod</t>
  </si>
  <si>
    <t>Gadus morhua</t>
  </si>
  <si>
    <t>https://www.fao.org/3/T0219E/T0219E03.htm#ch3.6</t>
  </si>
  <si>
    <t xml:space="preserve">
</t>
  </si>
  <si>
    <t>Test for moisture content calculations relative to published studies</t>
  </si>
  <si>
    <t>Species</t>
  </si>
  <si>
    <t>1-(fm+fo yields)</t>
  </si>
  <si>
    <t>Published value</t>
  </si>
  <si>
    <t>Reference</t>
  </si>
  <si>
    <t>Comments</t>
  </si>
  <si>
    <t xml:space="preserve">Atlantic herring (Clupea harengus) </t>
  </si>
  <si>
    <t>https://www.researchgate.net/publication/276120546_COMPARATIVE_STUDY_OF_SALTING_PROCEDURES_FOR_SALTED_DRIED_HERRING_Clupea_harengus</t>
  </si>
  <si>
    <t>Skipjack tuna (Katsuwonus pelamis)</t>
  </si>
  <si>
    <t>http://dr.lib.sjp.ac.lk/bitstream/handle/123456789/1012/Nutritional%20evaluation%20%20in%20five%20species%20of%20tuna.pdf?sequence=1&amp;isAllowed=y</t>
  </si>
  <si>
    <t>Value from white flesh</t>
  </si>
  <si>
    <t>Yellowfin tuna (Thunnus albacares)</t>
  </si>
  <si>
    <t xml:space="preserve">Atlantic mackerel (Scomber scombrus) </t>
  </si>
  <si>
    <t>https://ift.onlinelibrary.wiley.com/doi/epdf/10.1111/j.1365-2621.1986.tb11121.x</t>
  </si>
  <si>
    <t xml:space="preserve">Mean of fall and spring values </t>
  </si>
  <si>
    <t xml:space="preserve">Capelin (Mallotus villosus) </t>
  </si>
  <si>
    <t>https://link.springer.com/article/10.1007/s13197-016-2462-y</t>
  </si>
  <si>
    <t>Median value of three batches</t>
  </si>
  <si>
    <t>Pacific mackerel (Scomber japonicus)</t>
  </si>
  <si>
    <t>https://www.sciencedirect.com/science/article/pii/S0308814604007769</t>
  </si>
  <si>
    <t xml:space="preserve">Blue whiting (Micromesistius poutassou) </t>
  </si>
  <si>
    <t>https://cdnsciencepub.com/doi/pdf/10.1139/f75-097</t>
  </si>
  <si>
    <t xml:space="preserve">European sprat (Sprattus sprattus) </t>
  </si>
  <si>
    <t>https://www.sciencedirect.com/science/article/pii/S1878450X20301542</t>
  </si>
  <si>
    <t xml:space="preserve">Gulf menhaden (Brevoorti patronus) </t>
  </si>
  <si>
    <t>https://ift.onlinelibrary.wiley.com/doi/epdf/10.1111/j.1365-2621.1989.tb05936.x</t>
  </si>
  <si>
    <t>Derived from mehaden mince</t>
  </si>
  <si>
    <t>Peruvian anchovy (Engraulis ringens)</t>
  </si>
  <si>
    <t>https://www.tandfonline.com/doi/full/10.1080/10498850.2012.762705</t>
  </si>
  <si>
    <t>Mean of fall and winter values</t>
  </si>
  <si>
    <t>FMFO prices from Kok et al 2019</t>
  </si>
  <si>
    <t>year</t>
  </si>
  <si>
    <t>fm</t>
  </si>
  <si>
    <t>fo</t>
  </si>
  <si>
    <t>mean</t>
  </si>
  <si>
    <t>Energy weightings</t>
  </si>
  <si>
    <t>Source</t>
  </si>
  <si>
    <t>Oily (salmon)</t>
  </si>
  <si>
    <t>https://www.sciencedirect.com/science/article/pii/S0044848615300624?via%3Dihub</t>
  </si>
  <si>
    <t>This paper suggest 0.65 of salmon is fillet and gives the energy density of fillet as 11.5 and 12.6 for whole body. Worked backwards from this weighted mean to find the energy desnity of trimmed portion (0.65*11.5)/0.35</t>
  </si>
  <si>
    <t>White fish (catfish)</t>
  </si>
  <si>
    <t>https://www.sciencedirect.com/science/article/pii/S0044848621007468</t>
  </si>
  <si>
    <t>This paper suggests 0.42 of energy retained is stored in fillet - i.e. 58% not</t>
  </si>
  <si>
    <t>species</t>
  </si>
  <si>
    <t>Atlantic sardine (Sardina pilchardus)</t>
  </si>
  <si>
    <t>Albacore (Thunnus alalunga)</t>
  </si>
  <si>
    <t>Pacific anchoveta (Cetengraulis mysticetus)</t>
  </si>
  <si>
    <t xml:space="preserve">Peruvian anchovy (Engraulis ringens) </t>
  </si>
  <si>
    <t>Alaska pollack (Gadus chalcogrammus)</t>
  </si>
  <si>
    <t>Atlantic cod (Gadus morhua)</t>
  </si>
  <si>
    <t>trim price</t>
  </si>
  <si>
    <t>BW (fm)</t>
  </si>
  <si>
    <t>BW (fo)</t>
  </si>
  <si>
    <t>AP (fm)</t>
  </si>
  <si>
    <t>AP (fo)</t>
  </si>
  <si>
    <t>AC (fm)</t>
  </si>
  <si>
    <t>AC (fo)</t>
  </si>
  <si>
    <t>CA (fm)</t>
  </si>
  <si>
    <t>CA (fo)</t>
  </si>
  <si>
    <t>Inflection point is at $10</t>
  </si>
  <si>
    <t>BW_FM</t>
  </si>
  <si>
    <t>dt/dx</t>
  </si>
  <si>
    <t>mid_point</t>
  </si>
  <si>
    <t>AC_FO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</si>
</sst>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rgb="FF000000"/>
      <name val="Calibri"/>
      <family val="2"/>
    </font>
    <font>
      <sz val="12"/>
      <color rgb="FF000000"/>
      <name val="Calibri"/>
      <family val="2"/>
    </font>
    <font>
      <sz val="11"/>
      <color rgb="FF000000"/>
      <name val="Calibri"/>
      <charset val="1"/>
    </font>
    <font>
      <u/>
      <sz val="11"/>
      <color theme="10"/>
      <name val="Calibri"/>
      <family val="2"/>
      <scheme val="minor"/>
    </font>
    <font>
      <b/>
      <sz val="12"/>
      <color rgb="FF000000"/>
      <name val="Calibri"/>
      <family val="2"/>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right/>
      <top style="thick">
        <color indexed="64"/>
      </top>
      <bottom style="medium">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1" fillId="0" borderId="1" xfId="0" applyFont="1" applyBorder="1"/>
    <xf numFmtId="2" fontId="1" fillId="0" borderId="1" xfId="0" applyNumberFormat="1" applyFont="1" applyBorder="1"/>
    <xf numFmtId="0" fontId="1" fillId="0" borderId="0" xfId="0" applyFont="1"/>
    <xf numFmtId="2" fontId="1" fillId="0" borderId="0" xfId="0" applyNumberFormat="1" applyFont="1"/>
    <xf numFmtId="0" fontId="1" fillId="0" borderId="2" xfId="0" applyFont="1" applyBorder="1"/>
    <xf numFmtId="2" fontId="1" fillId="0" borderId="2" xfId="0" applyNumberFormat="1" applyFont="1" applyBorder="1" applyAlignment="1">
      <alignment wrapText="1"/>
    </xf>
    <xf numFmtId="2" fontId="1" fillId="0" borderId="2" xfId="0" applyNumberFormat="1" applyFont="1" applyBorder="1"/>
    <xf numFmtId="0" fontId="2" fillId="0" borderId="0" xfId="0" applyFont="1"/>
    <xf numFmtId="0" fontId="3" fillId="0" borderId="0" xfId="0" applyFont="1"/>
    <xf numFmtId="0" fontId="4" fillId="0" borderId="0" xfId="1"/>
    <xf numFmtId="0" fontId="1" fillId="0" borderId="0" xfId="0" applyFont="1" applyAlignment="1">
      <alignment wrapText="1"/>
    </xf>
    <xf numFmtId="2" fontId="0" fillId="0" borderId="0" xfId="0" applyNumberFormat="1"/>
    <xf numFmtId="0" fontId="5" fillId="0" borderId="0" xfId="0" applyFont="1"/>
    <xf numFmtId="49" fontId="1" fillId="0" borderId="0" xfId="0" applyNumberFormat="1" applyFont="1"/>
    <xf numFmtId="2" fontId="1" fillId="0" borderId="0" xfId="0" applyNumberFormat="1" applyFont="1" applyAlignment="1">
      <alignment wrapText="1"/>
    </xf>
    <xf numFmtId="0" fontId="6" fillId="0" borderId="0" xfId="0" applyFont="1"/>
    <xf numFmtId="0" fontId="7" fillId="0" borderId="0" xfId="0" applyFont="1"/>
    <xf numFmtId="0" fontId="7" fillId="0" borderId="0" xfId="1" applyFont="1"/>
    <xf numFmtId="2" fontId="7" fillId="0" borderId="0" xfId="0" applyNumberFormat="1" applyFont="1"/>
    <xf numFmtId="2" fontId="7" fillId="0" borderId="0" xfId="1" applyNumberFormat="1"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 factor sensitivity to price of offcuts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'Trimmings price sensitivity'!$C$36:$M$36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cat>
          <c:val>
            <c:numRef>
              <c:f>'Trimmings price sensitivity'!$C$37:$M$37</c:f>
              <c:numCache>
                <c:formatCode>General</c:formatCode>
                <c:ptCount val="11"/>
                <c:pt idx="0">
                  <c:v>2.1365001153933356</c:v>
                </c:pt>
                <c:pt idx="1">
                  <c:v>2.0187666741049566</c:v>
                </c:pt>
                <c:pt idx="2">
                  <c:v>1.8886708915660424</c:v>
                </c:pt>
                <c:pt idx="3">
                  <c:v>1.7441577560728483</c:v>
                </c:pt>
                <c:pt idx="4">
                  <c:v>1.5826900600264278</c:v>
                </c:pt>
                <c:pt idx="5">
                  <c:v>1.4010981560963545</c:v>
                </c:pt>
                <c:pt idx="6">
                  <c:v>1.1953698040081933</c:v>
                </c:pt>
                <c:pt idx="7">
                  <c:v>0.96035025372761307</c:v>
                </c:pt>
                <c:pt idx="8">
                  <c:v>0.68930440531927017</c:v>
                </c:pt>
                <c:pt idx="9">
                  <c:v>0.37326090483106811</c:v>
                </c:pt>
                <c:pt idx="10">
                  <c:v>0</c:v>
                </c:pt>
              </c:numCache>
            </c:numRef>
          </c:val>
          <c:smooth val="0"/>
          <c:extLst>
            <c:ext xmlns:c16="http://schemas.microsoft.com/office/drawing/2014/chart" uri="{C3380CC4-5D6E-409C-BE32-E72D297353CC}">
              <c16:uniqueId val="{00000003-7841-473C-9AB5-0A44988C720C}"/>
            </c:ext>
          </c:extLst>
        </c:ser>
        <c:ser>
          <c:idx val="2"/>
          <c:order val="1"/>
          <c:tx>
            <c:v>BW (fo)</c:v>
          </c:tx>
          <c:spPr>
            <a:ln w="28575" cap="rnd">
              <a:solidFill>
                <a:schemeClr val="accent3"/>
              </a:solidFill>
              <a:round/>
            </a:ln>
            <a:effectLst/>
          </c:spPr>
          <c:marker>
            <c:symbol val="none"/>
          </c:marker>
          <c:cat>
            <c:numRef>
              <c:f>'Trimmings price sensitivity'!$C$36:$M$36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cat>
          <c:val>
            <c:numRef>
              <c:f>'Trimmings price sensitivity'!$C$38:$M$38</c:f>
              <c:numCache>
                <c:formatCode>General</c:formatCode>
                <c:ptCount val="11"/>
                <c:pt idx="0">
                  <c:v>2.3912286970176679</c:v>
                </c:pt>
                <c:pt idx="1">
                  <c:v>2.2594582461859409</c:v>
                </c:pt>
                <c:pt idx="2">
                  <c:v>2.113851528766808</c:v>
                </c:pt>
                <c:pt idx="3">
                  <c:v>1.9521085200968979</c:v>
                </c:pt>
                <c:pt idx="4">
                  <c:v>1.7713895088290501</c:v>
                </c:pt>
                <c:pt idx="5">
                  <c:v>1.5681469399683765</c:v>
                </c:pt>
                <c:pt idx="6">
                  <c:v>1.3378902057145627</c:v>
                </c:pt>
                <c:pt idx="7">
                  <c:v>1.0748499704522085</c:v>
                </c:pt>
                <c:pt idx="8">
                  <c:v>0.7714881282263274</c:v>
                </c:pt>
                <c:pt idx="9">
                  <c:v>0.41776369712131256</c:v>
                </c:pt>
                <c:pt idx="10">
                  <c:v>0</c:v>
                </c:pt>
              </c:numCache>
            </c:numRef>
          </c:val>
          <c:smooth val="0"/>
          <c:extLst>
            <c:ext xmlns:c16="http://schemas.microsoft.com/office/drawing/2014/chart" uri="{C3380CC4-5D6E-409C-BE32-E72D297353CC}">
              <c16:uniqueId val="{00000005-7841-473C-9AB5-0A44988C720C}"/>
            </c:ext>
          </c:extLst>
        </c:ser>
        <c:ser>
          <c:idx val="3"/>
          <c:order val="2"/>
          <c:tx>
            <c:v>AP(fm)</c:v>
          </c:tx>
          <c:spPr>
            <a:ln w="28575" cap="rnd">
              <a:solidFill>
                <a:schemeClr val="accent4"/>
              </a:solidFill>
              <a:round/>
            </a:ln>
            <a:effectLst/>
          </c:spPr>
          <c:marker>
            <c:symbol val="none"/>
          </c:marker>
          <c:cat>
            <c:numRef>
              <c:f>'Trimmings price sensitivity'!$C$36:$M$36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cat>
          <c:val>
            <c:numRef>
              <c:f>'Trimmings price sensitivity'!$C$39:$M$39</c:f>
              <c:numCache>
                <c:formatCode>General</c:formatCode>
                <c:ptCount val="11"/>
                <c:pt idx="0">
                  <c:v>3.2607672788186393</c:v>
                </c:pt>
                <c:pt idx="1">
                  <c:v>3.1274585247874276</c:v>
                </c:pt>
                <c:pt idx="2">
                  <c:v>2.975405508153103</c:v>
                </c:pt>
                <c:pt idx="3">
                  <c:v>2.8003558855873267</c:v>
                </c:pt>
                <c:pt idx="4">
                  <c:v>2.5966658347959521</c:v>
                </c:pt>
                <c:pt idx="5">
                  <c:v>2.3566801842378107</c:v>
                </c:pt>
                <c:pt idx="6">
                  <c:v>2.0697487675277593</c:v>
                </c:pt>
                <c:pt idx="7">
                  <c:v>1.7206029357180783</c:v>
                </c:pt>
                <c:pt idx="8">
                  <c:v>1.2865476116370564</c:v>
                </c:pt>
                <c:pt idx="9">
                  <c:v>0.73232114823388816</c:v>
                </c:pt>
                <c:pt idx="10">
                  <c:v>0</c:v>
                </c:pt>
              </c:numCache>
            </c:numRef>
          </c:val>
          <c:smooth val="0"/>
          <c:extLst>
            <c:ext xmlns:c16="http://schemas.microsoft.com/office/drawing/2014/chart" uri="{C3380CC4-5D6E-409C-BE32-E72D297353CC}">
              <c16:uniqueId val="{00000007-7841-473C-9AB5-0A44988C720C}"/>
            </c:ext>
          </c:extLst>
        </c:ser>
        <c:ser>
          <c:idx val="4"/>
          <c:order val="3"/>
          <c:tx>
            <c:v>AP(fo)</c:v>
          </c:tx>
          <c:spPr>
            <a:ln w="28575" cap="rnd">
              <a:solidFill>
                <a:schemeClr val="accent5"/>
              </a:solidFill>
              <a:round/>
            </a:ln>
            <a:effectLst/>
          </c:spPr>
          <c:marker>
            <c:symbol val="none"/>
          </c:marker>
          <c:cat>
            <c:numRef>
              <c:f>'Trimmings price sensitivity'!$C$36:$M$36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cat>
          <c:val>
            <c:numRef>
              <c:f>'Trimmings price sensitivity'!$C$40:$M$40</c:f>
              <c:numCache>
                <c:formatCode>General</c:formatCode>
                <c:ptCount val="11"/>
                <c:pt idx="0">
                  <c:v>3.6495389048794165</c:v>
                </c:pt>
                <c:pt idx="1">
                  <c:v>3.5003361428920075</c:v>
                </c:pt>
                <c:pt idx="2">
                  <c:v>3.330154295381476</c:v>
                </c:pt>
                <c:pt idx="3">
                  <c:v>3.1342340247175384</c:v>
                </c:pt>
                <c:pt idx="4">
                  <c:v>2.9062586123878038</c:v>
                </c:pt>
                <c:pt idx="5">
                  <c:v>2.6376601834186428</c:v>
                </c:pt>
                <c:pt idx="6">
                  <c:v>2.3165187836267251</c:v>
                </c:pt>
                <c:pt idx="7">
                  <c:v>1.9257453282676045</c:v>
                </c:pt>
                <c:pt idx="8">
                  <c:v>1.4399388733286782</c:v>
                </c:pt>
                <c:pt idx="9">
                  <c:v>0.81963363000680745</c:v>
                </c:pt>
                <c:pt idx="10">
                  <c:v>0</c:v>
                </c:pt>
              </c:numCache>
            </c:numRef>
          </c:val>
          <c:smooth val="0"/>
          <c:extLst>
            <c:ext xmlns:c16="http://schemas.microsoft.com/office/drawing/2014/chart" uri="{C3380CC4-5D6E-409C-BE32-E72D297353CC}">
              <c16:uniqueId val="{00000009-7841-473C-9AB5-0A44988C720C}"/>
            </c:ext>
          </c:extLst>
        </c:ser>
        <c:ser>
          <c:idx val="5"/>
          <c:order val="4"/>
          <c:tx>
            <c:v>AC(fm)</c:v>
          </c:tx>
          <c:spPr>
            <a:ln w="28575" cap="rnd">
              <a:solidFill>
                <a:schemeClr val="accent6"/>
              </a:solidFill>
              <a:round/>
            </a:ln>
            <a:effectLst/>
          </c:spPr>
          <c:marker>
            <c:symbol val="none"/>
          </c:marker>
          <c:cat>
            <c:numRef>
              <c:f>'Trimmings price sensitivity'!$C$36:$M$36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cat>
          <c:val>
            <c:numRef>
              <c:f>'Trimmings price sensitivity'!$C$41:$M$41</c:f>
              <c:numCache>
                <c:formatCode>General</c:formatCode>
                <c:ptCount val="11"/>
                <c:pt idx="0">
                  <c:v>1.6752383043290584</c:v>
                </c:pt>
                <c:pt idx="1">
                  <c:v>1.5570198485096109</c:v>
                </c:pt>
                <c:pt idx="2">
                  <c:v>1.4308080179186138</c:v>
                </c:pt>
                <c:pt idx="3">
                  <c:v>1.2957637337913801</c:v>
                </c:pt>
                <c:pt idx="4">
                  <c:v>1.150926219634081</c:v>
                </c:pt>
                <c:pt idx="5">
                  <c:v>0.99519010773161343</c:v>
                </c:pt>
                <c:pt idx="6">
                  <c:v>0.82727717561120495</c:v>
                </c:pt>
                <c:pt idx="7">
                  <c:v>0.64570118310167623</c:v>
                </c:pt>
                <c:pt idx="8">
                  <c:v>0.44872376174181994</c:v>
                </c:pt>
                <c:pt idx="9">
                  <c:v>0.23429858257752773</c:v>
                </c:pt>
                <c:pt idx="10">
                  <c:v>0</c:v>
                </c:pt>
              </c:numCache>
            </c:numRef>
          </c:val>
          <c:smooth val="0"/>
          <c:extLst>
            <c:ext xmlns:c16="http://schemas.microsoft.com/office/drawing/2014/chart" uri="{C3380CC4-5D6E-409C-BE32-E72D297353CC}">
              <c16:uniqueId val="{0000000B-7841-473C-9AB5-0A44988C720C}"/>
            </c:ext>
          </c:extLst>
        </c:ser>
        <c:ser>
          <c:idx val="6"/>
          <c:order val="5"/>
          <c:tx>
            <c:v>AC (fo)</c:v>
          </c:tx>
          <c:spPr>
            <a:ln w="28575" cap="rnd">
              <a:solidFill>
                <a:schemeClr val="accent1">
                  <a:lumMod val="60000"/>
                </a:schemeClr>
              </a:solidFill>
              <a:round/>
            </a:ln>
            <a:effectLst/>
          </c:spPr>
          <c:marker>
            <c:symbol val="none"/>
          </c:marker>
          <c:cat>
            <c:numRef>
              <c:f>'Trimmings price sensitivity'!$C$36:$M$36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cat>
          <c:val>
            <c:numRef>
              <c:f>'Trimmings price sensitivity'!$C$42:$M$42</c:f>
              <c:numCache>
                <c:formatCode>General</c:formatCode>
                <c:ptCount val="11"/>
                <c:pt idx="0">
                  <c:v>1.8749720062230693</c:v>
                </c:pt>
                <c:pt idx="1">
                  <c:v>1.7426587140140799</c:v>
                </c:pt>
                <c:pt idx="2">
                  <c:v>1.6013990206314925</c:v>
                </c:pt>
                <c:pt idx="3">
                  <c:v>1.4502538064343953</c:v>
                </c:pt>
                <c:pt idx="4">
                  <c:v>1.2881477443928897</c:v>
                </c:pt>
                <c:pt idx="5">
                  <c:v>1.1138436770726894</c:v>
                </c:pt>
                <c:pt idx="6">
                  <c:v>0.92591098332098343</c:v>
                </c:pt>
                <c:pt idx="7">
                  <c:v>0.72268622295240525</c:v>
                </c:pt>
                <c:pt idx="8">
                  <c:v>0.50222376698220583</c:v>
                </c:pt>
                <c:pt idx="9">
                  <c:v>0.2622333087151752</c:v>
                </c:pt>
                <c:pt idx="10">
                  <c:v>0</c:v>
                </c:pt>
              </c:numCache>
            </c:numRef>
          </c:val>
          <c:smooth val="0"/>
          <c:extLst>
            <c:ext xmlns:c16="http://schemas.microsoft.com/office/drawing/2014/chart" uri="{C3380CC4-5D6E-409C-BE32-E72D297353CC}">
              <c16:uniqueId val="{0000000D-7841-473C-9AB5-0A44988C720C}"/>
            </c:ext>
          </c:extLst>
        </c:ser>
        <c:ser>
          <c:idx val="7"/>
          <c:order val="6"/>
          <c:tx>
            <c:v>Ca (fm)</c:v>
          </c:tx>
          <c:spPr>
            <a:ln w="28575" cap="rnd">
              <a:solidFill>
                <a:schemeClr val="accent2">
                  <a:lumMod val="60000"/>
                </a:schemeClr>
              </a:solidFill>
              <a:round/>
            </a:ln>
            <a:effectLst/>
          </c:spPr>
          <c:marker>
            <c:symbol val="none"/>
          </c:marker>
          <c:cat>
            <c:numRef>
              <c:f>'Trimmings price sensitivity'!$C$36:$M$36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cat>
          <c:val>
            <c:numRef>
              <c:f>'Trimmings price sensitivity'!$C$43:$M$43</c:f>
              <c:numCache>
                <c:formatCode>General</c:formatCode>
                <c:ptCount val="11"/>
                <c:pt idx="0">
                  <c:v>1.3429612929417478</c:v>
                </c:pt>
                <c:pt idx="1">
                  <c:v>1.2523145506246987</c:v>
                </c:pt>
                <c:pt idx="2">
                  <c:v>1.154875325642873</c:v>
                </c:pt>
                <c:pt idx="3">
                  <c:v>1.0498504221940013</c:v>
                </c:pt>
                <c:pt idx="4">
                  <c:v>0.93631814131428015</c:v>
                </c:pt>
                <c:pt idx="5">
                  <c:v>0.81320115942064586</c:v>
                </c:pt>
                <c:pt idx="6">
                  <c:v>0.67923223512516628</c:v>
                </c:pt>
                <c:pt idx="7">
                  <c:v>0.53291042982769099</c:v>
                </c:pt>
                <c:pt idx="8">
                  <c:v>0.37244463268368599</c:v>
                </c:pt>
                <c:pt idx="9">
                  <c:v>0.19567987659207878</c:v>
                </c:pt>
                <c:pt idx="10">
                  <c:v>0</c:v>
                </c:pt>
              </c:numCache>
            </c:numRef>
          </c:val>
          <c:smooth val="0"/>
          <c:extLst>
            <c:ext xmlns:c16="http://schemas.microsoft.com/office/drawing/2014/chart" uri="{C3380CC4-5D6E-409C-BE32-E72D297353CC}">
              <c16:uniqueId val="{0000000F-7841-473C-9AB5-0A44988C720C}"/>
            </c:ext>
          </c:extLst>
        </c:ser>
        <c:ser>
          <c:idx val="8"/>
          <c:order val="7"/>
          <c:tx>
            <c:v>Ca (fo)</c:v>
          </c:tx>
          <c:spPr>
            <a:ln w="28575" cap="rnd">
              <a:solidFill>
                <a:schemeClr val="accent3">
                  <a:lumMod val="60000"/>
                </a:schemeClr>
              </a:solidFill>
              <a:round/>
            </a:ln>
            <a:effectLst/>
          </c:spPr>
          <c:marker>
            <c:symbol val="none"/>
          </c:marker>
          <c:cat>
            <c:numRef>
              <c:f>'Trimmings price sensitivity'!$C$36:$M$36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cat>
          <c:val>
            <c:numRef>
              <c:f>'Trimmings price sensitivity'!$C$44:$M$44</c:f>
              <c:numCache>
                <c:formatCode>General</c:formatCode>
                <c:ptCount val="11"/>
                <c:pt idx="0">
                  <c:v>1.5030785907891437</c:v>
                </c:pt>
                <c:pt idx="1">
                  <c:v>1.4016243058312474</c:v>
                </c:pt>
                <c:pt idx="2">
                  <c:v>1.2925676906160379</c:v>
                </c:pt>
                <c:pt idx="3">
                  <c:v>1.1750209789547483</c:v>
                </c:pt>
                <c:pt idx="4">
                  <c:v>1.0479525804456855</c:v>
                </c:pt>
                <c:pt idx="5">
                  <c:v>0.91015672540541415</c:v>
                </c:pt>
                <c:pt idx="6">
                  <c:v>0.76021508300818885</c:v>
                </c:pt>
                <c:pt idx="7">
                  <c:v>0.59644776218951467</c:v>
                </c:pt>
                <c:pt idx="8">
                  <c:v>0.41685010326314553</c:v>
                </c:pt>
                <c:pt idx="9">
                  <c:v>0.21901020878237118</c:v>
                </c:pt>
                <c:pt idx="10">
                  <c:v>0</c:v>
                </c:pt>
              </c:numCache>
            </c:numRef>
          </c:val>
          <c:smooth val="0"/>
          <c:extLst>
            <c:ext xmlns:c16="http://schemas.microsoft.com/office/drawing/2014/chart" uri="{C3380CC4-5D6E-409C-BE32-E72D297353CC}">
              <c16:uniqueId val="{00000011-7841-473C-9AB5-0A44988C720C}"/>
            </c:ext>
          </c:extLst>
        </c:ser>
        <c:ser>
          <c:idx val="0"/>
          <c:order val="8"/>
          <c:tx>
            <c:v>BW(fm)</c:v>
          </c:tx>
          <c:spPr>
            <a:ln w="28575" cap="rnd">
              <a:solidFill>
                <a:schemeClr val="accent1"/>
              </a:solidFill>
              <a:round/>
            </a:ln>
            <a:effectLst/>
          </c:spPr>
          <c:marker>
            <c:symbol val="none"/>
          </c:marker>
          <c:cat>
            <c:numRef>
              <c:f>'Trimmings price sensitivity'!$C$36:$M$36</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cat>
          <c:val>
            <c:numRef>
              <c:f>'Trimmings price sensitivity'!$C$37:$M$37</c:f>
              <c:numCache>
                <c:formatCode>General</c:formatCode>
                <c:ptCount val="11"/>
                <c:pt idx="0">
                  <c:v>2.1365001153933356</c:v>
                </c:pt>
                <c:pt idx="1">
                  <c:v>2.0187666741049566</c:v>
                </c:pt>
                <c:pt idx="2">
                  <c:v>1.8886708915660424</c:v>
                </c:pt>
                <c:pt idx="3">
                  <c:v>1.7441577560728483</c:v>
                </c:pt>
                <c:pt idx="4">
                  <c:v>1.5826900600264278</c:v>
                </c:pt>
                <c:pt idx="5">
                  <c:v>1.4010981560963545</c:v>
                </c:pt>
                <c:pt idx="6">
                  <c:v>1.1953698040081933</c:v>
                </c:pt>
                <c:pt idx="7">
                  <c:v>0.96035025372761307</c:v>
                </c:pt>
                <c:pt idx="8">
                  <c:v>0.68930440531927017</c:v>
                </c:pt>
                <c:pt idx="9">
                  <c:v>0.37326090483106811</c:v>
                </c:pt>
                <c:pt idx="10">
                  <c:v>0</c:v>
                </c:pt>
              </c:numCache>
            </c:numRef>
          </c:val>
          <c:smooth val="0"/>
          <c:extLst>
            <c:ext xmlns:c16="http://schemas.microsoft.com/office/drawing/2014/chart" uri="{C3380CC4-5D6E-409C-BE32-E72D297353CC}">
              <c16:uniqueId val="{00000001-7841-473C-9AB5-0A44988C720C}"/>
            </c:ext>
          </c:extLst>
        </c:ser>
        <c:dLbls>
          <c:showLegendKey val="0"/>
          <c:showVal val="0"/>
          <c:showCatName val="0"/>
          <c:showSerName val="0"/>
          <c:showPercent val="0"/>
          <c:showBubbleSize val="0"/>
        </c:dLbls>
        <c:smooth val="0"/>
        <c:axId val="1491152647"/>
        <c:axId val="1491153127"/>
      </c:lineChart>
      <c:catAx>
        <c:axId val="1491152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53127"/>
        <c:crosses val="autoZero"/>
        <c:auto val="1"/>
        <c:lblAlgn val="ctr"/>
        <c:lblOffset val="100"/>
        <c:noMultiLvlLbl val="0"/>
      </c:catAx>
      <c:valAx>
        <c:axId val="1491153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52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457200</xdr:colOff>
      <xdr:row>8</xdr:row>
      <xdr:rowOff>38100</xdr:rowOff>
    </xdr:from>
    <xdr:to>
      <xdr:col>20</xdr:col>
      <xdr:colOff>152400</xdr:colOff>
      <xdr:row>21</xdr:row>
      <xdr:rowOff>180975</xdr:rowOff>
    </xdr:to>
    <xdr:graphicFrame macro="">
      <xdr:nvGraphicFramePr>
        <xdr:cNvPr id="2" name="Chart 1">
          <a:extLst>
            <a:ext uri="{FF2B5EF4-FFF2-40B4-BE49-F238E27FC236}">
              <a16:creationId xmlns:a16="http://schemas.microsoft.com/office/drawing/2014/main" id="{BBACD04D-28C5-C52B-7D64-81A6FFF040FC}"/>
            </a:ext>
            <a:ext uri="{147F2762-F138-4A5C-976F-8EAC2B608ADB}">
              <a16:predDERef xmlns:a16="http://schemas.microsoft.com/office/drawing/2014/main" pred="{936964EC-F6FE-159A-33D7-DBB2E856D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ichard Cottrell" id="{94FCA839-C81B-49D3-8977-B073215A92CC}" userId="S::richardstuart.cottrell@utas.edu.au::b0c35851-29f4-439d-877a-e77cf24821b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3-06-06T05:38:25.45" personId="{94FCA839-C81B-49D3-8977-B073215A92CC}" id="{2E173F60-4AD8-43A2-B3C1-4C1CB9232F94}">
    <text>This is the embodied fish from co and byproducts</text>
  </threadedComment>
  <threadedComment ref="R1" dT="2023-06-06T05:39:01.98" personId="{94FCA839-C81B-49D3-8977-B073215A92CC}" id="{73BAED9D-0BD8-406E-92F7-FBF72D22D51F}">
    <text>This is the embodied by product from by products (fmfo)</text>
  </threadedComment>
  <threadedComment ref="O2" dT="2023-06-16T02:38:47.39" personId="{94FCA839-C81B-49D3-8977-B073215A92CC}" id="{FD5177C7-AC96-403F-8707-E4589BC69CA2}">
    <text>http://www.regional.org.au/au/asssi/supersoil2004/s7/oral/1662_knuckeyi.htm#:~:text=Some%20of%20this%20fish%20waste,cost%20to%20the%20seafood%20industry.</text>
  </threadedComment>
  <threadedComment ref="O2" dT="2023-08-14T02:51:33.99" personId="{94FCA839-C81B-49D3-8977-B073215A92CC}" id="{6B881E0E-7974-41F9-8C0F-1B56A5A60594}" parentId="{FD5177C7-AC96-403F-8707-E4589BC69CA2}">
    <text>Have used 100 USD as a nominal value which is approximate to the value published for Australia</text>
  </threadedComment>
  <threadedComment ref="A58" dT="2023-08-14T02:46:38.50" personId="{94FCA839-C81B-49D3-8977-B073215A92CC}" id="{CDBAB1A3-EF20-4A33-AFF0-A4A408D73543}">
    <text xml:space="preserve">Oil content tends to predict energy density 
http://osu-wams-blogs-uploads.s3.amazonaws.com/blogs.dir/2849/files/2017/03/Anthony_et_al_2000.pdf 
</text>
    <extLst>
      <x:ext xmlns:xltc2="http://schemas.microsoft.com/office/spreadsheetml/2020/threadedcomments2" uri="{F7C98A9C-CBB3-438F-8F68-D28B6AF4A901}">
        <xltc2:checksum>469758318</xltc2:checksum>
        <xltc2:hyperlink startIndex="45" length="98" url="http://osu-wams-blogs-uploads.s3.amazonaws.com/blogs.dir/2849/files/2017/03/Anthony_et_al_2000.pdf"/>
      </x:ext>
    </extLst>
  </threadedComment>
  <threadedComment ref="A58" dT="2023-08-14T23:09:21.27" personId="{94FCA839-C81B-49D3-8977-B073215A92CC}" id="{B9B79931-FD1D-4C24-AC98-EBB64D80E4A4}" parentId="{CDBAB1A3-EF20-4A33-AFF0-A4A408D73543}">
    <text xml:space="preserve">Thus using a value for more oily fish and less oily fish
</text>
  </threadedComment>
</ThreadedComments>
</file>

<file path=xl/threadedComments/threadedComment2.xml><?xml version="1.0" encoding="utf-8"?>
<ThreadedComments xmlns="http://schemas.microsoft.com/office/spreadsheetml/2018/threadedcomments" xmlns:x="http://schemas.openxmlformats.org/spreadsheetml/2006/main">
  <threadedComment ref="I2" dT="2023-06-16T02:38:47.39" personId="{94FCA839-C81B-49D3-8977-B073215A92CC}" id="{25744E4A-321E-45D9-B4B8-455B2E7254B9}">
    <text>http://www.regional.org.au/au/asssi/supersoil2004/s7/oral/1662_knuckeyi.htm#:~:text=Some%20of%20this%20fish%20waste,cost%20to%20the%20seafood%20industry.</text>
  </threadedComment>
  <threadedComment ref="I2" dT="2023-08-14T02:51:33.99" personId="{94FCA839-C81B-49D3-8977-B073215A92CC}" id="{95D00105-1223-48B8-8019-6831A50F0967}" parentId="{25744E4A-321E-45D9-B4B8-455B2E7254B9}">
    <text>Have used 100 USD as a nominal value which is approximate to the value published for Australia</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3-06-06T05:28:36.01" personId="{94FCA839-C81B-49D3-8977-B073215A92CC}" id="{CD6AB80B-34EE-429A-B2DF-FC8797F3F945}">
    <text xml:space="preserve">Gross energy of edible portion is impossible to find per species but given that fillet can yield both FM and FO if processed, the weighted mean of fm and fo energy content is used using the species yields (adjusted to dry matter) as weights </text>
  </threadedComment>
  <threadedComment ref="J1" dT="2023-08-14T01:08:10.74" personId="{94FCA839-C81B-49D3-8977-B073215A92CC}" id="{F76D6BEB-2A2C-4617-A8A4-1A422ACAAEE2}" parentId="{CD6AB80B-34EE-429A-B2DF-FC8797F3F945}">
    <text>https://www.sciencedirect.com/science/article/pii/S0044848621007468#s0055 - fillet is 42% of retained energy in catfish</text>
    <extLst>
      <x:ext xmlns:xltc2="http://schemas.microsoft.com/office/spreadsheetml/2020/threadedcomments2" uri="{F7C98A9C-CBB3-438F-8F68-D28B6AF4A901}">
        <xltc2:checksum>2183446357</xltc2:checksum>
        <xltc2:hyperlink startIndex="0" length="73" url="https://www.sciencedirect.com/science/article/pii/S0044848621007468#s0055"/>
      </x:ext>
    </extLst>
  </threadedComment>
  <threadedComment ref="J1" dT="2023-08-14T01:18:56.37" personId="{94FCA839-C81B-49D3-8977-B073215A92CC}" id="{88F714E9-2470-4785-AF25-93CEB61F0394}" parentId="{CD6AB80B-34EE-429A-B2DF-FC8797F3F945}">
    <text xml:space="preserve">Nearly 3 times more energy per unit in the viscera of Tilapia
</text>
  </threadedComment>
  <threadedComment ref="J1" dT="2023-08-14T01:19:04.07" personId="{94FCA839-C81B-49D3-8977-B073215A92CC}" id="{7A4E6D55-6C86-4124-A976-D873079F6D41}" parentId="{CD6AB80B-34EE-429A-B2DF-FC8797F3F945}">
    <text xml:space="preserve">https://edepot.wur.nl/424414
</text>
    <extLst>
      <x:ext xmlns:xltc2="http://schemas.microsoft.com/office/spreadsheetml/2020/threadedcomments2" uri="{F7C98A9C-CBB3-438F-8F68-D28B6AF4A901}">
        <xltc2:checksum>2010300269</xltc2:checksum>
        <xltc2:hyperlink startIndex="0" length="28" url="https://edepot.wur.nl/424414"/>
      </x:ext>
    </extLst>
  </threadedComment>
  <threadedComment ref="J1" dT="2023-08-14T01:42:06.82" personId="{94FCA839-C81B-49D3-8977-B073215A92CC}" id="{6F79A2BC-8945-42D9-9336-7B2ADBD06F7B}" parentId="{CD6AB80B-34EE-429A-B2DF-FC8797F3F945}">
    <text xml:space="preserve">Dry mass lipid content tends to predict energy density - http://osu-wams-blogs-uploads.s3.amazonaws.com/blogs.dir/2849/files/2017/03/Anthony_et_al_2000.pdf 
</text>
    <extLst>
      <x:ext xmlns:xltc2="http://schemas.microsoft.com/office/spreadsheetml/2020/threadedcomments2" uri="{F7C98A9C-CBB3-438F-8F68-D28B6AF4A901}">
        <xltc2:checksum>2906983325</xltc2:checksum>
        <xltc2:hyperlink startIndex="57" length="98" url="http://osu-wams-blogs-uploads.s3.amazonaws.com/blogs.dir/2849/files/2017/03/Anthony_et_al_2000.pdf"/>
      </x:ext>
    </extLst>
  </threadedComment>
  <threadedComment ref="M1" dT="2023-06-06T05:39:01.98" personId="{94FCA839-C81B-49D3-8977-B073215A92CC}" id="{2BF6717A-EC7A-44D8-876D-5C52D206FEFB}">
    <text>This is the embodied by product from by products (fmfo)</text>
  </threadedComment>
  <threadedComment ref="K2" dT="2023-06-16T02:38:47.39" personId="{94FCA839-C81B-49D3-8977-B073215A92CC}" id="{283A285B-4D2E-483F-908D-DB155105EBA3}">
    <text>http://www.regional.org.au/au/asssi/supersoil2004/s7/oral/1662_knuckeyi.htm#:~:text=Some%20of%20this%20fish%20waste,cost%20to%20the%20seafood%20industry.</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fao.org/3/T0219E/T0219E03.htm" TargetMode="External"/><Relationship Id="rId21" Type="http://schemas.openxmlformats.org/officeDocument/2006/relationships/hyperlink" Target="https://www.fao.org/3/T0219E/T0219E05.htm" TargetMode="External"/><Relationship Id="rId42" Type="http://schemas.openxmlformats.org/officeDocument/2006/relationships/hyperlink" Target="https://www.fao.org/3/T0219E/T0219E03.htm" TargetMode="External"/><Relationship Id="rId47" Type="http://schemas.openxmlformats.org/officeDocument/2006/relationships/hyperlink" Target="https://www.frontiersin.org/articles/10.3389/fmars.2017.00363/full" TargetMode="External"/><Relationship Id="rId63" Type="http://schemas.openxmlformats.org/officeDocument/2006/relationships/hyperlink" Target="https://www.frontiersin.org/articles/10.3389/fmars.2017.00363/full" TargetMode="External"/><Relationship Id="rId68" Type="http://schemas.openxmlformats.org/officeDocument/2006/relationships/hyperlink" Target="https://www.frontiersin.org/articles/10.3389/fmars.2017.00363/full" TargetMode="External"/><Relationship Id="rId84" Type="http://schemas.openxmlformats.org/officeDocument/2006/relationships/hyperlink" Target="https://www.oecd-ilibrary.org/sites/19428846-en/1/3/8/index.html?itemId=/content/publication/19428846-en&amp;_csp_=78a77099f3b0c6eae1de8bfe93d3b09e&amp;itemIGO=oecd&amp;itemContentType=book" TargetMode="External"/><Relationship Id="rId89" Type="http://schemas.openxmlformats.org/officeDocument/2006/relationships/hyperlink" Target="https://www.oecd-ilibrary.org/sites/19428846-en/1/3/8/index.html?itemId=/content/publication/19428846-en&amp;_csp_=78a77099f3b0c6eae1de8bfe93d3b09e&amp;itemIGO=oecd&amp;itemContentType=book" TargetMode="External"/><Relationship Id="rId16" Type="http://schemas.openxmlformats.org/officeDocument/2006/relationships/hyperlink" Target="https://www.grocentre.is/static/gro/publication/329/document/britney16prf.pdf" TargetMode="External"/><Relationship Id="rId107" Type="http://schemas.openxmlformats.org/officeDocument/2006/relationships/vmlDrawing" Target="../drawings/vmlDrawing1.vml"/><Relationship Id="rId11" Type="http://schemas.openxmlformats.org/officeDocument/2006/relationships/hyperlink" Target="https://www.fao.org/3/T0219E/T0219E03.htm" TargetMode="External"/><Relationship Id="rId32" Type="http://schemas.openxmlformats.org/officeDocument/2006/relationships/hyperlink" Target="https://www.researchgate.net/publication/276120546_COMPARATIVE_STUDY_OF_SALTING_PROCEDURES_FOR_SALTED_DRIED_HERRING_Clupea_harengus" TargetMode="External"/><Relationship Id="rId37" Type="http://schemas.openxmlformats.org/officeDocument/2006/relationships/hyperlink" Target="https://cdnsciencepub.com/doi/pdf/10.1139/f75-097" TargetMode="External"/><Relationship Id="rId53" Type="http://schemas.openxmlformats.org/officeDocument/2006/relationships/hyperlink" Target="https://www.frontiersin.org/articles/10.3389/fmars.2017.00363/full" TargetMode="External"/><Relationship Id="rId58" Type="http://schemas.openxmlformats.org/officeDocument/2006/relationships/hyperlink" Target="https://www.frontiersin.org/articles/10.3389/fmars.2017.00363/full" TargetMode="External"/><Relationship Id="rId74" Type="http://schemas.openxmlformats.org/officeDocument/2006/relationships/hyperlink" Target="https://www.frontiersin.org/articles/10.3389/fmars.2017.00363/full" TargetMode="External"/><Relationship Id="rId79" Type="http://schemas.openxmlformats.org/officeDocument/2006/relationships/hyperlink" Target="https://www.oecd-ilibrary.org/sites/19428846-en/1/3/8/index.html?itemId=/content/publication/19428846-en&amp;_csp_=78a77099f3b0c6eae1de8bfe93d3b09e&amp;itemIGO=oecd&amp;itemContentType=book" TargetMode="External"/><Relationship Id="rId102" Type="http://schemas.openxmlformats.org/officeDocument/2006/relationships/hyperlink" Target="https://www.oecd-ilibrary.org/sites/19428846-en/1/3/8/index.html?itemId=/content/publication/19428846-en&amp;_csp_=78a77099f3b0c6eae1de8bfe93d3b09e&amp;itemIGO=oecd&amp;itemContentType=book" TargetMode="External"/><Relationship Id="rId5" Type="http://schemas.openxmlformats.org/officeDocument/2006/relationships/hyperlink" Target="https://www.fao.org/3/T0219E/T0219E05.htm" TargetMode="External"/><Relationship Id="rId90" Type="http://schemas.openxmlformats.org/officeDocument/2006/relationships/hyperlink" Target="https://www.oecd-ilibrary.org/sites/19428846-en/1/3/8/index.html?itemId=/content/publication/19428846-en&amp;_csp_=78a77099f3b0c6eae1de8bfe93d3b09e&amp;itemIGO=oecd&amp;itemContentType=book" TargetMode="External"/><Relationship Id="rId95" Type="http://schemas.openxmlformats.org/officeDocument/2006/relationships/hyperlink" Target="https://www.oecd-ilibrary.org/sites/19428846-en/1/3/8/index.html?itemId=/content/publication/19428846-en&amp;_csp_=78a77099f3b0c6eae1de8bfe93d3b09e&amp;itemIGO=oecd&amp;itemContentType=book" TargetMode="External"/><Relationship Id="rId22" Type="http://schemas.openxmlformats.org/officeDocument/2006/relationships/hyperlink" Target="https://www.fao.org/3/T0219E/T0219E03.htm" TargetMode="External"/><Relationship Id="rId27" Type="http://schemas.openxmlformats.org/officeDocument/2006/relationships/hyperlink" Target="https://www.fao.org/3/T0219E/T0219E05.htm" TargetMode="External"/><Relationship Id="rId43" Type="http://schemas.openxmlformats.org/officeDocument/2006/relationships/hyperlink" Target="https://www.fao.org/3/T0219E/T0219E03.htm" TargetMode="External"/><Relationship Id="rId48" Type="http://schemas.openxmlformats.org/officeDocument/2006/relationships/hyperlink" Target="https://www.frontiersin.org/articles/10.3389/fmars.2017.00363/full" TargetMode="External"/><Relationship Id="rId64" Type="http://schemas.openxmlformats.org/officeDocument/2006/relationships/hyperlink" Target="https://www.frontiersin.org/articles/10.3389/fmars.2017.00363/full" TargetMode="External"/><Relationship Id="rId69" Type="http://schemas.openxmlformats.org/officeDocument/2006/relationships/hyperlink" Target="https://www.frontiersin.org/articles/10.3389/fmars.2017.00363/full" TargetMode="External"/><Relationship Id="rId80" Type="http://schemas.openxmlformats.org/officeDocument/2006/relationships/hyperlink" Target="https://www.oecd-ilibrary.org/sites/19428846-en/1/3/8/index.html?itemId=/content/publication/19428846-en&amp;_csp_=78a77099f3b0c6eae1de8bfe93d3b09e&amp;itemIGO=oecd&amp;itemContentType=book" TargetMode="External"/><Relationship Id="rId85" Type="http://schemas.openxmlformats.org/officeDocument/2006/relationships/hyperlink" Target="https://www.oecd-ilibrary.org/sites/19428846-en/1/3/8/index.html?itemId=/content/publication/19428846-en&amp;_csp_=78a77099f3b0c6eae1de8bfe93d3b09e&amp;itemIGO=oecd&amp;itemContentType=book" TargetMode="External"/><Relationship Id="rId12" Type="http://schemas.openxmlformats.org/officeDocument/2006/relationships/hyperlink" Target="https://www.fao.org/3/T0219E/T0219E04.htm" TargetMode="External"/><Relationship Id="rId17" Type="http://schemas.openxmlformats.org/officeDocument/2006/relationships/hyperlink" Target="https://www.grocentre.is/static/gro/publication/329/document/britney16prf.pdf" TargetMode="External"/><Relationship Id="rId33" Type="http://schemas.openxmlformats.org/officeDocument/2006/relationships/hyperlink" Target="http://dr.lib.sjp.ac.lk/bitstream/handle/123456789/1012/Nutritional%20evaluation%20%20in%20five%20species%20of%20tuna.pdf?sequence=1&amp;isAllowed=y" TargetMode="External"/><Relationship Id="rId38" Type="http://schemas.openxmlformats.org/officeDocument/2006/relationships/hyperlink" Target="https://www.sciencedirect.com/science/article/pii/S1878450X20301542" TargetMode="External"/><Relationship Id="rId59" Type="http://schemas.openxmlformats.org/officeDocument/2006/relationships/hyperlink" Target="https://www.frontiersin.org/articles/10.3389/fmars.2017.00363/full" TargetMode="External"/><Relationship Id="rId103" Type="http://schemas.openxmlformats.org/officeDocument/2006/relationships/hyperlink" Target="https://www.oecd-ilibrary.org/sites/19428846-en/1/3/8/index.html?itemId=/content/publication/19428846-en&amp;_csp_=78a77099f3b0c6eae1de8bfe93d3b09e&amp;itemIGO=oecd&amp;itemContentType=book" TargetMode="External"/><Relationship Id="rId108" Type="http://schemas.openxmlformats.org/officeDocument/2006/relationships/comments" Target="../comments1.xml"/><Relationship Id="rId54" Type="http://schemas.openxmlformats.org/officeDocument/2006/relationships/hyperlink" Target="https://www.frontiersin.org/articles/10.3389/fmars.2017.00363/full" TargetMode="External"/><Relationship Id="rId70" Type="http://schemas.openxmlformats.org/officeDocument/2006/relationships/hyperlink" Target="https://www.frontiersin.org/articles/10.3389/fmars.2017.00363/full" TargetMode="External"/><Relationship Id="rId75" Type="http://schemas.openxmlformats.org/officeDocument/2006/relationships/hyperlink" Target="https://www.frontiersin.org/articles/10.3389/fmars.2017.00363/full" TargetMode="External"/><Relationship Id="rId91" Type="http://schemas.openxmlformats.org/officeDocument/2006/relationships/hyperlink" Target="https://www.oecd-ilibrary.org/sites/19428846-en/1/3/8/index.html?itemId=/content/publication/19428846-en&amp;_csp_=78a77099f3b0c6eae1de8bfe93d3b09e&amp;itemIGO=oecd&amp;itemContentType=book" TargetMode="External"/><Relationship Id="rId96" Type="http://schemas.openxmlformats.org/officeDocument/2006/relationships/hyperlink" Target="https://www.oecd-ilibrary.org/sites/19428846-en/1/3/8/index.html?itemId=/content/publication/19428846-en&amp;_csp_=78a77099f3b0c6eae1de8bfe93d3b09e&amp;itemIGO=oecd&amp;itemContentType=book" TargetMode="External"/><Relationship Id="rId1" Type="http://schemas.openxmlformats.org/officeDocument/2006/relationships/hyperlink" Target="https://www.fao.org/3/T0219E/T0219E04.htm" TargetMode="External"/><Relationship Id="rId6" Type="http://schemas.openxmlformats.org/officeDocument/2006/relationships/hyperlink" Target="https://www.fao.org/3/T0219E/T0219E05.htm" TargetMode="External"/><Relationship Id="rId15" Type="http://schemas.openxmlformats.org/officeDocument/2006/relationships/hyperlink" Target="https://www.grocentre.is/static/gro/publication/329/document/britney16prf.pdf" TargetMode="External"/><Relationship Id="rId23" Type="http://schemas.openxmlformats.org/officeDocument/2006/relationships/hyperlink" Target="https://www.fao.org/3/T0219E/T0219E03.htm" TargetMode="External"/><Relationship Id="rId28" Type="http://schemas.openxmlformats.org/officeDocument/2006/relationships/hyperlink" Target="https://www.fao.org/3/T0219E/T0219E04.htm" TargetMode="External"/><Relationship Id="rId36" Type="http://schemas.openxmlformats.org/officeDocument/2006/relationships/hyperlink" Target="https://www.sciencedirect.com/science/article/pii/S0308814604007769" TargetMode="External"/><Relationship Id="rId49" Type="http://schemas.openxmlformats.org/officeDocument/2006/relationships/hyperlink" Target="https://www.frontiersin.org/articles/10.3389/fmars.2017.00363/full" TargetMode="External"/><Relationship Id="rId57" Type="http://schemas.openxmlformats.org/officeDocument/2006/relationships/hyperlink" Target="https://www.frontiersin.org/articles/10.3389/fmars.2017.00363/full" TargetMode="External"/><Relationship Id="rId106" Type="http://schemas.openxmlformats.org/officeDocument/2006/relationships/hyperlink" Target="https://www.oecd-ilibrary.org/sites/19428846-en/1/3/8/index.html?itemId=/content/publication/19428846-en&amp;_csp_=78a77099f3b0c6eae1de8bfe93d3b09e&amp;itemIGO=oecd&amp;itemContentType=book" TargetMode="External"/><Relationship Id="rId10" Type="http://schemas.openxmlformats.org/officeDocument/2006/relationships/hyperlink" Target="https://www.fao.org/3/T0219E/T0219E03.htm" TargetMode="External"/><Relationship Id="rId31" Type="http://schemas.openxmlformats.org/officeDocument/2006/relationships/hyperlink" Target="https://www.feedtables.com/content/fish-oil-menhaden" TargetMode="External"/><Relationship Id="rId44" Type="http://schemas.openxmlformats.org/officeDocument/2006/relationships/hyperlink" Target="https://www.fao.org/3/T0219E/T0219E03.htm" TargetMode="External"/><Relationship Id="rId52" Type="http://schemas.openxmlformats.org/officeDocument/2006/relationships/hyperlink" Target="https://www.frontiersin.org/articles/10.3389/fmars.2017.00363/full" TargetMode="External"/><Relationship Id="rId60" Type="http://schemas.openxmlformats.org/officeDocument/2006/relationships/hyperlink" Target="https://www.frontiersin.org/articles/10.3389/fmars.2017.00363/full" TargetMode="External"/><Relationship Id="rId65" Type="http://schemas.openxmlformats.org/officeDocument/2006/relationships/hyperlink" Target="https://www.frontiersin.org/articles/10.3389/fmars.2017.00363/full" TargetMode="External"/><Relationship Id="rId73" Type="http://schemas.openxmlformats.org/officeDocument/2006/relationships/hyperlink" Target="https://www.frontiersin.org/articles/10.3389/fmars.2017.00363/full" TargetMode="External"/><Relationship Id="rId78" Type="http://schemas.openxmlformats.org/officeDocument/2006/relationships/hyperlink" Target="https://www.oecd-ilibrary.org/sites/19428846-en/1/3/8/index.html?itemId=/content/publication/19428846-en&amp;_csp_=78a77099f3b0c6eae1de8bfe93d3b09e&amp;itemIGO=oecd&amp;itemContentType=book" TargetMode="External"/><Relationship Id="rId81" Type="http://schemas.openxmlformats.org/officeDocument/2006/relationships/hyperlink" Target="https://www.oecd-ilibrary.org/sites/19428846-en/1/3/8/index.html?itemId=/content/publication/19428846-en&amp;_csp_=78a77099f3b0c6eae1de8bfe93d3b09e&amp;itemIGO=oecd&amp;itemContentType=book" TargetMode="External"/><Relationship Id="rId86" Type="http://schemas.openxmlformats.org/officeDocument/2006/relationships/hyperlink" Target="https://www.oecd-ilibrary.org/sites/19428846-en/1/3/8/index.html?itemId=/content/publication/19428846-en&amp;_csp_=78a77099f3b0c6eae1de8bfe93d3b09e&amp;itemIGO=oecd&amp;itemContentType=book" TargetMode="External"/><Relationship Id="rId94" Type="http://schemas.openxmlformats.org/officeDocument/2006/relationships/hyperlink" Target="https://www.oecd-ilibrary.org/sites/19428846-en/1/3/8/index.html?itemId=/content/publication/19428846-en&amp;_csp_=78a77099f3b0c6eae1de8bfe93d3b09e&amp;itemIGO=oecd&amp;itemContentType=book" TargetMode="External"/><Relationship Id="rId99" Type="http://schemas.openxmlformats.org/officeDocument/2006/relationships/hyperlink" Target="https://www.oecd-ilibrary.org/sites/19428846-en/1/3/8/index.html?itemId=/content/publication/19428846-en&amp;_csp_=78a77099f3b0c6eae1de8bfe93d3b09e&amp;itemIGO=oecd&amp;itemContentType=book" TargetMode="External"/><Relationship Id="rId101" Type="http://schemas.openxmlformats.org/officeDocument/2006/relationships/hyperlink" Target="https://www.oecd-ilibrary.org/sites/19428846-en/1/3/8/index.html?itemId=/content/publication/19428846-en&amp;_csp_=78a77099f3b0c6eae1de8bfe93d3b09e&amp;itemIGO=oecd&amp;itemContentType=book" TargetMode="External"/><Relationship Id="rId4" Type="http://schemas.openxmlformats.org/officeDocument/2006/relationships/hyperlink" Target="https://www.fao.org/3/T0219E/T0219E03.htm" TargetMode="External"/><Relationship Id="rId9" Type="http://schemas.openxmlformats.org/officeDocument/2006/relationships/hyperlink" Target="https://www.fao.org/3/T0219E/T0219E03.htm" TargetMode="External"/><Relationship Id="rId13" Type="http://schemas.openxmlformats.org/officeDocument/2006/relationships/hyperlink" Target="https://www.grocentre.is/static/gro/publication/329/document/britney16prf.pdf" TargetMode="External"/><Relationship Id="rId18" Type="http://schemas.openxmlformats.org/officeDocument/2006/relationships/hyperlink" Target="https://www.grocentre.is/static/gro/publication/329/document/britney16prf.pdf" TargetMode="External"/><Relationship Id="rId39" Type="http://schemas.openxmlformats.org/officeDocument/2006/relationships/hyperlink" Target="https://ift.onlinelibrary.wiley.com/doi/epdf/10.1111/j.1365-2621.1989.tb05936.x" TargetMode="External"/><Relationship Id="rId109" Type="http://schemas.microsoft.com/office/2017/10/relationships/threadedComment" Target="../threadedComments/threadedComment1.xml"/><Relationship Id="rId34" Type="http://schemas.openxmlformats.org/officeDocument/2006/relationships/hyperlink" Target="https://ift.onlinelibrary.wiley.com/doi/epdf/10.1111/j.1365-2621.1986.tb11121.x" TargetMode="External"/><Relationship Id="rId50" Type="http://schemas.openxmlformats.org/officeDocument/2006/relationships/hyperlink" Target="https://www.frontiersin.org/articles/10.3389/fmars.2017.00363/full" TargetMode="External"/><Relationship Id="rId55" Type="http://schemas.openxmlformats.org/officeDocument/2006/relationships/hyperlink" Target="https://www.frontiersin.org/articles/10.3389/fmars.2017.00363/full" TargetMode="External"/><Relationship Id="rId76" Type="http://schemas.openxmlformats.org/officeDocument/2006/relationships/hyperlink" Target="https://www.frontiersin.org/articles/10.3389/fmars.2017.00363/full" TargetMode="External"/><Relationship Id="rId97" Type="http://schemas.openxmlformats.org/officeDocument/2006/relationships/hyperlink" Target="https://www.oecd-ilibrary.org/sites/19428846-en/1/3/8/index.html?itemId=/content/publication/19428846-en&amp;_csp_=78a77099f3b0c6eae1de8bfe93d3b09e&amp;itemIGO=oecd&amp;itemContentType=book" TargetMode="External"/><Relationship Id="rId104" Type="http://schemas.openxmlformats.org/officeDocument/2006/relationships/hyperlink" Target="https://www.oecd-ilibrary.org/sites/19428846-en/1/3/8/index.html?itemId=/content/publication/19428846-en&amp;_csp_=78a77099f3b0c6eae1de8bfe93d3b09e&amp;itemIGO=oecd&amp;itemContentType=book" TargetMode="External"/><Relationship Id="rId7" Type="http://schemas.openxmlformats.org/officeDocument/2006/relationships/hyperlink" Target="https://www.fao.org/3/T0219E/T0219E03.htm" TargetMode="External"/><Relationship Id="rId71" Type="http://schemas.openxmlformats.org/officeDocument/2006/relationships/hyperlink" Target="https://www.frontiersin.org/articles/10.3389/fmars.2017.00363/full" TargetMode="External"/><Relationship Id="rId92" Type="http://schemas.openxmlformats.org/officeDocument/2006/relationships/hyperlink" Target="https://www.oecd-ilibrary.org/sites/19428846-en/1/3/8/index.html?itemId=/content/publication/19428846-en&amp;_csp_=78a77099f3b0c6eae1de8bfe93d3b09e&amp;itemIGO=oecd&amp;itemContentType=book" TargetMode="External"/><Relationship Id="rId2" Type="http://schemas.openxmlformats.org/officeDocument/2006/relationships/hyperlink" Target="https://www.fao.org/3/T0219E/T0219E05.htm" TargetMode="External"/><Relationship Id="rId29" Type="http://schemas.openxmlformats.org/officeDocument/2006/relationships/hyperlink" Target="https://www.fao.org/3/T0219E/T0219E03.htm" TargetMode="External"/><Relationship Id="rId24" Type="http://schemas.openxmlformats.org/officeDocument/2006/relationships/hyperlink" Target="https://www.fao.org/3/T0219E/T0219E05.htm" TargetMode="External"/><Relationship Id="rId40" Type="http://schemas.openxmlformats.org/officeDocument/2006/relationships/hyperlink" Target="https://www.tandfonline.com/doi/full/10.1080/10498850.2012.762705" TargetMode="External"/><Relationship Id="rId45" Type="http://schemas.openxmlformats.org/officeDocument/2006/relationships/hyperlink" Target="https://www.sciencedirect.com/science/article/pii/S0044848621007468" TargetMode="External"/><Relationship Id="rId66" Type="http://schemas.openxmlformats.org/officeDocument/2006/relationships/hyperlink" Target="https://www.frontiersin.org/articles/10.3389/fmars.2017.00363/full" TargetMode="External"/><Relationship Id="rId87" Type="http://schemas.openxmlformats.org/officeDocument/2006/relationships/hyperlink" Target="https://www.oecd-ilibrary.org/sites/19428846-en/1/3/8/index.html?itemId=/content/publication/19428846-en&amp;_csp_=78a77099f3b0c6eae1de8bfe93d3b09e&amp;itemIGO=oecd&amp;itemContentType=book" TargetMode="External"/><Relationship Id="rId61" Type="http://schemas.openxmlformats.org/officeDocument/2006/relationships/hyperlink" Target="https://www.frontiersin.org/articles/10.3389/fmars.2017.00363/full" TargetMode="External"/><Relationship Id="rId82" Type="http://schemas.openxmlformats.org/officeDocument/2006/relationships/hyperlink" Target="https://www.oecd-ilibrary.org/sites/19428846-en/1/3/8/index.html?itemId=/content/publication/19428846-en&amp;_csp_=78a77099f3b0c6eae1de8bfe93d3b09e&amp;itemIGO=oecd&amp;itemContentType=book" TargetMode="External"/><Relationship Id="rId19" Type="http://schemas.openxmlformats.org/officeDocument/2006/relationships/hyperlink" Target="https://www.fao.org/3/T0219E/T0219E03.htm" TargetMode="External"/><Relationship Id="rId14" Type="http://schemas.openxmlformats.org/officeDocument/2006/relationships/hyperlink" Target="https://www.grocentre.is/static/gro/publication/329/document/britney16prf.pdf" TargetMode="External"/><Relationship Id="rId30" Type="http://schemas.openxmlformats.org/officeDocument/2006/relationships/hyperlink" Target="https://www.fao.org/3/T0219E/T0219E03.htm" TargetMode="External"/><Relationship Id="rId35" Type="http://schemas.openxmlformats.org/officeDocument/2006/relationships/hyperlink" Target="https://link.springer.com/article/10.1007/s13197-016-2462-y" TargetMode="External"/><Relationship Id="rId56" Type="http://schemas.openxmlformats.org/officeDocument/2006/relationships/hyperlink" Target="https://www.frontiersin.org/articles/10.3389/fmars.2017.00363/full" TargetMode="External"/><Relationship Id="rId77" Type="http://schemas.openxmlformats.org/officeDocument/2006/relationships/hyperlink" Target="https://www.oecd-ilibrary.org/sites/19428846-en/1/3/8/index.html?itemId=/content/publication/19428846-en&amp;_csp_=78a77099f3b0c6eae1de8bfe93d3b09e&amp;itemIGO=oecd&amp;itemContentType=book" TargetMode="External"/><Relationship Id="rId100" Type="http://schemas.openxmlformats.org/officeDocument/2006/relationships/hyperlink" Target="https://www.oecd-ilibrary.org/sites/19428846-en/1/3/8/index.html?itemId=/content/publication/19428846-en&amp;_csp_=78a77099f3b0c6eae1de8bfe93d3b09e&amp;itemIGO=oecd&amp;itemContentType=book" TargetMode="External"/><Relationship Id="rId105" Type="http://schemas.openxmlformats.org/officeDocument/2006/relationships/hyperlink" Target="https://www.oecd-ilibrary.org/sites/19428846-en/1/3/8/index.html?itemId=/content/publication/19428846-en&amp;_csp_=78a77099f3b0c6eae1de8bfe93d3b09e&amp;itemIGO=oecd&amp;itemContentType=book" TargetMode="External"/><Relationship Id="rId8" Type="http://schemas.openxmlformats.org/officeDocument/2006/relationships/hyperlink" Target="https://www.fao.org/3/T0219E/T0219E03.htm" TargetMode="External"/><Relationship Id="rId51" Type="http://schemas.openxmlformats.org/officeDocument/2006/relationships/hyperlink" Target="https://www.frontiersin.org/articles/10.3389/fmars.2017.00363/full" TargetMode="External"/><Relationship Id="rId72" Type="http://schemas.openxmlformats.org/officeDocument/2006/relationships/hyperlink" Target="https://www.frontiersin.org/articles/10.3389/fmars.2017.00363/full" TargetMode="External"/><Relationship Id="rId93" Type="http://schemas.openxmlformats.org/officeDocument/2006/relationships/hyperlink" Target="https://www.oecd-ilibrary.org/sites/19428846-en/1/3/8/index.html?itemId=/content/publication/19428846-en&amp;_csp_=78a77099f3b0c6eae1de8bfe93d3b09e&amp;itemIGO=oecd&amp;itemContentType=book" TargetMode="External"/><Relationship Id="rId98" Type="http://schemas.openxmlformats.org/officeDocument/2006/relationships/hyperlink" Target="https://www.oecd-ilibrary.org/sites/19428846-en/1/3/8/index.html?itemId=/content/publication/19428846-en&amp;_csp_=78a77099f3b0c6eae1de8bfe93d3b09e&amp;itemIGO=oecd&amp;itemContentType=book" TargetMode="External"/><Relationship Id="rId3" Type="http://schemas.openxmlformats.org/officeDocument/2006/relationships/hyperlink" Target="https://www.fao.org/3/T0219E/T0219E03.htm" TargetMode="External"/><Relationship Id="rId25" Type="http://schemas.openxmlformats.org/officeDocument/2006/relationships/hyperlink" Target="https://www.fao.org/3/T0219E/T0219E03.htm" TargetMode="External"/><Relationship Id="rId46" Type="http://schemas.openxmlformats.org/officeDocument/2006/relationships/hyperlink" Target="https://www.sciencedirect.com/science/article/pii/S0044848615300624?via%3Dihub" TargetMode="External"/><Relationship Id="rId67" Type="http://schemas.openxmlformats.org/officeDocument/2006/relationships/hyperlink" Target="https://www.frontiersin.org/articles/10.3389/fmars.2017.00363/full" TargetMode="External"/><Relationship Id="rId20" Type="http://schemas.openxmlformats.org/officeDocument/2006/relationships/hyperlink" Target="https://www.fao.org/3/T0219E/T0219E04.htm" TargetMode="External"/><Relationship Id="rId41" Type="http://schemas.openxmlformats.org/officeDocument/2006/relationships/hyperlink" Target="http://dr.lib.sjp.ac.lk/bitstream/handle/123456789/1012/Nutritional%20evaluation%20%20in%20five%20species%20of%20tuna.pdf?sequence=1&amp;isAllowed=y" TargetMode="External"/><Relationship Id="rId62" Type="http://schemas.openxmlformats.org/officeDocument/2006/relationships/hyperlink" Target="https://www.frontiersin.org/articles/10.3389/fmars.2017.00363/full" TargetMode="External"/><Relationship Id="rId83" Type="http://schemas.openxmlformats.org/officeDocument/2006/relationships/hyperlink" Target="https://www.oecd-ilibrary.org/sites/19428846-en/1/3/8/index.html?itemId=/content/publication/19428846-en&amp;_csp_=78a77099f3b0c6eae1de8bfe93d3b09e&amp;itemIGO=oecd&amp;itemContentType=book" TargetMode="External"/><Relationship Id="rId88" Type="http://schemas.openxmlformats.org/officeDocument/2006/relationships/hyperlink" Target="https://www.oecd-ilibrary.org/sites/19428846-en/1/3/8/index.html?itemId=/content/publication/19428846-en&amp;_csp_=78a77099f3b0c6eae1de8bfe93d3b09e&amp;itemIGO=oecd&amp;itemContentType=book"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0"/>
  <sheetViews>
    <sheetView workbookViewId="0">
      <pane xSplit="1" topLeftCell="V1" activePane="topRight" state="frozen"/>
      <selection pane="topRight" sqref="A1:Y31"/>
    </sheetView>
  </sheetViews>
  <sheetFormatPr defaultRowHeight="15"/>
  <cols>
    <col min="1" max="1" width="40.85546875" bestFit="1" customWidth="1"/>
    <col min="2" max="2" width="40.85546875" customWidth="1"/>
    <col min="3" max="3" width="13.85546875" bestFit="1" customWidth="1"/>
    <col min="4" max="4" width="12.7109375" bestFit="1" customWidth="1"/>
    <col min="5" max="5" width="12.7109375" customWidth="1"/>
    <col min="6" max="6" width="14.28515625" bestFit="1" customWidth="1"/>
    <col min="7" max="7" width="14.42578125" bestFit="1" customWidth="1"/>
    <col min="8" max="8" width="23.7109375" bestFit="1" customWidth="1"/>
    <col min="9" max="9" width="15.28515625" customWidth="1"/>
    <col min="10" max="10" width="18.28515625" bestFit="1" customWidth="1"/>
    <col min="11" max="12" width="12.7109375" customWidth="1"/>
    <col min="13" max="13" width="23.5703125" bestFit="1" customWidth="1"/>
    <col min="14" max="14" width="26.28515625" bestFit="1" customWidth="1"/>
    <col min="15" max="16" width="16.140625" customWidth="1"/>
    <col min="17" max="17" width="24.5703125" customWidth="1"/>
    <col min="18" max="18" width="21.140625" customWidth="1"/>
    <col min="19" max="19" width="20.5703125" bestFit="1" customWidth="1"/>
    <col min="20" max="20" width="23.7109375" bestFit="1" customWidth="1"/>
    <col min="21" max="25" width="20.5703125" customWidth="1"/>
    <col min="26" max="26" width="23.5703125" bestFit="1" customWidth="1"/>
    <col min="27" max="27" width="31" customWidth="1"/>
    <col min="28" max="28" width="38.85546875" customWidth="1"/>
    <col min="29" max="29" width="62.5703125" bestFit="1" customWidth="1"/>
  </cols>
  <sheetData>
    <row r="1" spans="1:30">
      <c r="A1" s="1" t="s">
        <v>0</v>
      </c>
      <c r="B1" s="1" t="s">
        <v>1</v>
      </c>
      <c r="C1" s="2" t="s">
        <v>2</v>
      </c>
      <c r="D1" s="2" t="s">
        <v>3</v>
      </c>
      <c r="E1" s="2"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t="s">
        <v>25</v>
      </c>
      <c r="AA1" t="s">
        <v>26</v>
      </c>
      <c r="AB1" t="s">
        <v>27</v>
      </c>
      <c r="AC1" t="s">
        <v>10</v>
      </c>
      <c r="AD1" t="s">
        <v>11</v>
      </c>
    </row>
    <row r="2" spans="1:30" ht="15.75">
      <c r="A2" s="3" t="s">
        <v>28</v>
      </c>
      <c r="B2" s="9" t="s">
        <v>29</v>
      </c>
      <c r="C2" s="4">
        <v>0.2</v>
      </c>
      <c r="D2" s="4">
        <v>0.12</v>
      </c>
      <c r="E2" s="4">
        <v>0.39</v>
      </c>
      <c r="F2" s="4">
        <f>1-E2</f>
        <v>0.61</v>
      </c>
      <c r="G2" s="3" t="s">
        <v>30</v>
      </c>
      <c r="H2" s="4">
        <f>1-(C2+D2)</f>
        <v>0.67999999999999994</v>
      </c>
      <c r="I2" s="3">
        <f>C2/(1-H2)</f>
        <v>0.62499999999999989</v>
      </c>
      <c r="J2" s="3">
        <v>22.1</v>
      </c>
      <c r="K2" s="8">
        <v>227.13673700000001</v>
      </c>
      <c r="L2" s="3">
        <v>1490</v>
      </c>
      <c r="M2" s="3">
        <f>1-N2</f>
        <v>0.35</v>
      </c>
      <c r="N2" s="3">
        <f>$C$59</f>
        <v>0.65</v>
      </c>
      <c r="O2" s="3">
        <v>10</v>
      </c>
      <c r="P2" s="3">
        <v>0</v>
      </c>
      <c r="Q2" s="4">
        <f t="shared" ref="Q2:Q31" si="0">F2/(E2+F2)</f>
        <v>0.61</v>
      </c>
      <c r="R2" s="11">
        <f>(C2/(C2+D2))/C2</f>
        <v>3.125</v>
      </c>
      <c r="S2" s="11">
        <f>Q2*R2</f>
        <v>1.90625</v>
      </c>
      <c r="T2" s="15">
        <f>(F2*N2)/SUM((E2*M2),(F2*N2))</f>
        <v>0.74390243902439024</v>
      </c>
      <c r="U2" s="11">
        <f>(C2*J2)/SUM((C2*J2), (D2*J3))/C2</f>
        <v>2.4190017513134854</v>
      </c>
      <c r="V2" s="11">
        <f>T2*U2</f>
        <v>1.7995013028063733</v>
      </c>
      <c r="W2" s="11">
        <f>(F2*O2)/SUM((E2*K2),(F2*O2))</f>
        <v>6.4425281256721451E-2</v>
      </c>
      <c r="X2" s="11">
        <f>(C2*L2)/SUM((C2*L2),(D2*L3))/C2</f>
        <v>2.8070836473247929</v>
      </c>
      <c r="Y2" s="11">
        <f>X2*W2</f>
        <v>0.18084715349004327</v>
      </c>
      <c r="Z2" s="10" t="s">
        <v>31</v>
      </c>
      <c r="AA2" s="10" t="s">
        <v>32</v>
      </c>
      <c r="AB2" s="10" t="s">
        <v>32</v>
      </c>
      <c r="AC2" s="10" t="s">
        <v>33</v>
      </c>
      <c r="AD2" s="10" t="s">
        <v>34</v>
      </c>
    </row>
    <row r="3" spans="1:30" ht="18.75" customHeight="1">
      <c r="A3" s="3" t="s">
        <v>28</v>
      </c>
      <c r="B3" s="9" t="s">
        <v>29</v>
      </c>
      <c r="C3" s="4">
        <v>0.2</v>
      </c>
      <c r="D3" s="4">
        <v>0.12</v>
      </c>
      <c r="E3" s="4">
        <v>0.39</v>
      </c>
      <c r="F3" s="4">
        <f t="shared" ref="F3:F31" si="1">1-E3</f>
        <v>0.61</v>
      </c>
      <c r="G3" s="3" t="s">
        <v>35</v>
      </c>
      <c r="H3" s="4">
        <f t="shared" ref="H3:H31" si="2">1-(C3+D3)</f>
        <v>0.67999999999999994</v>
      </c>
      <c r="I3" s="3">
        <f>D3/(1-H3)</f>
        <v>0.37499999999999989</v>
      </c>
      <c r="J3" s="3">
        <v>39.299999999999997</v>
      </c>
      <c r="K3" s="8">
        <v>227.13673700000001</v>
      </c>
      <c r="L3" s="3">
        <v>1940</v>
      </c>
      <c r="M3" s="3">
        <f t="shared" ref="M3:M32" si="3">1-N3</f>
        <v>0.35</v>
      </c>
      <c r="N3" s="3">
        <f t="shared" ref="N3:N9" si="4">$C$59</f>
        <v>0.65</v>
      </c>
      <c r="O3" s="3">
        <v>10</v>
      </c>
      <c r="P3" s="3">
        <v>0</v>
      </c>
      <c r="Q3" s="4">
        <f t="shared" si="0"/>
        <v>0.61</v>
      </c>
      <c r="R3" s="11">
        <f>(D3/(D3+C3))/D3</f>
        <v>3.125</v>
      </c>
      <c r="S3" s="11">
        <f t="shared" ref="S3:S31" si="5">Q3*R3</f>
        <v>1.90625</v>
      </c>
      <c r="T3" s="15">
        <f>(F3*N3)/SUM((E3*M3),(F3*N3))</f>
        <v>0.74390243902439024</v>
      </c>
      <c r="U3" s="11">
        <f>(D3*J3)/SUM((C3*J2),(D3*J3))/D3</f>
        <v>4.3016637478108581</v>
      </c>
      <c r="V3" s="11">
        <f t="shared" ref="V3:V31" si="6">T3*U3</f>
        <v>3.2000181538592969</v>
      </c>
      <c r="W3" s="11">
        <f>(F3*O3)/SUM((E3*K3),(F3*O3))</f>
        <v>6.4425281256721451E-2</v>
      </c>
      <c r="X3" s="11">
        <f>(D3*L3)/SUM((D3*L3),(C3*L2))/D3</f>
        <v>3.6548605877920122</v>
      </c>
      <c r="Y3" s="11">
        <f t="shared" ref="Y3:Y32" si="7">X3*W3</f>
        <v>0.23546542132260667</v>
      </c>
      <c r="Z3" s="10" t="s">
        <v>31</v>
      </c>
      <c r="AA3" s="10" t="s">
        <v>32</v>
      </c>
      <c r="AB3" s="10" t="s">
        <v>36</v>
      </c>
      <c r="AC3" s="10" t="s">
        <v>33</v>
      </c>
      <c r="AD3" s="10" t="s">
        <v>34</v>
      </c>
    </row>
    <row r="4" spans="1:30" ht="15.75">
      <c r="A4" s="9" t="s">
        <v>37</v>
      </c>
      <c r="B4" s="9" t="s">
        <v>38</v>
      </c>
      <c r="C4" s="4">
        <v>0.23</v>
      </c>
      <c r="D4" s="4">
        <v>0.18</v>
      </c>
      <c r="E4" s="4">
        <v>0.62</v>
      </c>
      <c r="F4" s="4">
        <f t="shared" si="1"/>
        <v>0.38</v>
      </c>
      <c r="G4" s="3" t="s">
        <v>30</v>
      </c>
      <c r="H4" s="4">
        <f t="shared" si="2"/>
        <v>0.59</v>
      </c>
      <c r="I4" s="3">
        <f>C4/(1-H4)</f>
        <v>0.5609756097560975</v>
      </c>
      <c r="J4" s="3">
        <v>19</v>
      </c>
      <c r="K4" s="8">
        <v>316.19840499999998</v>
      </c>
      <c r="L4" s="3">
        <v>1490</v>
      </c>
      <c r="M4" s="3">
        <f t="shared" si="3"/>
        <v>0.35</v>
      </c>
      <c r="N4" s="3">
        <f t="shared" si="4"/>
        <v>0.65</v>
      </c>
      <c r="O4" s="3">
        <v>10</v>
      </c>
      <c r="P4" s="3">
        <v>0</v>
      </c>
      <c r="Q4" s="4">
        <f t="shared" si="0"/>
        <v>0.38</v>
      </c>
      <c r="R4" s="11">
        <f>(C4/(C4+D4))/C4</f>
        <v>2.4390243902439019</v>
      </c>
      <c r="S4" s="11">
        <f t="shared" si="5"/>
        <v>0.92682926829268275</v>
      </c>
      <c r="T4" s="15">
        <f>(F4*N4)/SUM((E4*M4),(F4*N4))</f>
        <v>0.53232758620689657</v>
      </c>
      <c r="U4" s="11">
        <f>(C4*J4)/SUM((C4*J4), (D4*J5))/C4</f>
        <v>1.660258650821391</v>
      </c>
      <c r="V4" s="11">
        <f t="shared" si="6"/>
        <v>0.88380148007086978</v>
      </c>
      <c r="W4" s="11">
        <f>(F4*O4)/SUM((E4*K4),(F4*O4))</f>
        <v>1.9014925661315758E-2</v>
      </c>
      <c r="X4" s="11">
        <f>(C4*L4)/SUM((C4*L4),(D4*L5))/C4</f>
        <v>2.1534903887845065</v>
      </c>
      <c r="Y4" s="11">
        <f t="shared" si="7"/>
        <v>4.0948459655095359E-2</v>
      </c>
      <c r="Z4" s="10" t="s">
        <v>39</v>
      </c>
      <c r="AA4" s="10" t="s">
        <v>40</v>
      </c>
      <c r="AB4" t="s">
        <v>41</v>
      </c>
      <c r="AC4" s="10" t="s">
        <v>33</v>
      </c>
      <c r="AD4" s="10" t="s">
        <v>34</v>
      </c>
    </row>
    <row r="5" spans="1:30" ht="15.75">
      <c r="A5" s="9" t="s">
        <v>37</v>
      </c>
      <c r="B5" s="9" t="s">
        <v>38</v>
      </c>
      <c r="C5" s="4">
        <v>0.23</v>
      </c>
      <c r="D5" s="4">
        <v>0.18</v>
      </c>
      <c r="E5" s="4">
        <v>0.62</v>
      </c>
      <c r="F5" s="4">
        <f t="shared" si="1"/>
        <v>0.38</v>
      </c>
      <c r="G5" s="3" t="s">
        <v>35</v>
      </c>
      <c r="H5" s="4">
        <f t="shared" si="2"/>
        <v>0.59</v>
      </c>
      <c r="I5" s="3">
        <f>D5/(1-H5)</f>
        <v>0.43902439024390238</v>
      </c>
      <c r="J5" s="3">
        <v>39.299999999999997</v>
      </c>
      <c r="K5" s="8">
        <v>316.19840499999998</v>
      </c>
      <c r="L5" s="3">
        <v>1940</v>
      </c>
      <c r="M5" s="3">
        <f t="shared" si="3"/>
        <v>0.35</v>
      </c>
      <c r="N5" s="3">
        <f t="shared" si="4"/>
        <v>0.65</v>
      </c>
      <c r="O5" s="3">
        <v>10</v>
      </c>
      <c r="P5" s="3">
        <v>0</v>
      </c>
      <c r="Q5" s="4">
        <f t="shared" si="0"/>
        <v>0.38</v>
      </c>
      <c r="R5" s="11">
        <f>(D5/(D5+C5))/D5</f>
        <v>2.4390243902439024</v>
      </c>
      <c r="S5" s="11">
        <f t="shared" si="5"/>
        <v>0.92682926829268286</v>
      </c>
      <c r="T5" s="15">
        <f>(F5*N5)/SUM((E5*M5),(F5*N5))</f>
        <v>0.53232758620689657</v>
      </c>
      <c r="U5" s="11">
        <f>(D5*J5)/SUM((C5*J4),(D5*J5))/D5</f>
        <v>3.4341139461726669</v>
      </c>
      <c r="V5" s="11">
        <f t="shared" si="6"/>
        <v>1.8280735877255361</v>
      </c>
      <c r="W5" s="11">
        <f>(F5*O5)/SUM((E5*K5),(F5*O5))</f>
        <v>1.9014925661315758E-2</v>
      </c>
      <c r="X5" s="11">
        <f>(D5*L5)/SUM((D5*L5),(C5*L4))/D5</f>
        <v>2.8038733921086862</v>
      </c>
      <c r="Y5" s="11">
        <f t="shared" si="7"/>
        <v>5.3315444114687915E-2</v>
      </c>
      <c r="Z5" s="10" t="s">
        <v>39</v>
      </c>
      <c r="AA5" s="10" t="s">
        <v>40</v>
      </c>
      <c r="AB5" t="s">
        <v>41</v>
      </c>
      <c r="AC5" s="10" t="s">
        <v>33</v>
      </c>
      <c r="AD5" s="10" t="s">
        <v>34</v>
      </c>
    </row>
    <row r="6" spans="1:30" ht="15.75">
      <c r="A6" s="3" t="s">
        <v>42</v>
      </c>
      <c r="B6" s="9" t="s">
        <v>43</v>
      </c>
      <c r="C6" s="4">
        <v>0.24</v>
      </c>
      <c r="D6" s="4">
        <v>0.02</v>
      </c>
      <c r="E6" s="4">
        <v>0.62</v>
      </c>
      <c r="F6" s="4">
        <f t="shared" si="1"/>
        <v>0.38</v>
      </c>
      <c r="G6" s="3" t="s">
        <v>30</v>
      </c>
      <c r="H6" s="4">
        <f t="shared" si="2"/>
        <v>0.74</v>
      </c>
      <c r="I6" s="3">
        <f>C6/(1-H6)</f>
        <v>0.92307692307692302</v>
      </c>
      <c r="J6" s="3">
        <v>20</v>
      </c>
      <c r="K6" s="8">
        <v>646.46379999999999</v>
      </c>
      <c r="L6" s="3">
        <v>1490</v>
      </c>
      <c r="M6" s="3">
        <f t="shared" si="3"/>
        <v>0.42000000000000004</v>
      </c>
      <c r="N6" s="3">
        <f>$C$60</f>
        <v>0.57999999999999996</v>
      </c>
      <c r="O6" s="3">
        <v>10</v>
      </c>
      <c r="P6" s="3">
        <v>0</v>
      </c>
      <c r="Q6" s="4">
        <f t="shared" si="0"/>
        <v>0.38</v>
      </c>
      <c r="R6" s="11">
        <f>(C6/(C6+D6))/C6</f>
        <v>3.8461538461538463</v>
      </c>
      <c r="S6" s="11">
        <f t="shared" si="5"/>
        <v>1.4615384615384617</v>
      </c>
      <c r="T6" s="15">
        <f>(F6*N6)/SUM((E6*M6),(F6*N6))</f>
        <v>0.45840266222961729</v>
      </c>
      <c r="U6" s="11">
        <f>(C6*J6)/SUM((C6*J6), (D6*J7))/C6</f>
        <v>3.5803795202291449</v>
      </c>
      <c r="V6" s="11">
        <f t="shared" si="6"/>
        <v>1.6412555038654399</v>
      </c>
      <c r="W6" s="11">
        <f>(F6*O6)/SUM((E6*K6),(F6*O6))</f>
        <v>9.391816696572023E-3</v>
      </c>
      <c r="X6" s="11">
        <f>(C6*L6)/SUM((C6*L6),(D6*L7))/C6</f>
        <v>3.7588294651866803</v>
      </c>
      <c r="Y6" s="11">
        <f t="shared" si="7"/>
        <v>3.5302237330707149E-2</v>
      </c>
      <c r="Z6" s="10" t="s">
        <v>44</v>
      </c>
      <c r="AA6" s="10" t="s">
        <v>45</v>
      </c>
      <c r="AB6" t="s">
        <v>46</v>
      </c>
      <c r="AC6" s="10" t="s">
        <v>33</v>
      </c>
      <c r="AD6" s="10" t="s">
        <v>34</v>
      </c>
    </row>
    <row r="7" spans="1:30" ht="15.75">
      <c r="A7" s="3" t="s">
        <v>42</v>
      </c>
      <c r="B7" s="9" t="s">
        <v>43</v>
      </c>
      <c r="C7" s="4">
        <v>0.24</v>
      </c>
      <c r="D7" s="4">
        <v>0.02</v>
      </c>
      <c r="E7" s="4">
        <v>0.62</v>
      </c>
      <c r="F7" s="4">
        <f t="shared" si="1"/>
        <v>0.38</v>
      </c>
      <c r="G7" s="3" t="s">
        <v>35</v>
      </c>
      <c r="H7" s="4">
        <f t="shared" si="2"/>
        <v>0.74</v>
      </c>
      <c r="I7" s="3">
        <f>D7/(1-H7)</f>
        <v>7.6923076923076927E-2</v>
      </c>
      <c r="J7" s="3">
        <v>39.299999999999997</v>
      </c>
      <c r="K7" s="8">
        <v>646.46379999999999</v>
      </c>
      <c r="L7" s="3">
        <v>1940</v>
      </c>
      <c r="M7" s="3">
        <f t="shared" si="3"/>
        <v>0.42000000000000004</v>
      </c>
      <c r="N7" s="3">
        <f>$C$60</f>
        <v>0.57999999999999996</v>
      </c>
      <c r="O7" s="3">
        <v>10</v>
      </c>
      <c r="P7" s="3">
        <v>0</v>
      </c>
      <c r="Q7" s="4">
        <f t="shared" si="0"/>
        <v>0.38</v>
      </c>
      <c r="R7" s="11">
        <f>(D7/(D7+C7))/D7</f>
        <v>3.8461538461538463</v>
      </c>
      <c r="S7" s="11">
        <f t="shared" si="5"/>
        <v>1.4615384615384617</v>
      </c>
      <c r="T7" s="15">
        <f>(F7*N7)/SUM((E7*M7),(F7*N7))</f>
        <v>0.45840266222961729</v>
      </c>
      <c r="U7" s="11">
        <f>(D7*J7)/SUM((C7*J6),(D7*J7))/D7</f>
        <v>7.035445757250268</v>
      </c>
      <c r="V7" s="11">
        <f t="shared" si="6"/>
        <v>3.2250670650955886</v>
      </c>
      <c r="W7" s="11">
        <f>(F7*O7)/SUM((E7*K7),(F7*O7))</f>
        <v>9.391816696572023E-3</v>
      </c>
      <c r="X7" s="11">
        <f>(D7*L7)/SUM((D7*L7),(C7*L6))/D7</f>
        <v>4.8940464177598386</v>
      </c>
      <c r="Y7" s="11">
        <f t="shared" si="7"/>
        <v>4.5963986860115352E-2</v>
      </c>
      <c r="Z7" s="10" t="s">
        <v>44</v>
      </c>
      <c r="AA7" s="10" t="s">
        <v>45</v>
      </c>
      <c r="AB7" t="s">
        <v>46</v>
      </c>
      <c r="AC7" s="10" t="s">
        <v>33</v>
      </c>
      <c r="AD7" s="10" t="s">
        <v>34</v>
      </c>
    </row>
    <row r="8" spans="1:30" ht="15.75">
      <c r="A8" s="3" t="s">
        <v>47</v>
      </c>
      <c r="B8" s="9" t="s">
        <v>48</v>
      </c>
      <c r="C8" s="4">
        <v>0.19700000000000001</v>
      </c>
      <c r="D8" s="4">
        <v>0.186</v>
      </c>
      <c r="E8" s="4">
        <v>0.61</v>
      </c>
      <c r="F8" s="4">
        <f t="shared" si="1"/>
        <v>0.39</v>
      </c>
      <c r="G8" s="3" t="s">
        <v>30</v>
      </c>
      <c r="H8" s="4">
        <f t="shared" si="2"/>
        <v>0.61699999999999999</v>
      </c>
      <c r="I8" s="3">
        <f>C8/(1-H8)</f>
        <v>0.51436031331592691</v>
      </c>
      <c r="J8" s="3">
        <v>20</v>
      </c>
      <c r="K8" s="8">
        <v>254.46559199999999</v>
      </c>
      <c r="L8" s="3">
        <v>1490</v>
      </c>
      <c r="M8" s="3">
        <f t="shared" si="3"/>
        <v>0.35</v>
      </c>
      <c r="N8" s="3">
        <f>$C$59</f>
        <v>0.65</v>
      </c>
      <c r="O8" s="3">
        <v>10</v>
      </c>
      <c r="P8" s="3">
        <v>0</v>
      </c>
      <c r="Q8" s="4">
        <f t="shared" si="0"/>
        <v>0.39</v>
      </c>
      <c r="R8" s="11">
        <f>(C8/(C8+D8))/C8</f>
        <v>2.6109660574412534</v>
      </c>
      <c r="S8" s="11">
        <f t="shared" si="5"/>
        <v>1.018276762402089</v>
      </c>
      <c r="T8" s="15">
        <f>(F8*N8)/SUM((E8*M8),(F8*N8))</f>
        <v>0.54282655246252676</v>
      </c>
      <c r="U8" s="11">
        <f>(C8*J8)/SUM((C8*J8), (D8*J9))/C8</f>
        <v>1.7778093832779249</v>
      </c>
      <c r="V8" s="11">
        <f t="shared" si="6"/>
        <v>0.96504213846028686</v>
      </c>
      <c r="W8" s="11">
        <f>(F8*O8)/SUM((E8*K8),(F8*O8))</f>
        <v>2.4509186090456818E-2</v>
      </c>
      <c r="X8" s="11">
        <f>(C8*L8)/SUM((C8*L8),(D8*L9))/C8</f>
        <v>2.2769992511881658</v>
      </c>
      <c r="Y8" s="11">
        <f t="shared" si="7"/>
        <v>5.5807398375201586E-2</v>
      </c>
      <c r="Z8" s="10" t="s">
        <v>49</v>
      </c>
      <c r="AA8" s="10" t="s">
        <v>32</v>
      </c>
      <c r="AB8" s="10" t="s">
        <v>32</v>
      </c>
      <c r="AC8" s="10" t="s">
        <v>33</v>
      </c>
      <c r="AD8" s="10" t="s">
        <v>34</v>
      </c>
    </row>
    <row r="9" spans="1:30" ht="15.75">
      <c r="A9" s="3" t="s">
        <v>47</v>
      </c>
      <c r="B9" s="9" t="s">
        <v>48</v>
      </c>
      <c r="C9" s="4">
        <v>0.19700000000000001</v>
      </c>
      <c r="D9" s="4">
        <v>0.186</v>
      </c>
      <c r="E9" s="4">
        <v>0.61</v>
      </c>
      <c r="F9" s="4">
        <f t="shared" si="1"/>
        <v>0.39</v>
      </c>
      <c r="G9" s="3" t="s">
        <v>35</v>
      </c>
      <c r="H9" s="4">
        <f t="shared" si="2"/>
        <v>0.61699999999999999</v>
      </c>
      <c r="I9" s="3">
        <f>D9/(1-H9)</f>
        <v>0.48563968668407309</v>
      </c>
      <c r="J9" s="3">
        <v>39.299999999999997</v>
      </c>
      <c r="K9" s="8">
        <v>254.46559199999999</v>
      </c>
      <c r="L9" s="3">
        <v>1940</v>
      </c>
      <c r="M9" s="3">
        <f t="shared" si="3"/>
        <v>0.35</v>
      </c>
      <c r="N9" s="3">
        <f t="shared" si="4"/>
        <v>0.65</v>
      </c>
      <c r="O9" s="3">
        <v>10</v>
      </c>
      <c r="P9" s="3">
        <v>0</v>
      </c>
      <c r="Q9" s="4">
        <f t="shared" si="0"/>
        <v>0.39</v>
      </c>
      <c r="R9" s="11">
        <f>(D9/(D9+C9))/D9</f>
        <v>2.610966057441253</v>
      </c>
      <c r="S9" s="11">
        <f t="shared" si="5"/>
        <v>1.0182767624020888</v>
      </c>
      <c r="T9" s="15">
        <f>(F9*N9)/SUM((E9*M9),(F9*N9))</f>
        <v>0.54282655246252676</v>
      </c>
      <c r="U9" s="11">
        <f>(D9*J9)/SUM((C9*J8),(D9*J9))/D9</f>
        <v>3.4933954381411221</v>
      </c>
      <c r="V9" s="11">
        <f t="shared" si="6"/>
        <v>1.8963078020744635</v>
      </c>
      <c r="W9" s="11">
        <f>(F9*O9)/SUM((E9*K9),(F9*O9))</f>
        <v>2.4509186090456818E-2</v>
      </c>
      <c r="X9" s="11">
        <f>(D9*L9)/SUM((D9*L9),(C9*L8))/D9</f>
        <v>2.9646835887953298</v>
      </c>
      <c r="Y9" s="11">
        <f t="shared" si="7"/>
        <v>7.2661981777108101E-2</v>
      </c>
      <c r="Z9" s="10" t="s">
        <v>49</v>
      </c>
      <c r="AA9" s="10" t="s">
        <v>32</v>
      </c>
      <c r="AB9" s="10" t="s">
        <v>32</v>
      </c>
      <c r="AC9" s="10" t="s">
        <v>33</v>
      </c>
      <c r="AD9" s="10" t="s">
        <v>34</v>
      </c>
    </row>
    <row r="10" spans="1:30" ht="15.75">
      <c r="A10" s="3" t="s">
        <v>50</v>
      </c>
      <c r="B10" s="9" t="s">
        <v>51</v>
      </c>
      <c r="C10" s="4">
        <v>0.2</v>
      </c>
      <c r="D10" s="4">
        <v>0.02</v>
      </c>
      <c r="E10" s="4">
        <v>0.49</v>
      </c>
      <c r="F10" s="4">
        <f t="shared" si="1"/>
        <v>0.51</v>
      </c>
      <c r="G10" s="3" t="s">
        <v>30</v>
      </c>
      <c r="H10" s="4">
        <f t="shared" si="2"/>
        <v>0.78</v>
      </c>
      <c r="I10" s="3">
        <f>C10/(1-H10)</f>
        <v>0.90909090909090928</v>
      </c>
      <c r="J10" s="3">
        <v>18</v>
      </c>
      <c r="K10" s="8">
        <v>114.980132</v>
      </c>
      <c r="L10" s="3">
        <v>1490</v>
      </c>
      <c r="M10" s="3">
        <f t="shared" si="3"/>
        <v>0.42000000000000004</v>
      </c>
      <c r="N10" s="3">
        <f>$C$60</f>
        <v>0.57999999999999996</v>
      </c>
      <c r="O10" s="3">
        <v>10</v>
      </c>
      <c r="P10" s="3">
        <v>0</v>
      </c>
      <c r="Q10" s="4">
        <f t="shared" si="0"/>
        <v>0.51</v>
      </c>
      <c r="R10" s="11">
        <f>(C10/(C10+D10))/C10</f>
        <v>4.5454545454545459</v>
      </c>
      <c r="S10" s="11">
        <f t="shared" si="5"/>
        <v>2.3181818181818183</v>
      </c>
      <c r="T10" s="15">
        <f>(F10*N10)/SUM((E10*M10),(F10*N10))</f>
        <v>0.58971291866028708</v>
      </c>
      <c r="U10" s="11">
        <f>(C10*J10)/SUM((C10*J10), (D10*J11))/C10</f>
        <v>4.1039671682626535</v>
      </c>
      <c r="V10" s="11">
        <f t="shared" si="6"/>
        <v>2.4201624568821627</v>
      </c>
      <c r="W10" s="11">
        <f>(F10*O10)/SUM((E10*K10),(F10*O10))</f>
        <v>8.300745490863988E-2</v>
      </c>
      <c r="X10" s="11">
        <f>(C10*L10)/SUM((C10*L10),(D10*L11))/C10</f>
        <v>4.4239904988123513</v>
      </c>
      <c r="Y10" s="11">
        <f t="shared" si="7"/>
        <v>0.36722419184641752</v>
      </c>
      <c r="Z10" s="10" t="s">
        <v>52</v>
      </c>
      <c r="AA10" s="10" t="s">
        <v>32</v>
      </c>
      <c r="AB10" s="10" t="s">
        <v>32</v>
      </c>
      <c r="AC10" s="10" t="s">
        <v>33</v>
      </c>
      <c r="AD10" s="10" t="s">
        <v>34</v>
      </c>
    </row>
    <row r="11" spans="1:30" ht="15.75">
      <c r="A11" s="3" t="s">
        <v>50</v>
      </c>
      <c r="B11" s="9" t="s">
        <v>51</v>
      </c>
      <c r="C11" s="4">
        <v>0.2</v>
      </c>
      <c r="D11" s="4">
        <v>0.02</v>
      </c>
      <c r="E11" s="4">
        <v>0.49</v>
      </c>
      <c r="F11" s="4">
        <f t="shared" si="1"/>
        <v>0.51</v>
      </c>
      <c r="G11" s="3" t="s">
        <v>35</v>
      </c>
      <c r="H11" s="4">
        <f t="shared" si="2"/>
        <v>0.78</v>
      </c>
      <c r="I11" s="3">
        <f>D11/(1-H11)</f>
        <v>9.0909090909090925E-2</v>
      </c>
      <c r="J11" s="3">
        <v>39.299999999999997</v>
      </c>
      <c r="K11" s="8">
        <v>114.980132</v>
      </c>
      <c r="L11" s="3">
        <v>1940</v>
      </c>
      <c r="M11" s="3">
        <f t="shared" si="3"/>
        <v>0.42000000000000004</v>
      </c>
      <c r="N11" s="3">
        <f>$C$60</f>
        <v>0.57999999999999996</v>
      </c>
      <c r="O11" s="3">
        <v>10</v>
      </c>
      <c r="P11" s="3">
        <v>0</v>
      </c>
      <c r="Q11" s="4">
        <f t="shared" si="0"/>
        <v>0.51</v>
      </c>
      <c r="R11" s="11">
        <f>(D11/(D11+C11))/D11</f>
        <v>4.5454545454545459</v>
      </c>
      <c r="S11" s="11">
        <f t="shared" si="5"/>
        <v>2.3181818181818183</v>
      </c>
      <c r="T11" s="15">
        <f>(F11*N11)/SUM((E11*M11),(F11*N11))</f>
        <v>0.58971291866028708</v>
      </c>
      <c r="U11" s="11">
        <f>(D11*J11)/SUM((C11*J10),(D11*J11))/D11</f>
        <v>8.9603283173734596</v>
      </c>
      <c r="V11" s="11">
        <f t="shared" si="6"/>
        <v>5.2840213641927223</v>
      </c>
      <c r="W11" s="11">
        <f>(F11*O11)/SUM((E11*K11),(F11*O11))</f>
        <v>8.300745490863988E-2</v>
      </c>
      <c r="X11" s="11">
        <f>(D11*L11)/SUM((D11*L11),(C11*L10))/D11</f>
        <v>5.7600950118764853</v>
      </c>
      <c r="Y11" s="11">
        <f t="shared" si="7"/>
        <v>0.47813082696781883</v>
      </c>
      <c r="Z11" s="10" t="s">
        <v>52</v>
      </c>
      <c r="AA11" s="10" t="s">
        <v>32</v>
      </c>
      <c r="AB11" s="10" t="s">
        <v>32</v>
      </c>
      <c r="AC11" s="10" t="s">
        <v>33</v>
      </c>
      <c r="AD11" s="10" t="s">
        <v>34</v>
      </c>
    </row>
    <row r="12" spans="1:30" ht="15.75">
      <c r="A12" t="s">
        <v>53</v>
      </c>
      <c r="B12" s="9" t="s">
        <v>54</v>
      </c>
      <c r="C12" s="4">
        <v>0.24</v>
      </c>
      <c r="D12" s="4">
        <v>0.02</v>
      </c>
      <c r="E12" s="4">
        <v>0.58000000000000007</v>
      </c>
      <c r="F12" s="4">
        <f t="shared" si="1"/>
        <v>0.41999999999999993</v>
      </c>
      <c r="G12" s="3" t="s">
        <v>30</v>
      </c>
      <c r="H12" s="4">
        <f t="shared" si="2"/>
        <v>0.74</v>
      </c>
      <c r="I12" s="3">
        <f>C12/(1-H12)</f>
        <v>0.92307692307692302</v>
      </c>
      <c r="J12" s="3">
        <v>20</v>
      </c>
      <c r="K12" s="8">
        <v>613.72499100000005</v>
      </c>
      <c r="L12" s="3">
        <v>1490</v>
      </c>
      <c r="M12" s="3">
        <f t="shared" si="3"/>
        <v>0.42000000000000004</v>
      </c>
      <c r="N12" s="3">
        <f>$C$60</f>
        <v>0.57999999999999996</v>
      </c>
      <c r="O12" s="3">
        <v>10</v>
      </c>
      <c r="P12" s="3">
        <v>0</v>
      </c>
      <c r="Q12" s="4">
        <f t="shared" si="0"/>
        <v>0.41999999999999993</v>
      </c>
      <c r="R12" s="11">
        <f>(C12/(C12+D12))/C12</f>
        <v>3.8461538461538463</v>
      </c>
      <c r="S12" s="11">
        <f t="shared" si="5"/>
        <v>1.6153846153846152</v>
      </c>
      <c r="T12" s="15">
        <f>(F12*N12)/SUM((E12*M12),(F12*N12))</f>
        <v>0.49999999999999989</v>
      </c>
      <c r="U12" s="11">
        <f>(C12*J12)/SUM((C12*J12), (D12*J13))/C12</f>
        <v>3.5803795202291449</v>
      </c>
      <c r="V12" s="11">
        <f t="shared" si="6"/>
        <v>1.790189760114572</v>
      </c>
      <c r="W12" s="11">
        <f>(F12*O12)/SUM((E12*K12),(F12*O12))</f>
        <v>1.1661467764712843E-2</v>
      </c>
      <c r="X12" s="11">
        <f>(C12*L12)/SUM((C12*L12),(D12*L13))/C12</f>
        <v>3.7588294651866803</v>
      </c>
      <c r="Y12" s="11">
        <f t="shared" si="7"/>
        <v>4.383346864132729E-2</v>
      </c>
      <c r="Z12" s="10" t="s">
        <v>55</v>
      </c>
      <c r="AA12" s="10" t="s">
        <v>45</v>
      </c>
      <c r="AB12" t="s">
        <v>46</v>
      </c>
      <c r="AC12" s="10" t="s">
        <v>33</v>
      </c>
      <c r="AD12" s="10" t="s">
        <v>34</v>
      </c>
    </row>
    <row r="13" spans="1:30" ht="15.75">
      <c r="A13" t="s">
        <v>53</v>
      </c>
      <c r="B13" s="9" t="s">
        <v>54</v>
      </c>
      <c r="C13" s="4">
        <v>0.24</v>
      </c>
      <c r="D13" s="4">
        <v>0.02</v>
      </c>
      <c r="E13" s="4">
        <v>0.58000000000000007</v>
      </c>
      <c r="F13" s="4">
        <f t="shared" si="1"/>
        <v>0.41999999999999993</v>
      </c>
      <c r="G13" s="3" t="s">
        <v>35</v>
      </c>
      <c r="H13" s="4">
        <f t="shared" si="2"/>
        <v>0.74</v>
      </c>
      <c r="I13" s="3">
        <f>D13/(1-H13)</f>
        <v>7.6923076923076927E-2</v>
      </c>
      <c r="J13" s="3">
        <v>39.299999999999997</v>
      </c>
      <c r="K13" s="8">
        <v>613.72499100000005</v>
      </c>
      <c r="L13" s="3">
        <v>1940</v>
      </c>
      <c r="M13" s="3">
        <f t="shared" si="3"/>
        <v>0.42000000000000004</v>
      </c>
      <c r="N13" s="3">
        <f>$C$60</f>
        <v>0.57999999999999996</v>
      </c>
      <c r="O13" s="3">
        <v>10</v>
      </c>
      <c r="P13" s="3">
        <v>0</v>
      </c>
      <c r="Q13" s="4">
        <f t="shared" si="0"/>
        <v>0.41999999999999993</v>
      </c>
      <c r="R13" s="11">
        <f>(D13/(D13+C13))/D13</f>
        <v>3.8461538461538463</v>
      </c>
      <c r="S13" s="11">
        <f t="shared" si="5"/>
        <v>1.6153846153846152</v>
      </c>
      <c r="T13" s="15">
        <f>(F13*N13)/SUM((E13*M13),(F13*N13))</f>
        <v>0.49999999999999989</v>
      </c>
      <c r="U13" s="11">
        <f>(D13*J13)/SUM((C13*J12),(D13*J13))/D13</f>
        <v>7.035445757250268</v>
      </c>
      <c r="V13" s="11">
        <f t="shared" si="6"/>
        <v>3.5177228786251331</v>
      </c>
      <c r="W13" s="11">
        <f>(F13*O13)/SUM((E13*K13),(F13*O13))</f>
        <v>1.1661467764712843E-2</v>
      </c>
      <c r="X13" s="11">
        <f>(D13*L13)/SUM((D13*L13),(C13*L12))/D13</f>
        <v>4.8940464177598386</v>
      </c>
      <c r="Y13" s="11">
        <f t="shared" si="7"/>
        <v>5.7071764539714721E-2</v>
      </c>
      <c r="Z13" s="10" t="s">
        <v>55</v>
      </c>
      <c r="AA13" s="10" t="s">
        <v>45</v>
      </c>
      <c r="AB13" t="s">
        <v>46</v>
      </c>
      <c r="AC13" s="10" t="s">
        <v>33</v>
      </c>
      <c r="AD13" s="10" t="s">
        <v>34</v>
      </c>
    </row>
    <row r="14" spans="1:30" ht="15.75">
      <c r="A14" s="3" t="s">
        <v>56</v>
      </c>
      <c r="B14" s="9" t="s">
        <v>57</v>
      </c>
      <c r="C14" s="4">
        <v>0.17</v>
      </c>
      <c r="D14" s="4">
        <v>0.08</v>
      </c>
      <c r="E14" s="4">
        <v>0.6</v>
      </c>
      <c r="F14" s="4">
        <f t="shared" si="1"/>
        <v>0.4</v>
      </c>
      <c r="G14" s="3" t="s">
        <v>30</v>
      </c>
      <c r="H14" s="4">
        <f t="shared" si="2"/>
        <v>0.75</v>
      </c>
      <c r="I14" s="3">
        <f>C14/(1-H14)</f>
        <v>0.68</v>
      </c>
      <c r="J14" s="3">
        <v>20</v>
      </c>
      <c r="K14" s="8">
        <v>124.60208299999999</v>
      </c>
      <c r="L14" s="3">
        <v>1490</v>
      </c>
      <c r="M14" s="3">
        <f t="shared" si="3"/>
        <v>0.35</v>
      </c>
      <c r="N14" s="3">
        <f t="shared" ref="N14:N27" si="8">$C$59</f>
        <v>0.65</v>
      </c>
      <c r="O14" s="3">
        <v>10</v>
      </c>
      <c r="P14" s="3">
        <v>0</v>
      </c>
      <c r="Q14" s="4">
        <f t="shared" si="0"/>
        <v>0.4</v>
      </c>
      <c r="R14" s="11">
        <f>(C14/(C14+D14))/C14</f>
        <v>4</v>
      </c>
      <c r="S14" s="11">
        <f t="shared" si="5"/>
        <v>1.6</v>
      </c>
      <c r="T14" s="15">
        <f>(F14*N14)/SUM((E14*M14),(F14*N14))</f>
        <v>0.55319148936170215</v>
      </c>
      <c r="U14" s="11">
        <f>(C14*J14)/SUM((C14*J14), (D14*J15))/C14</f>
        <v>3.0562347188264054</v>
      </c>
      <c r="V14" s="11">
        <f t="shared" si="6"/>
        <v>1.6906830359465221</v>
      </c>
      <c r="W14" s="11">
        <f>(F14*O14)/SUM((E14*K14),(F14*O14))</f>
        <v>5.0786395723243088E-2</v>
      </c>
      <c r="X14" s="11">
        <f>(C14*L14)/SUM((C14*L14),(D14*L15))/C14</f>
        <v>3.6474908200734393</v>
      </c>
      <c r="Y14" s="11">
        <f t="shared" si="7"/>
        <v>0.18524291218514613</v>
      </c>
      <c r="Z14" s="10" t="s">
        <v>58</v>
      </c>
      <c r="AA14" s="10" t="s">
        <v>32</v>
      </c>
      <c r="AB14" s="10" t="s">
        <v>32</v>
      </c>
      <c r="AC14" s="10" t="s">
        <v>33</v>
      </c>
      <c r="AD14" s="10" t="s">
        <v>34</v>
      </c>
    </row>
    <row r="15" spans="1:30" ht="15.75">
      <c r="A15" s="3" t="s">
        <v>56</v>
      </c>
      <c r="B15" s="9" t="s">
        <v>57</v>
      </c>
      <c r="C15" s="4">
        <v>0.17</v>
      </c>
      <c r="D15" s="4">
        <v>0.08</v>
      </c>
      <c r="E15" s="4">
        <v>0.6</v>
      </c>
      <c r="F15" s="4">
        <f t="shared" si="1"/>
        <v>0.4</v>
      </c>
      <c r="G15" s="3" t="s">
        <v>35</v>
      </c>
      <c r="H15" s="4">
        <f t="shared" si="2"/>
        <v>0.75</v>
      </c>
      <c r="I15" s="3">
        <f>D15/(1-H15)</f>
        <v>0.32</v>
      </c>
      <c r="J15" s="3">
        <v>39.299999999999997</v>
      </c>
      <c r="K15" s="8">
        <v>124.60208299999999</v>
      </c>
      <c r="L15" s="3">
        <v>1940</v>
      </c>
      <c r="M15" s="3">
        <f t="shared" si="3"/>
        <v>0.35</v>
      </c>
      <c r="N15" s="3">
        <f t="shared" si="8"/>
        <v>0.65</v>
      </c>
      <c r="O15" s="3">
        <v>10</v>
      </c>
      <c r="P15" s="3">
        <v>0</v>
      </c>
      <c r="Q15" s="4">
        <f t="shared" si="0"/>
        <v>0.4</v>
      </c>
      <c r="R15" s="11">
        <f>(D15/(D15+C15))/D15</f>
        <v>4</v>
      </c>
      <c r="S15" s="11">
        <f t="shared" si="5"/>
        <v>1.6</v>
      </c>
      <c r="T15" s="15">
        <f>(F15*N15)/SUM((E15*M15),(F15*N15))</f>
        <v>0.55319148936170215</v>
      </c>
      <c r="U15" s="11">
        <f>(D15*J15)/SUM((C15*J14),(D15*J15))/D15</f>
        <v>6.0055012224938862</v>
      </c>
      <c r="V15" s="11">
        <f t="shared" si="6"/>
        <v>3.3221921656349158</v>
      </c>
      <c r="W15" s="11">
        <f>(F15*O15)/SUM((E15*K15),(F15*O15))</f>
        <v>5.0786395723243088E-2</v>
      </c>
      <c r="X15" s="11">
        <f>(D15*L15)/SUM((D15*L15),(C15*L14))/D15</f>
        <v>4.7490820073439419</v>
      </c>
      <c r="Y15" s="11">
        <f t="shared" si="7"/>
        <v>0.24118875814710308</v>
      </c>
      <c r="Z15" s="10" t="s">
        <v>58</v>
      </c>
      <c r="AA15" s="10" t="s">
        <v>32</v>
      </c>
      <c r="AB15" s="10"/>
      <c r="AC15" s="10" t="s">
        <v>33</v>
      </c>
      <c r="AD15" s="10" t="s">
        <v>34</v>
      </c>
    </row>
    <row r="16" spans="1:30" ht="15.75">
      <c r="A16" s="3" t="s">
        <v>59</v>
      </c>
      <c r="B16" s="9" t="s">
        <v>60</v>
      </c>
      <c r="C16" s="4">
        <v>0.19700000000000001</v>
      </c>
      <c r="D16" s="4">
        <v>0.186</v>
      </c>
      <c r="E16" s="4">
        <v>0.57000000000000006</v>
      </c>
      <c r="F16" s="4">
        <f t="shared" si="1"/>
        <v>0.42999999999999994</v>
      </c>
      <c r="G16" s="3" t="s">
        <v>30</v>
      </c>
      <c r="H16" s="4">
        <f t="shared" si="2"/>
        <v>0.61699999999999999</v>
      </c>
      <c r="I16" s="3">
        <f>C16/(1-H16)</f>
        <v>0.51436031331592691</v>
      </c>
      <c r="J16" s="3">
        <v>20</v>
      </c>
      <c r="K16" s="8">
        <v>159.013136</v>
      </c>
      <c r="L16" s="3">
        <v>1490</v>
      </c>
      <c r="M16" s="3">
        <f t="shared" si="3"/>
        <v>0.35</v>
      </c>
      <c r="N16" s="3">
        <f t="shared" si="8"/>
        <v>0.65</v>
      </c>
      <c r="O16" s="3">
        <v>10</v>
      </c>
      <c r="P16" s="3">
        <v>0</v>
      </c>
      <c r="Q16" s="4">
        <f t="shared" si="0"/>
        <v>0.42999999999999994</v>
      </c>
      <c r="R16" s="11">
        <f>(C16/(C16+D16))/C16</f>
        <v>2.6109660574412534</v>
      </c>
      <c r="S16" s="11">
        <f t="shared" si="5"/>
        <v>1.1227154046997387</v>
      </c>
      <c r="T16" s="15">
        <f>(F16*N16)/SUM((E16*M16),(F16*N16))</f>
        <v>0.58350730688935282</v>
      </c>
      <c r="U16" s="11">
        <f>(C16*J16)/SUM((C16*J16), (D16*J17))/C16</f>
        <v>1.7778093832779249</v>
      </c>
      <c r="V16" s="11">
        <f t="shared" si="6"/>
        <v>1.0373647653991231</v>
      </c>
      <c r="W16" s="11">
        <f>(F16*O16)/SUM((E16*K16),(F16*O16))</f>
        <v>4.5292961846016194E-2</v>
      </c>
      <c r="X16" s="11">
        <f>(C16*L16)/SUM((C16*L16),(D16*L17))/C16</f>
        <v>2.2769992511881658</v>
      </c>
      <c r="Y16" s="11">
        <f t="shared" si="7"/>
        <v>0.10313204020747303</v>
      </c>
      <c r="Z16" s="10" t="s">
        <v>61</v>
      </c>
      <c r="AA16" s="10" t="s">
        <v>62</v>
      </c>
      <c r="AB16" t="s">
        <v>46</v>
      </c>
      <c r="AC16" s="10" t="s">
        <v>33</v>
      </c>
      <c r="AD16" s="10" t="s">
        <v>34</v>
      </c>
    </row>
    <row r="17" spans="1:30" ht="15.75">
      <c r="A17" s="3" t="s">
        <v>59</v>
      </c>
      <c r="B17" s="9" t="s">
        <v>60</v>
      </c>
      <c r="C17" s="4">
        <v>0.19700000000000001</v>
      </c>
      <c r="D17" s="4">
        <v>0.186</v>
      </c>
      <c r="E17" s="4">
        <v>0.57000000000000006</v>
      </c>
      <c r="F17" s="4">
        <f t="shared" si="1"/>
        <v>0.42999999999999994</v>
      </c>
      <c r="G17" s="3" t="s">
        <v>35</v>
      </c>
      <c r="H17" s="4">
        <f t="shared" si="2"/>
        <v>0.61699999999999999</v>
      </c>
      <c r="I17" s="3">
        <f>D17/(1-H17)</f>
        <v>0.48563968668407309</v>
      </c>
      <c r="J17" s="3">
        <v>39.299999999999997</v>
      </c>
      <c r="K17" s="8">
        <v>159.013136</v>
      </c>
      <c r="L17" s="3">
        <v>1940</v>
      </c>
      <c r="M17" s="3">
        <f t="shared" si="3"/>
        <v>0.35</v>
      </c>
      <c r="N17" s="3">
        <f t="shared" si="8"/>
        <v>0.65</v>
      </c>
      <c r="O17" s="3">
        <v>10</v>
      </c>
      <c r="P17" s="3">
        <v>0</v>
      </c>
      <c r="Q17" s="4">
        <f t="shared" si="0"/>
        <v>0.42999999999999994</v>
      </c>
      <c r="R17" s="11">
        <f>(D17/(D17+C17))/D17</f>
        <v>2.610966057441253</v>
      </c>
      <c r="S17" s="11">
        <f t="shared" si="5"/>
        <v>1.1227154046997385</v>
      </c>
      <c r="T17" s="15">
        <f>(F17*N17)/SUM((E17*M17),(F17*N17))</f>
        <v>0.58350730688935282</v>
      </c>
      <c r="U17" s="11">
        <f>(D17*J17)/SUM((C17*J16),(D17*J17))/D17</f>
        <v>3.4933954381411221</v>
      </c>
      <c r="V17" s="11">
        <f t="shared" si="6"/>
        <v>2.0384217640092768</v>
      </c>
      <c r="W17" s="11">
        <f>(F17*O17)/SUM((E17*K17),(F17*O17))</f>
        <v>4.5292961846016194E-2</v>
      </c>
      <c r="X17" s="11">
        <f>(D17*L17)/SUM((D17*L17),(C17*L16))/D17</f>
        <v>2.9646835887953298</v>
      </c>
      <c r="Y17" s="11">
        <f t="shared" si="7"/>
        <v>0.13427930067281724</v>
      </c>
      <c r="Z17" s="10" t="s">
        <v>61</v>
      </c>
      <c r="AA17" s="10" t="s">
        <v>62</v>
      </c>
      <c r="AB17" t="s">
        <v>46</v>
      </c>
      <c r="AC17" s="10" t="s">
        <v>33</v>
      </c>
      <c r="AD17" s="10" t="s">
        <v>34</v>
      </c>
    </row>
    <row r="18" spans="1:30" ht="15.75">
      <c r="A18" s="3" t="s">
        <v>63</v>
      </c>
      <c r="B18" s="9" t="s">
        <v>64</v>
      </c>
      <c r="C18" s="4">
        <v>0.24</v>
      </c>
      <c r="D18" s="4">
        <v>0.02</v>
      </c>
      <c r="E18" s="4">
        <v>0.58000000000000007</v>
      </c>
      <c r="F18" s="4">
        <f t="shared" si="1"/>
        <v>0.41999999999999993</v>
      </c>
      <c r="G18" s="3" t="s">
        <v>30</v>
      </c>
      <c r="H18" s="4">
        <f t="shared" si="2"/>
        <v>0.74</v>
      </c>
      <c r="I18" s="3">
        <f>C18/(1-H18)</f>
        <v>0.92307692307692302</v>
      </c>
      <c r="J18" s="3">
        <v>20</v>
      </c>
      <c r="K18" s="8">
        <v>962.39273500000002</v>
      </c>
      <c r="L18" s="3">
        <v>1490</v>
      </c>
      <c r="M18" s="3">
        <f t="shared" si="3"/>
        <v>0.42000000000000004</v>
      </c>
      <c r="N18" s="3">
        <f>$C$60</f>
        <v>0.57999999999999996</v>
      </c>
      <c r="O18" s="3">
        <v>10</v>
      </c>
      <c r="P18" s="3">
        <v>0</v>
      </c>
      <c r="Q18" s="4">
        <f t="shared" si="0"/>
        <v>0.41999999999999993</v>
      </c>
      <c r="R18" s="11">
        <f>(C18/(C18+D18))/C18</f>
        <v>3.8461538461538463</v>
      </c>
      <c r="S18" s="11">
        <f t="shared" si="5"/>
        <v>1.6153846153846152</v>
      </c>
      <c r="T18" s="15">
        <f>(F18*N18)/SUM((E18*M18),(F18*N18))</f>
        <v>0.49999999999999989</v>
      </c>
      <c r="U18" s="11">
        <f>(C18*J18)/SUM((C18*J18), (D18*J19))/C18</f>
        <v>3.5803795202291449</v>
      </c>
      <c r="V18" s="11">
        <f t="shared" si="6"/>
        <v>1.790189760114572</v>
      </c>
      <c r="W18" s="11">
        <f>(F18*O18)/SUM((E18*K18),(F18*O18))</f>
        <v>7.4681564968403337E-3</v>
      </c>
      <c r="X18" s="11">
        <f>(C18*L18)/SUM((C18*L18),(D18*L19))/C18</f>
        <v>3.7588294651866803</v>
      </c>
      <c r="Y18" s="11">
        <f t="shared" si="7"/>
        <v>2.8071526690948784E-2</v>
      </c>
      <c r="Z18" s="10" t="s">
        <v>55</v>
      </c>
      <c r="AA18" s="10" t="s">
        <v>45</v>
      </c>
      <c r="AB18" t="s">
        <v>46</v>
      </c>
      <c r="AC18" s="10" t="s">
        <v>33</v>
      </c>
      <c r="AD18" s="10" t="s">
        <v>34</v>
      </c>
    </row>
    <row r="19" spans="1:30" ht="15.75">
      <c r="A19" s="3" t="s">
        <v>63</v>
      </c>
      <c r="B19" s="9" t="s">
        <v>64</v>
      </c>
      <c r="C19" s="4">
        <v>0.24</v>
      </c>
      <c r="D19" s="4">
        <v>0.02</v>
      </c>
      <c r="E19" s="4">
        <v>0.58000000000000007</v>
      </c>
      <c r="F19" s="4">
        <f t="shared" si="1"/>
        <v>0.41999999999999993</v>
      </c>
      <c r="G19" s="3" t="s">
        <v>35</v>
      </c>
      <c r="H19" s="4">
        <f t="shared" si="2"/>
        <v>0.74</v>
      </c>
      <c r="I19" s="3">
        <f>D19/(1-H19)</f>
        <v>7.6923076923076927E-2</v>
      </c>
      <c r="J19" s="3">
        <v>39.299999999999997</v>
      </c>
      <c r="K19" s="8">
        <v>962.39273500000002</v>
      </c>
      <c r="L19" s="3">
        <v>1940</v>
      </c>
      <c r="M19" s="3">
        <f t="shared" si="3"/>
        <v>0.42000000000000004</v>
      </c>
      <c r="N19" s="3">
        <f>$C$60</f>
        <v>0.57999999999999996</v>
      </c>
      <c r="O19" s="3">
        <v>10</v>
      </c>
      <c r="P19" s="3">
        <v>0</v>
      </c>
      <c r="Q19" s="4">
        <f t="shared" si="0"/>
        <v>0.41999999999999993</v>
      </c>
      <c r="R19" s="11">
        <f>(D19/(D19+C19))/D19</f>
        <v>3.8461538461538463</v>
      </c>
      <c r="S19" s="11">
        <f t="shared" si="5"/>
        <v>1.6153846153846152</v>
      </c>
      <c r="T19" s="15">
        <f>(F19*N19)/SUM((E19*M19),(F19*N19))</f>
        <v>0.49999999999999989</v>
      </c>
      <c r="U19" s="11">
        <f>(D19*J19)/SUM((C19*J18),(D19*J19))/D19</f>
        <v>7.035445757250268</v>
      </c>
      <c r="V19" s="11">
        <f t="shared" si="6"/>
        <v>3.5177228786251331</v>
      </c>
      <c r="W19" s="11">
        <f>(F19*O19)/SUM((E19*K19),(F19*O19))</f>
        <v>7.4681564968403337E-3</v>
      </c>
      <c r="X19" s="11">
        <f>(D19*L19)/SUM((D19*L19),(C19*L18))/D19</f>
        <v>4.8940464177598386</v>
      </c>
      <c r="Y19" s="11">
        <f t="shared" si="7"/>
        <v>3.6549504550631301E-2</v>
      </c>
      <c r="Z19" s="10" t="s">
        <v>55</v>
      </c>
      <c r="AA19" s="10" t="s">
        <v>45</v>
      </c>
      <c r="AB19" t="s">
        <v>46</v>
      </c>
      <c r="AC19" s="10" t="s">
        <v>33</v>
      </c>
      <c r="AD19" s="10" t="s">
        <v>34</v>
      </c>
    </row>
    <row r="20" spans="1:30" ht="15.75">
      <c r="A20" s="3" t="s">
        <v>65</v>
      </c>
      <c r="B20" s="9" t="s">
        <v>66</v>
      </c>
      <c r="C20" s="4">
        <v>0.19</v>
      </c>
      <c r="D20" s="4">
        <v>0.08</v>
      </c>
      <c r="E20" s="4">
        <v>0.56000000000000005</v>
      </c>
      <c r="F20" s="4">
        <f t="shared" si="1"/>
        <v>0.43999999999999995</v>
      </c>
      <c r="G20" s="3" t="s">
        <v>30</v>
      </c>
      <c r="H20" s="4">
        <f t="shared" si="2"/>
        <v>0.73</v>
      </c>
      <c r="I20" s="3">
        <f>C20/(1-H20)</f>
        <v>0.70370370370370372</v>
      </c>
      <c r="J20" s="3">
        <v>20</v>
      </c>
      <c r="K20" s="8">
        <v>269.59186899999997</v>
      </c>
      <c r="L20" s="3">
        <v>1490</v>
      </c>
      <c r="M20" s="3">
        <f t="shared" si="3"/>
        <v>0.35</v>
      </c>
      <c r="N20" s="3">
        <f t="shared" si="8"/>
        <v>0.65</v>
      </c>
      <c r="O20" s="3">
        <v>10</v>
      </c>
      <c r="P20" s="3">
        <v>0</v>
      </c>
      <c r="Q20" s="4">
        <f t="shared" si="0"/>
        <v>0.43999999999999995</v>
      </c>
      <c r="R20" s="11">
        <f>(C20/(C20+D20))/C20</f>
        <v>3.7037037037037037</v>
      </c>
      <c r="S20" s="11">
        <f t="shared" si="5"/>
        <v>1.6296296296296295</v>
      </c>
      <c r="T20" s="15">
        <f>(F20*N20)/SUM((E20*M20),(F20*N20))</f>
        <v>0.59336099585062241</v>
      </c>
      <c r="U20" s="11">
        <f>(C20*J20)/SUM((C20*J20), (D20*J21))/C20</f>
        <v>2.8801843317972353</v>
      </c>
      <c r="V20" s="11">
        <f t="shared" si="6"/>
        <v>1.708989043348567</v>
      </c>
      <c r="W20" s="11">
        <f>(F20*O20)/SUM((E20*K20),(F20*O20))</f>
        <v>2.8319231719550905E-2</v>
      </c>
      <c r="X20" s="11">
        <f>(C20*L20)/SUM((C20*L20),(D20*L21))/C20</f>
        <v>3.3994980606890253</v>
      </c>
      <c r="Y20" s="11">
        <f t="shared" si="7"/>
        <v>9.627117331081643E-2</v>
      </c>
      <c r="Z20" s="10" t="s">
        <v>67</v>
      </c>
      <c r="AA20" s="10" t="s">
        <v>32</v>
      </c>
      <c r="AB20" s="10" t="s">
        <v>32</v>
      </c>
      <c r="AC20" s="10" t="s">
        <v>33</v>
      </c>
      <c r="AD20" s="10" t="s">
        <v>34</v>
      </c>
    </row>
    <row r="21" spans="1:30" ht="15.75">
      <c r="A21" s="3" t="s">
        <v>68</v>
      </c>
      <c r="B21" s="9" t="s">
        <v>66</v>
      </c>
      <c r="C21" s="4">
        <v>0.19</v>
      </c>
      <c r="D21" s="4">
        <v>0.08</v>
      </c>
      <c r="E21" s="4">
        <v>0.56000000000000005</v>
      </c>
      <c r="F21" s="4">
        <f t="shared" si="1"/>
        <v>0.43999999999999995</v>
      </c>
      <c r="G21" s="3" t="s">
        <v>35</v>
      </c>
      <c r="H21" s="4">
        <f t="shared" si="2"/>
        <v>0.73</v>
      </c>
      <c r="I21" s="3">
        <f>D21/(1-H21)</f>
        <v>0.29629629629629628</v>
      </c>
      <c r="J21" s="3">
        <v>39.299999999999997</v>
      </c>
      <c r="K21" s="8">
        <v>269.59186899999997</v>
      </c>
      <c r="L21" s="3">
        <v>1940</v>
      </c>
      <c r="M21" s="3">
        <f t="shared" si="3"/>
        <v>0.35</v>
      </c>
      <c r="N21" s="3">
        <f t="shared" si="8"/>
        <v>0.65</v>
      </c>
      <c r="O21" s="3">
        <v>10</v>
      </c>
      <c r="P21" s="3">
        <v>0</v>
      </c>
      <c r="Q21" s="4">
        <f t="shared" si="0"/>
        <v>0.43999999999999995</v>
      </c>
      <c r="R21" s="11">
        <f>(D21/(D21+C21))/D21</f>
        <v>3.7037037037037033</v>
      </c>
      <c r="S21" s="11">
        <f t="shared" si="5"/>
        <v>1.6296296296296293</v>
      </c>
      <c r="T21" s="15">
        <f>(F21*N21)/SUM((E21*M21),(F21*N21))</f>
        <v>0.59336099585062241</v>
      </c>
      <c r="U21" s="11">
        <f>(D21*J21)/SUM((C21*J20),(D21*J21))/D21</f>
        <v>5.6595622119815667</v>
      </c>
      <c r="V21" s="11">
        <f t="shared" si="6"/>
        <v>3.3581634701799339</v>
      </c>
      <c r="W21" s="11">
        <f>(F21*O21)/SUM((E21*K21),(F21*O21))</f>
        <v>2.8319231719550905E-2</v>
      </c>
      <c r="X21" s="11">
        <f>(D21*L21)/SUM((D21*L21),(C21*L20))/D21</f>
        <v>4.4261921058635636</v>
      </c>
      <c r="Y21" s="11">
        <f t="shared" si="7"/>
        <v>0.12534635988119724</v>
      </c>
      <c r="Z21" s="10" t="s">
        <v>67</v>
      </c>
      <c r="AA21" s="10" t="s">
        <v>32</v>
      </c>
      <c r="AB21" s="10" t="s">
        <v>32</v>
      </c>
      <c r="AC21" s="10" t="s">
        <v>33</v>
      </c>
      <c r="AD21" s="10" t="s">
        <v>34</v>
      </c>
    </row>
    <row r="22" spans="1:30" ht="15.75">
      <c r="A22" s="3" t="s">
        <v>69</v>
      </c>
      <c r="B22" s="9" t="s">
        <v>70</v>
      </c>
      <c r="C22" s="4">
        <v>0.24</v>
      </c>
      <c r="D22" s="4">
        <v>0.13</v>
      </c>
      <c r="E22" s="4">
        <v>0.61</v>
      </c>
      <c r="F22" s="4">
        <f t="shared" si="1"/>
        <v>0.39</v>
      </c>
      <c r="G22" s="3" t="s">
        <v>30</v>
      </c>
      <c r="H22" s="4">
        <f t="shared" si="2"/>
        <v>0.63</v>
      </c>
      <c r="I22" s="3">
        <f>C22/(1-H22)</f>
        <v>0.64864864864864868</v>
      </c>
      <c r="J22" s="3">
        <v>19.100000000000001</v>
      </c>
      <c r="K22" s="8">
        <v>267.015558</v>
      </c>
      <c r="L22" s="3">
        <v>1490</v>
      </c>
      <c r="M22" s="3">
        <f t="shared" si="3"/>
        <v>0.35</v>
      </c>
      <c r="N22" s="3">
        <f t="shared" si="8"/>
        <v>0.65</v>
      </c>
      <c r="O22" s="3">
        <v>10</v>
      </c>
      <c r="P22" s="3">
        <v>0</v>
      </c>
      <c r="Q22" s="4">
        <f t="shared" si="0"/>
        <v>0.39</v>
      </c>
      <c r="R22" s="11">
        <f>(C22/(C22+D22))/C22</f>
        <v>2.7027027027027031</v>
      </c>
      <c r="S22" s="11">
        <f t="shared" si="5"/>
        <v>1.0540540540540542</v>
      </c>
      <c r="T22" s="15">
        <f>(F22*N22)/SUM((E22*M22),(F22*N22))</f>
        <v>0.54282655246252676</v>
      </c>
      <c r="U22" s="11">
        <f>(C22*J22)/SUM((C22*J22), (D22*J23))/C22</f>
        <v>1.970494171051274</v>
      </c>
      <c r="V22" s="11">
        <f t="shared" si="6"/>
        <v>1.0696365575192675</v>
      </c>
      <c r="W22" s="11">
        <f>(F22*O22)/SUM((E22*K22),(F22*O22))</f>
        <v>2.3384170266463913E-2</v>
      </c>
      <c r="X22" s="11">
        <f>(C22*L22)/SUM((C22*L22),(D22*L23))/C22</f>
        <v>2.4434240734667108</v>
      </c>
      <c r="Y22" s="11">
        <f t="shared" si="7"/>
        <v>5.7137444567122393E-2</v>
      </c>
      <c r="Z22" t="s">
        <v>71</v>
      </c>
      <c r="AA22" s="10" t="s">
        <v>32</v>
      </c>
      <c r="AB22" s="10" t="s">
        <v>32</v>
      </c>
      <c r="AC22" s="10" t="s">
        <v>33</v>
      </c>
      <c r="AD22" s="10" t="s">
        <v>34</v>
      </c>
    </row>
    <row r="23" spans="1:30" ht="15.75">
      <c r="A23" s="3" t="s">
        <v>72</v>
      </c>
      <c r="B23" s="9" t="s">
        <v>70</v>
      </c>
      <c r="C23" s="4">
        <v>0.24</v>
      </c>
      <c r="D23" s="4">
        <v>0.13</v>
      </c>
      <c r="E23" s="4">
        <v>0.61</v>
      </c>
      <c r="F23" s="4">
        <f t="shared" si="1"/>
        <v>0.39</v>
      </c>
      <c r="G23" s="3" t="s">
        <v>35</v>
      </c>
      <c r="H23" s="4">
        <f t="shared" si="2"/>
        <v>0.63</v>
      </c>
      <c r="I23" s="3">
        <f>D23/(1-H23)</f>
        <v>0.35135135135135137</v>
      </c>
      <c r="J23" s="3">
        <v>39.299999999999997</v>
      </c>
      <c r="K23" s="8">
        <v>267.015558</v>
      </c>
      <c r="L23" s="3">
        <v>1940</v>
      </c>
      <c r="M23" s="3">
        <f t="shared" si="3"/>
        <v>0.35</v>
      </c>
      <c r="N23" s="3">
        <f t="shared" si="8"/>
        <v>0.65</v>
      </c>
      <c r="O23" s="3">
        <v>10</v>
      </c>
      <c r="P23" s="3">
        <v>0</v>
      </c>
      <c r="Q23" s="4">
        <f t="shared" si="0"/>
        <v>0.39</v>
      </c>
      <c r="R23" s="11">
        <f>(D23/(D23+C23))/D23</f>
        <v>2.7027027027027026</v>
      </c>
      <c r="S23" s="11">
        <f t="shared" si="5"/>
        <v>1.0540540540540542</v>
      </c>
      <c r="T23" s="15">
        <f>(F23*N23)/SUM((E23*M23),(F23*N23))</f>
        <v>0.54282655246252676</v>
      </c>
      <c r="U23" s="11">
        <f>(D23*J23)/SUM((C23*J22),(D23*J23))/D23</f>
        <v>4.0544722995976468</v>
      </c>
      <c r="V23" s="11">
        <f t="shared" si="6"/>
        <v>2.2008752204454036</v>
      </c>
      <c r="W23" s="11">
        <f>(F23*O23)/SUM((E23*K23),(F23*O23))</f>
        <v>2.3384170266463913E-2</v>
      </c>
      <c r="X23" s="11">
        <f>(D23*L23)/SUM((D23*L23),(C23*L22))/D23</f>
        <v>3.1813709412922275</v>
      </c>
      <c r="Y23" s="11">
        <f t="shared" si="7"/>
        <v>7.4393719771958022E-2</v>
      </c>
      <c r="Z23" t="s">
        <v>71</v>
      </c>
      <c r="AA23" s="10" t="s">
        <v>32</v>
      </c>
      <c r="AB23" s="10" t="s">
        <v>32</v>
      </c>
      <c r="AC23" s="10" t="s">
        <v>33</v>
      </c>
      <c r="AD23" s="10" t="s">
        <v>34</v>
      </c>
    </row>
    <row r="24" spans="1:30">
      <c r="A24" s="3" t="s">
        <v>73</v>
      </c>
      <c r="B24" s="9" t="s">
        <v>74</v>
      </c>
      <c r="C24" s="4">
        <v>0.23</v>
      </c>
      <c r="D24" s="4">
        <v>0.05</v>
      </c>
      <c r="E24" s="4">
        <v>0.62</v>
      </c>
      <c r="F24" s="4">
        <f t="shared" si="1"/>
        <v>0.38</v>
      </c>
      <c r="G24" s="3" t="s">
        <v>30</v>
      </c>
      <c r="H24" s="4">
        <f t="shared" si="2"/>
        <v>0.72</v>
      </c>
      <c r="I24" s="3">
        <f>C24/(1-H24)</f>
        <v>0.8214285714285714</v>
      </c>
      <c r="J24" s="3">
        <v>18.399999999999999</v>
      </c>
      <c r="K24" s="3">
        <v>197.28630000000001</v>
      </c>
      <c r="L24" s="3">
        <v>1490</v>
      </c>
      <c r="M24" s="3">
        <f t="shared" si="3"/>
        <v>0.35</v>
      </c>
      <c r="N24" s="3">
        <f t="shared" si="8"/>
        <v>0.65</v>
      </c>
      <c r="O24" s="3">
        <v>10</v>
      </c>
      <c r="P24" s="3">
        <v>0</v>
      </c>
      <c r="Q24" s="4">
        <f t="shared" si="0"/>
        <v>0.38</v>
      </c>
      <c r="R24" s="11">
        <f>(C24/(C24+D24))/C24</f>
        <v>3.5714285714285712</v>
      </c>
      <c r="S24" s="11">
        <f t="shared" si="5"/>
        <v>1.357142857142857</v>
      </c>
      <c r="T24" s="15">
        <f>(F24*N24)/SUM((E24*M24),(F24*N24))</f>
        <v>0.53232758620689657</v>
      </c>
      <c r="U24" s="11">
        <f>(C24*J24)/SUM((C24*J24), (D24*J25))/C24</f>
        <v>2.9691786348233014</v>
      </c>
      <c r="V24" s="11">
        <f t="shared" si="6"/>
        <v>1.5805756956925765</v>
      </c>
      <c r="W24" s="11">
        <f>(F24*O24)/SUM((E24*K24),(F24*O24))</f>
        <v>3.0130630715136403E-2</v>
      </c>
      <c r="X24" s="11">
        <f>(C24*L24)/SUM((C24*L24),(D24*L25))/C24</f>
        <v>3.3886740959745278</v>
      </c>
      <c r="Y24" s="11">
        <f t="shared" si="7"/>
        <v>0.10210288779975719</v>
      </c>
      <c r="Z24" s="10" t="s">
        <v>75</v>
      </c>
      <c r="AA24" s="10" t="s">
        <v>76</v>
      </c>
      <c r="AB24" t="s">
        <v>77</v>
      </c>
      <c r="AC24" s="10" t="s">
        <v>33</v>
      </c>
      <c r="AD24" s="10" t="s">
        <v>34</v>
      </c>
    </row>
    <row r="25" spans="1:30">
      <c r="A25" s="3" t="s">
        <v>73</v>
      </c>
      <c r="B25" s="9" t="s">
        <v>74</v>
      </c>
      <c r="C25" s="4">
        <v>0.23</v>
      </c>
      <c r="D25" s="4">
        <v>0.05</v>
      </c>
      <c r="E25" s="4">
        <v>0.62</v>
      </c>
      <c r="F25" s="4">
        <f t="shared" si="1"/>
        <v>0.38</v>
      </c>
      <c r="G25" s="3" t="s">
        <v>35</v>
      </c>
      <c r="H25" s="4">
        <f t="shared" si="2"/>
        <v>0.72</v>
      </c>
      <c r="I25" s="3">
        <f>D25/(1-H25)</f>
        <v>0.17857142857142858</v>
      </c>
      <c r="J25" s="3">
        <v>39.299999999999997</v>
      </c>
      <c r="K25" s="3">
        <v>197.28630000000001</v>
      </c>
      <c r="L25" s="3">
        <v>1940</v>
      </c>
      <c r="M25" s="3">
        <f t="shared" si="3"/>
        <v>0.35</v>
      </c>
      <c r="N25" s="3">
        <f t="shared" si="8"/>
        <v>0.65</v>
      </c>
      <c r="O25" s="3">
        <v>10</v>
      </c>
      <c r="P25" s="3">
        <v>0</v>
      </c>
      <c r="Q25" s="4">
        <f t="shared" si="0"/>
        <v>0.38</v>
      </c>
      <c r="R25" s="11">
        <f>(D25/(D25+C25))/D25</f>
        <v>3.5714285714285712</v>
      </c>
      <c r="S25" s="11">
        <f t="shared" si="5"/>
        <v>1.357142857142857</v>
      </c>
      <c r="T25" s="15">
        <f>(F25*N25)/SUM((E25*M25),(F25*N25))</f>
        <v>0.53232758620689657</v>
      </c>
      <c r="U25" s="11">
        <f>(D25*J25)/SUM((C25*J24),(D25*J25))/D25</f>
        <v>6.3417782798128117</v>
      </c>
      <c r="V25" s="11">
        <f t="shared" si="6"/>
        <v>3.3759035239520787</v>
      </c>
      <c r="W25" s="11">
        <f>(F25*O25)/SUM((E25*K25),(F25*O25))</f>
        <v>3.0130630715136403E-2</v>
      </c>
      <c r="X25" s="11">
        <f>(D25*L25)/SUM((D25*L25),(C25*L24))/D25</f>
        <v>4.4120991585171705</v>
      </c>
      <c r="Y25" s="11">
        <f t="shared" si="7"/>
        <v>0.13293933042384493</v>
      </c>
      <c r="Z25" s="10" t="s">
        <v>75</v>
      </c>
      <c r="AA25" s="10" t="s">
        <v>76</v>
      </c>
      <c r="AB25" t="s">
        <v>77</v>
      </c>
      <c r="AC25" s="10" t="s">
        <v>33</v>
      </c>
      <c r="AD25" s="10" t="s">
        <v>34</v>
      </c>
    </row>
    <row r="26" spans="1:30">
      <c r="A26" s="3" t="s">
        <v>78</v>
      </c>
      <c r="B26" s="9" t="s">
        <v>79</v>
      </c>
      <c r="C26" s="4">
        <v>0.23</v>
      </c>
      <c r="D26" s="4">
        <v>0.05</v>
      </c>
      <c r="E26" s="4">
        <v>0.62</v>
      </c>
      <c r="F26" s="4">
        <f t="shared" si="1"/>
        <v>0.38</v>
      </c>
      <c r="G26" s="3" t="s">
        <v>30</v>
      </c>
      <c r="H26" s="4">
        <f t="shared" si="2"/>
        <v>0.72</v>
      </c>
      <c r="I26" s="3">
        <f>C26/(1-H26)</f>
        <v>0.8214285714285714</v>
      </c>
      <c r="J26" s="3">
        <v>18.399999999999999</v>
      </c>
      <c r="K26" s="3">
        <v>199.85730000000001</v>
      </c>
      <c r="L26" s="3">
        <v>1490</v>
      </c>
      <c r="M26" s="3">
        <f t="shared" si="3"/>
        <v>0.35</v>
      </c>
      <c r="N26" s="3">
        <f t="shared" si="8"/>
        <v>0.65</v>
      </c>
      <c r="O26" s="3">
        <v>10</v>
      </c>
      <c r="P26" s="3">
        <v>0</v>
      </c>
      <c r="Q26" s="4">
        <f t="shared" si="0"/>
        <v>0.38</v>
      </c>
      <c r="R26" s="11">
        <f>(C26/(C26+D26))/C26</f>
        <v>3.5714285714285712</v>
      </c>
      <c r="S26" s="11">
        <f t="shared" si="5"/>
        <v>1.357142857142857</v>
      </c>
      <c r="T26" s="15">
        <f>(F26*N26)/SUM((E26*M26),(F26*N26))</f>
        <v>0.53232758620689657</v>
      </c>
      <c r="U26" s="11">
        <f>(C26*J26)/SUM((C26*J26), (D26*J27))/C26</f>
        <v>2.9691786348233014</v>
      </c>
      <c r="V26" s="11">
        <f t="shared" si="6"/>
        <v>1.5805756956925765</v>
      </c>
      <c r="W26" s="11">
        <f>(F26*O26)/SUM((E26*K26),(F26*O26))</f>
        <v>2.9754557940212849E-2</v>
      </c>
      <c r="X26" s="11">
        <f>(C26*L26)/SUM((C26*L26),(D26*L27))/C26</f>
        <v>3.3886740959745278</v>
      </c>
      <c r="Y26" s="11">
        <f t="shared" si="7"/>
        <v>0.10082849972917249</v>
      </c>
      <c r="Z26" s="10" t="s">
        <v>75</v>
      </c>
      <c r="AA26" s="10" t="s">
        <v>32</v>
      </c>
      <c r="AB26" s="10" t="s">
        <v>32</v>
      </c>
      <c r="AC26" s="10" t="s">
        <v>33</v>
      </c>
      <c r="AD26" s="10" t="s">
        <v>34</v>
      </c>
    </row>
    <row r="27" spans="1:30">
      <c r="A27" s="3" t="s">
        <v>78</v>
      </c>
      <c r="B27" s="9" t="s">
        <v>79</v>
      </c>
      <c r="C27" s="4">
        <v>0.23</v>
      </c>
      <c r="D27" s="4">
        <v>0.05</v>
      </c>
      <c r="E27" s="4">
        <v>0.62</v>
      </c>
      <c r="F27" s="4">
        <f t="shared" si="1"/>
        <v>0.38</v>
      </c>
      <c r="G27" s="3" t="s">
        <v>35</v>
      </c>
      <c r="H27" s="4">
        <f t="shared" si="2"/>
        <v>0.72</v>
      </c>
      <c r="I27" s="3">
        <f>D27/(1-H27)</f>
        <v>0.17857142857142858</v>
      </c>
      <c r="J27" s="3">
        <v>39.299999999999997</v>
      </c>
      <c r="K27" s="3">
        <v>199.85730000000001</v>
      </c>
      <c r="L27" s="3">
        <v>1940</v>
      </c>
      <c r="M27" s="3">
        <f t="shared" si="3"/>
        <v>0.35</v>
      </c>
      <c r="N27" s="3">
        <f t="shared" si="8"/>
        <v>0.65</v>
      </c>
      <c r="O27" s="3">
        <v>10</v>
      </c>
      <c r="P27" s="3">
        <v>0</v>
      </c>
      <c r="Q27" s="4">
        <f t="shared" si="0"/>
        <v>0.38</v>
      </c>
      <c r="R27" s="11">
        <f>(D27/(D27+C27))/D27</f>
        <v>3.5714285714285712</v>
      </c>
      <c r="S27" s="11">
        <f t="shared" si="5"/>
        <v>1.357142857142857</v>
      </c>
      <c r="T27" s="15">
        <f>(F27*N27)/SUM((E27*M27),(F27*N27))</f>
        <v>0.53232758620689657</v>
      </c>
      <c r="U27" s="11">
        <f>(D27*J27)/SUM((C27*J26),(D27*J27))/D27</f>
        <v>6.3417782798128117</v>
      </c>
      <c r="V27" s="11">
        <f t="shared" si="6"/>
        <v>3.3759035239520787</v>
      </c>
      <c r="W27" s="11">
        <f>(F27*O27)/SUM((E27*K27),(F27*O27))</f>
        <v>2.9754557940212849E-2</v>
      </c>
      <c r="X27" s="11">
        <f>(D27*L27)/SUM((D27*L27),(C27*L26))/D27</f>
        <v>4.4120991585171705</v>
      </c>
      <c r="Y27" s="11">
        <f t="shared" si="7"/>
        <v>0.13128006005006351</v>
      </c>
      <c r="Z27" s="10" t="s">
        <v>75</v>
      </c>
      <c r="AA27" s="10" t="s">
        <v>32</v>
      </c>
      <c r="AB27" s="10" t="s">
        <v>32</v>
      </c>
      <c r="AC27" s="10" t="s">
        <v>33</v>
      </c>
      <c r="AD27" s="10" t="s">
        <v>34</v>
      </c>
    </row>
    <row r="28" spans="1:30">
      <c r="A28" s="3" t="s">
        <v>80</v>
      </c>
      <c r="B28" s="9" t="s">
        <v>81</v>
      </c>
      <c r="C28" s="4">
        <v>0.17</v>
      </c>
      <c r="D28" s="4">
        <v>1.7000000000000001E-2</v>
      </c>
      <c r="E28" s="4">
        <v>0.41</v>
      </c>
      <c r="F28" s="4">
        <f t="shared" si="1"/>
        <v>0.59000000000000008</v>
      </c>
      <c r="G28" s="3" t="s">
        <v>30</v>
      </c>
      <c r="H28" s="4">
        <f t="shared" si="2"/>
        <v>0.81299999999999994</v>
      </c>
      <c r="I28" s="3">
        <f>C28/(1-H28)</f>
        <v>0.90909090909090884</v>
      </c>
      <c r="J28" s="3">
        <v>18.399999999999999</v>
      </c>
      <c r="K28" s="3">
        <v>89.5642</v>
      </c>
      <c r="L28" s="3">
        <v>1490</v>
      </c>
      <c r="M28" s="3">
        <f t="shared" si="3"/>
        <v>0.42000000000000004</v>
      </c>
      <c r="N28" s="3">
        <f>$C$60</f>
        <v>0.57999999999999996</v>
      </c>
      <c r="O28" s="3">
        <v>10</v>
      </c>
      <c r="P28" s="3">
        <v>0</v>
      </c>
      <c r="Q28" s="4">
        <f t="shared" si="0"/>
        <v>0.59000000000000008</v>
      </c>
      <c r="R28" s="11">
        <f>(C28/(C28+D28))/C28</f>
        <v>5.3475935828877006</v>
      </c>
      <c r="S28" s="11">
        <f t="shared" si="5"/>
        <v>3.1550802139037439</v>
      </c>
      <c r="T28" s="15">
        <f>(F28*N28)/SUM((E28*M28),(F28*N28))</f>
        <v>0.6652410575427683</v>
      </c>
      <c r="U28" s="11">
        <f>(C28*J28)/SUM((C28*J28), (D28*J29))/C28</f>
        <v>4.8470798977898371</v>
      </c>
      <c r="V28" s="11">
        <f t="shared" si="6"/>
        <v>3.2244765572000045</v>
      </c>
      <c r="W28" s="11">
        <f>(F28*O28)/SUM((E28*K28),(F28*O28))</f>
        <v>0.13842836690987673</v>
      </c>
      <c r="X28" s="11">
        <f>(C28*L28)/SUM((C28*L28),(D28*L29))/C28</f>
        <v>5.2046947044851191</v>
      </c>
      <c r="Y28" s="11">
        <f t="shared" si="7"/>
        <v>0.72047738820635854</v>
      </c>
      <c r="Z28" s="10" t="s">
        <v>82</v>
      </c>
      <c r="AA28" s="10" t="s">
        <v>83</v>
      </c>
      <c r="AB28" s="10" t="s">
        <v>84</v>
      </c>
      <c r="AC28" s="10" t="s">
        <v>33</v>
      </c>
      <c r="AD28" s="10" t="s">
        <v>34</v>
      </c>
    </row>
    <row r="29" spans="1:30">
      <c r="A29" s="3" t="s">
        <v>80</v>
      </c>
      <c r="B29" s="9" t="s">
        <v>81</v>
      </c>
      <c r="C29" s="4">
        <v>0.17</v>
      </c>
      <c r="D29" s="4">
        <v>1.7000000000000001E-2</v>
      </c>
      <c r="E29" s="4">
        <v>0.41</v>
      </c>
      <c r="F29" s="4">
        <f t="shared" si="1"/>
        <v>0.59000000000000008</v>
      </c>
      <c r="G29" s="3" t="s">
        <v>35</v>
      </c>
      <c r="H29" s="4">
        <f t="shared" si="2"/>
        <v>0.81299999999999994</v>
      </c>
      <c r="I29" s="3">
        <f>D29/(1-H29)</f>
        <v>9.0909090909090884E-2</v>
      </c>
      <c r="J29" s="3">
        <v>39.299999999999997</v>
      </c>
      <c r="K29" s="3">
        <v>89.5642</v>
      </c>
      <c r="L29" s="3">
        <v>1940</v>
      </c>
      <c r="M29" s="3">
        <f t="shared" si="3"/>
        <v>0.42000000000000004</v>
      </c>
      <c r="N29" s="3">
        <f>$C$60</f>
        <v>0.57999999999999996</v>
      </c>
      <c r="O29" s="3">
        <v>10</v>
      </c>
      <c r="P29" s="3">
        <v>0</v>
      </c>
      <c r="Q29" s="4">
        <f t="shared" si="0"/>
        <v>0.59000000000000008</v>
      </c>
      <c r="R29" s="11">
        <f>(D29/(D29+C29))/D29</f>
        <v>5.3475935828877006</v>
      </c>
      <c r="S29" s="11">
        <f t="shared" si="5"/>
        <v>3.1550802139037439</v>
      </c>
      <c r="T29" s="15">
        <f>(F29*N29)/SUM((E29*M29),(F29*N29))</f>
        <v>0.6652410575427683</v>
      </c>
      <c r="U29" s="11">
        <f>(D29*J29)/SUM((C29*J28),(D29*J29))/D29</f>
        <v>10.352730433866336</v>
      </c>
      <c r="V29" s="11">
        <f t="shared" si="6"/>
        <v>6.8870613422804441</v>
      </c>
      <c r="W29" s="11">
        <f>(F29*O29)/SUM((E29*K29),(F29*O29))</f>
        <v>0.13842836690987673</v>
      </c>
      <c r="X29" s="11">
        <f>(D29*L29)/SUM((D29*L29),(C29*L28))/D29</f>
        <v>6.7765823669135106</v>
      </c>
      <c r="Y29" s="11">
        <f t="shared" si="7"/>
        <v>0.93807123028210426</v>
      </c>
      <c r="Z29" s="10"/>
      <c r="AA29" s="10"/>
      <c r="AB29" s="10" t="s">
        <v>84</v>
      </c>
      <c r="AC29" s="10" t="s">
        <v>33</v>
      </c>
      <c r="AD29" s="10" t="s">
        <v>34</v>
      </c>
    </row>
    <row r="30" spans="1:30">
      <c r="A30" s="3" t="s">
        <v>85</v>
      </c>
      <c r="B30" s="9" t="s">
        <v>86</v>
      </c>
      <c r="C30" s="4">
        <v>0.17</v>
      </c>
      <c r="D30" s="4">
        <v>1.7000000000000001E-2</v>
      </c>
      <c r="E30" s="4">
        <v>0.47</v>
      </c>
      <c r="F30" s="4">
        <f t="shared" si="1"/>
        <v>0.53</v>
      </c>
      <c r="G30" s="3" t="s">
        <v>30</v>
      </c>
      <c r="H30" s="4">
        <f t="shared" si="2"/>
        <v>0.81299999999999994</v>
      </c>
      <c r="I30" s="3">
        <f>C30/(1-H30)</f>
        <v>0.90909090909090884</v>
      </c>
      <c r="J30" s="3">
        <v>18.399999999999999</v>
      </c>
      <c r="K30" s="3">
        <v>243.3389</v>
      </c>
      <c r="L30" s="3">
        <v>1490</v>
      </c>
      <c r="M30" s="3">
        <f t="shared" si="3"/>
        <v>0.42000000000000004</v>
      </c>
      <c r="N30" s="3">
        <f>$C$60</f>
        <v>0.57999999999999996</v>
      </c>
      <c r="O30" s="3">
        <v>10</v>
      </c>
      <c r="P30" s="3">
        <v>0</v>
      </c>
      <c r="Q30" s="4">
        <f>F30/(E30+F30)</f>
        <v>0.53</v>
      </c>
      <c r="R30" s="11">
        <f>(C30/(C30+D30))/C30</f>
        <v>5.3475935828877006</v>
      </c>
      <c r="S30" s="11">
        <f t="shared" si="5"/>
        <v>2.8342245989304815</v>
      </c>
      <c r="T30" s="15">
        <f>(F30*N30)/SUM((E30*M30),(F30*N30))</f>
        <v>0.60895404120443741</v>
      </c>
      <c r="U30" s="11">
        <f>(C30*J30)/SUM((C30*J30), (D30*J31))/C30</f>
        <v>4.8470798977898371</v>
      </c>
      <c r="V30" s="11">
        <f t="shared" si="6"/>
        <v>2.9516488917999126</v>
      </c>
      <c r="W30" s="11">
        <f>(F30*O30)/SUM((E30*K30),(F30*O30))</f>
        <v>4.4288725286337691E-2</v>
      </c>
      <c r="X30" s="11">
        <f>(C30*L30)/SUM((C30*L30),(D30*L31))/C30</f>
        <v>5.2046947044851191</v>
      </c>
      <c r="Y30" s="11">
        <f t="shared" si="7"/>
        <v>0.23050929396619796</v>
      </c>
      <c r="Z30" s="10" t="s">
        <v>87</v>
      </c>
      <c r="AA30" s="10"/>
      <c r="AB30" s="10" t="s">
        <v>84</v>
      </c>
      <c r="AC30" s="10" t="s">
        <v>33</v>
      </c>
      <c r="AD30" s="10" t="s">
        <v>34</v>
      </c>
    </row>
    <row r="31" spans="1:30">
      <c r="A31" s="3" t="s">
        <v>85</v>
      </c>
      <c r="B31" s="9" t="s">
        <v>86</v>
      </c>
      <c r="C31" s="4">
        <v>0.17</v>
      </c>
      <c r="D31" s="4">
        <v>1.7000000000000001E-2</v>
      </c>
      <c r="E31" s="4">
        <v>0.47</v>
      </c>
      <c r="F31" s="4">
        <f t="shared" si="1"/>
        <v>0.53</v>
      </c>
      <c r="G31" s="3" t="s">
        <v>35</v>
      </c>
      <c r="H31" s="4">
        <f t="shared" si="2"/>
        <v>0.81299999999999994</v>
      </c>
      <c r="I31" s="3">
        <f>D31/(1-H31)</f>
        <v>9.0909090909090884E-2</v>
      </c>
      <c r="J31" s="3">
        <v>39.299999999999997</v>
      </c>
      <c r="K31" s="3">
        <v>243.3389</v>
      </c>
      <c r="L31" s="3">
        <v>1940</v>
      </c>
      <c r="M31" s="3">
        <f t="shared" si="3"/>
        <v>0.42000000000000004</v>
      </c>
      <c r="N31" s="3">
        <f>$C$60</f>
        <v>0.57999999999999996</v>
      </c>
      <c r="O31" s="3">
        <v>10</v>
      </c>
      <c r="P31" s="3">
        <v>0</v>
      </c>
      <c r="Q31" s="4">
        <f t="shared" si="0"/>
        <v>0.53</v>
      </c>
      <c r="R31" s="11">
        <f>(D31/(D31+C31))/D31</f>
        <v>5.3475935828877006</v>
      </c>
      <c r="S31" s="11">
        <f t="shared" si="5"/>
        <v>2.8342245989304815</v>
      </c>
      <c r="T31" s="15">
        <f>(F31*N31)/SUM((E31*M31),(F31*N31))</f>
        <v>0.60895404120443741</v>
      </c>
      <c r="U31" s="11">
        <f>(D31*J31)/SUM((C31*J30),(D31*J31))/D31</f>
        <v>10.352730433866336</v>
      </c>
      <c r="V31" s="11">
        <f t="shared" si="6"/>
        <v>6.3043370352030736</v>
      </c>
      <c r="W31" s="11">
        <f>(F31*O31)/SUM((E31*K31),(F31*O31))</f>
        <v>4.4288725286337691E-2</v>
      </c>
      <c r="X31" s="11">
        <f>(D31*L31)/SUM((D31*L31),(C31*L30))/D31</f>
        <v>6.7765823669135106</v>
      </c>
      <c r="Y31" s="11">
        <f t="shared" si="7"/>
        <v>0.30012619482847253</v>
      </c>
      <c r="Z31" s="10" t="s">
        <v>87</v>
      </c>
      <c r="AA31" s="10"/>
      <c r="AB31" s="10" t="s">
        <v>84</v>
      </c>
      <c r="AC31" s="10" t="s">
        <v>33</v>
      </c>
      <c r="AD31" s="10" t="s">
        <v>34</v>
      </c>
    </row>
    <row r="32" spans="1:30" ht="30.75">
      <c r="A32" s="5"/>
      <c r="B32" s="5"/>
      <c r="C32" s="6"/>
      <c r="D32" s="7"/>
      <c r="E32" s="6" t="s">
        <v>88</v>
      </c>
      <c r="F32" s="7"/>
      <c r="G32" s="5"/>
      <c r="H32" s="3"/>
      <c r="I32" s="3"/>
      <c r="J32" s="3"/>
      <c r="K32" s="3"/>
      <c r="L32" s="3"/>
      <c r="M32" s="3"/>
      <c r="N32" s="3"/>
      <c r="O32" s="3"/>
      <c r="P32" s="3"/>
      <c r="Q32" s="3"/>
      <c r="R32" s="3"/>
      <c r="S32" s="3"/>
      <c r="T32" s="3"/>
      <c r="U32" s="3"/>
      <c r="V32" s="3"/>
      <c r="W32" s="11"/>
      <c r="X32" s="3"/>
      <c r="Y32" s="11">
        <f t="shared" si="7"/>
        <v>0</v>
      </c>
    </row>
    <row r="33" spans="1:20" ht="15.75">
      <c r="A33" s="8"/>
      <c r="B33" s="8"/>
      <c r="C33" s="8"/>
    </row>
    <row r="34" spans="1:20" ht="15.75">
      <c r="A34" s="8"/>
      <c r="B34" s="8"/>
      <c r="C34" s="8"/>
    </row>
    <row r="35" spans="1:20" ht="15.75">
      <c r="A35" s="13" t="s">
        <v>89</v>
      </c>
      <c r="B35" s="13"/>
      <c r="C35" s="8"/>
      <c r="Q35">
        <f>T2*C2</f>
        <v>0.14878048780487804</v>
      </c>
      <c r="R35">
        <f>D2*Q2</f>
        <v>7.3200000000000001E-2</v>
      </c>
      <c r="S35">
        <f>(Q35)/SUM((Q35),(R35),(E2))</f>
        <v>0.24311312332610638</v>
      </c>
      <c r="T35">
        <f>S35/Q35</f>
        <v>1.6340390256344857</v>
      </c>
    </row>
    <row r="36" spans="1:20">
      <c r="A36" s="3" t="s">
        <v>90</v>
      </c>
      <c r="B36" s="3"/>
      <c r="C36" t="s">
        <v>91</v>
      </c>
      <c r="D36" t="s">
        <v>92</v>
      </c>
      <c r="E36" t="s">
        <v>93</v>
      </c>
      <c r="F36" t="s">
        <v>94</v>
      </c>
      <c r="Q36">
        <f>T3*C3</f>
        <v>0.14878048780487804</v>
      </c>
      <c r="R36">
        <f>D3*Q3</f>
        <v>7.3200000000000001E-2</v>
      </c>
      <c r="S36">
        <f>(R36)/SUM((R36),(Q36),(E3))</f>
        <v>0.11961165667644434</v>
      </c>
      <c r="T36">
        <f>S36/R36</f>
        <v>1.6340390256344854</v>
      </c>
    </row>
    <row r="37" spans="1:20">
      <c r="A37" s="3" t="s">
        <v>95</v>
      </c>
      <c r="B37" s="3"/>
      <c r="C37" s="12">
        <f>1-(C2+D2)</f>
        <v>0.67999999999999994</v>
      </c>
      <c r="D37">
        <v>0.68</v>
      </c>
      <c r="E37" s="10" t="s">
        <v>96</v>
      </c>
    </row>
    <row r="38" spans="1:20">
      <c r="A38" t="s">
        <v>97</v>
      </c>
      <c r="C38" s="12">
        <f>1-(C6+D6)</f>
        <v>0.74</v>
      </c>
      <c r="D38">
        <v>0.72</v>
      </c>
      <c r="E38" s="10" t="s">
        <v>98</v>
      </c>
      <c r="F38" t="s">
        <v>99</v>
      </c>
      <c r="Q38">
        <v>0.122</v>
      </c>
      <c r="R38">
        <v>7.3200000000000001E-2</v>
      </c>
      <c r="S38">
        <v>0.16137701362146015</v>
      </c>
      <c r="T38">
        <v>1.3227624067332799</v>
      </c>
    </row>
    <row r="39" spans="1:20">
      <c r="A39" t="s">
        <v>100</v>
      </c>
      <c r="C39" s="12">
        <f>1-(C12+D12)</f>
        <v>0.74</v>
      </c>
      <c r="D39">
        <v>0.72</v>
      </c>
      <c r="E39" s="10" t="s">
        <v>98</v>
      </c>
      <c r="F39" t="s">
        <v>99</v>
      </c>
      <c r="Q39">
        <v>0.122</v>
      </c>
      <c r="R39">
        <v>7.3200000000000001E-2</v>
      </c>
      <c r="S39">
        <v>0.17218416204497874</v>
      </c>
      <c r="T39">
        <v>2.3522426508876877</v>
      </c>
    </row>
    <row r="40" spans="1:20">
      <c r="A40" t="s">
        <v>101</v>
      </c>
      <c r="C40" s="12">
        <f>1-(C8+D8)</f>
        <v>0.61699999999999999</v>
      </c>
      <c r="D40">
        <v>0.68</v>
      </c>
      <c r="E40" s="10" t="s">
        <v>102</v>
      </c>
      <c r="F40" t="s">
        <v>103</v>
      </c>
    </row>
    <row r="41" spans="1:20">
      <c r="A41" t="s">
        <v>104</v>
      </c>
      <c r="C41" s="12">
        <f>1-(C14+D14)</f>
        <v>0.75</v>
      </c>
      <c r="D41">
        <v>0.75</v>
      </c>
      <c r="E41" s="10" t="s">
        <v>105</v>
      </c>
      <c r="F41" t="s">
        <v>106</v>
      </c>
    </row>
    <row r="42" spans="1:20">
      <c r="A42" s="3" t="s">
        <v>107</v>
      </c>
      <c r="B42" s="3"/>
      <c r="C42" s="12">
        <f>1-(C16+D16)</f>
        <v>0.61699999999999999</v>
      </c>
      <c r="D42">
        <v>0.75</v>
      </c>
      <c r="E42" s="10" t="s">
        <v>108</v>
      </c>
    </row>
    <row r="43" spans="1:20">
      <c r="A43" t="s">
        <v>109</v>
      </c>
      <c r="C43" s="12">
        <f>1-(C10+D10)</f>
        <v>0.78</v>
      </c>
      <c r="D43">
        <v>0.81</v>
      </c>
      <c r="E43" s="10" t="s">
        <v>110</v>
      </c>
    </row>
    <row r="44" spans="1:20">
      <c r="A44" t="s">
        <v>111</v>
      </c>
      <c r="C44" s="12">
        <f>1-(C20+D20)</f>
        <v>0.73</v>
      </c>
      <c r="D44">
        <v>0.67</v>
      </c>
      <c r="E44" s="10" t="s">
        <v>112</v>
      </c>
    </row>
    <row r="45" spans="1:20">
      <c r="A45" t="s">
        <v>113</v>
      </c>
      <c r="C45" s="12">
        <f>1-(C22+D22)</f>
        <v>0.63</v>
      </c>
      <c r="D45">
        <v>0.69</v>
      </c>
      <c r="E45" s="10" t="s">
        <v>114</v>
      </c>
      <c r="F45" t="s">
        <v>115</v>
      </c>
    </row>
    <row r="46" spans="1:20">
      <c r="A46" t="s">
        <v>116</v>
      </c>
      <c r="C46" s="12">
        <f>1-(C26+D26)</f>
        <v>0.72</v>
      </c>
      <c r="D46">
        <v>0.74</v>
      </c>
      <c r="E46" s="10" t="s">
        <v>117</v>
      </c>
      <c r="F46" t="s">
        <v>118</v>
      </c>
    </row>
    <row r="47" spans="1:20">
      <c r="C47" s="12"/>
      <c r="E47" s="10"/>
    </row>
    <row r="48" spans="1:20">
      <c r="A48" t="s">
        <v>119</v>
      </c>
    </row>
    <row r="49" spans="1:9">
      <c r="A49" s="3" t="s">
        <v>120</v>
      </c>
      <c r="B49" s="3"/>
      <c r="C49" s="3" t="s">
        <v>121</v>
      </c>
      <c r="D49" s="3" t="s">
        <v>122</v>
      </c>
      <c r="E49" s="3"/>
      <c r="F49" s="3"/>
    </row>
    <row r="50" spans="1:9">
      <c r="A50" s="14">
        <v>2017</v>
      </c>
      <c r="B50" s="14"/>
      <c r="C50" s="3">
        <v>1474.67</v>
      </c>
      <c r="D50" s="3">
        <v>1654.67</v>
      </c>
    </row>
    <row r="51" spans="1:9">
      <c r="A51" s="14">
        <v>2018</v>
      </c>
      <c r="B51" s="14"/>
      <c r="C51" s="3">
        <v>1447.25</v>
      </c>
      <c r="D51" s="3">
        <v>1602.45</v>
      </c>
    </row>
    <row r="52" spans="1:9">
      <c r="A52" s="14">
        <v>2019</v>
      </c>
      <c r="B52" s="14"/>
      <c r="C52" s="3">
        <v>1449.32</v>
      </c>
      <c r="D52" s="3">
        <v>1635.29</v>
      </c>
    </row>
    <row r="53" spans="1:9">
      <c r="A53" t="s">
        <v>123</v>
      </c>
      <c r="C53">
        <f>AVERAGE(C50:C52)</f>
        <v>1457.08</v>
      </c>
      <c r="D53">
        <f>AVERAGE(D50:D52)</f>
        <v>1630.8033333333333</v>
      </c>
      <c r="E53">
        <v>0.22</v>
      </c>
      <c r="F53">
        <v>0.4</v>
      </c>
      <c r="G53">
        <f>F53/SUM(($E$53*$F$53),($E$54*$F$54),($E$55*$F$55))</f>
        <v>0.79207920792079212</v>
      </c>
      <c r="H53">
        <f>(E53*F53)/SUM(($E$53*$F$53),($E$54*$F$54),($E$55*$F$55))/E53</f>
        <v>0.79207920792079212</v>
      </c>
    </row>
    <row r="54" spans="1:9">
      <c r="E54">
        <v>0.09</v>
      </c>
      <c r="F54">
        <v>0.3</v>
      </c>
      <c r="G54">
        <f t="shared" ref="G54:G55" si="9">F54/SUM(($E$53*$F$53),($E$54*$F$54),($E$55*$F$55))</f>
        <v>0.59405940594059403</v>
      </c>
      <c r="H54">
        <f t="shared" ref="H54:H55" si="10">(E54*F54)/SUM(($E$53*$F$53),($E$54*$F$54),($E$55*$F$55))/E54</f>
        <v>0.59405940594059403</v>
      </c>
    </row>
    <row r="55" spans="1:9">
      <c r="E55">
        <v>0.39</v>
      </c>
      <c r="F55">
        <v>1</v>
      </c>
      <c r="G55">
        <f t="shared" si="9"/>
        <v>1.9801980198019802</v>
      </c>
      <c r="H55">
        <f t="shared" si="10"/>
        <v>1.9801980198019802</v>
      </c>
    </row>
    <row r="58" spans="1:9">
      <c r="A58" s="16" t="s">
        <v>124</v>
      </c>
      <c r="B58" s="16"/>
      <c r="D58" s="16" t="s">
        <v>125</v>
      </c>
    </row>
    <row r="59" spans="1:9">
      <c r="A59" t="s">
        <v>126</v>
      </c>
      <c r="C59">
        <f>((11.5*0.65)/0.35)/(11.5+((11.5*0.65)/0.35))</f>
        <v>0.65</v>
      </c>
      <c r="D59" s="10" t="s">
        <v>127</v>
      </c>
      <c r="I59" t="s">
        <v>128</v>
      </c>
    </row>
    <row r="60" spans="1:9">
      <c r="A60" t="s">
        <v>129</v>
      </c>
      <c r="C60">
        <v>0.57999999999999996</v>
      </c>
      <c r="D60" s="10" t="s">
        <v>130</v>
      </c>
      <c r="I60" t="s">
        <v>131</v>
      </c>
    </row>
  </sheetData>
  <hyperlinks>
    <hyperlink ref="Z4" r:id="rId1" xr:uid="{ACFFF2DA-C707-47F9-9932-7E14D02AA18B}"/>
    <hyperlink ref="Z6" r:id="rId2" location="ch3.47" xr:uid="{7C1E24DD-4CF1-4BD6-8A69-6D532C77FA57}"/>
    <hyperlink ref="Z8" r:id="rId3" location="ch3.8" xr:uid="{2D2E84BF-1829-461F-B5EE-FFAF3443256F}"/>
    <hyperlink ref="Z10" r:id="rId4" location="ch3.11" xr:uid="{4648D09D-C857-46E1-8A47-CB7BF7717724}"/>
    <hyperlink ref="Z12" r:id="rId5" location="ch3.52" xr:uid="{0998A214-4424-42D8-AF55-50081E2EA580}"/>
    <hyperlink ref="Z18" r:id="rId6" location="ch3.52" xr:uid="{7DC02F50-2E1C-43EC-A7B6-D5BC65A7C92B}"/>
    <hyperlink ref="Z14" r:id="rId7" location="ch3.13" xr:uid="{944D3139-206B-4702-BBCA-182360FB8D72}"/>
    <hyperlink ref="Z16" r:id="rId8" location="ch3.15" xr:uid="{0A2A4732-67FA-4564-8174-1EB61504C345}"/>
    <hyperlink ref="Z24" r:id="rId9" location="ch3.4" xr:uid="{1D29C73D-5EE0-4FB7-AAC6-A9BEB8F13787}"/>
    <hyperlink ref="Z26" r:id="rId10" location="ch3.4" xr:uid="{D104A959-14FF-4D61-BC1B-EA47DE8B4DFC}"/>
    <hyperlink ref="Z2" r:id="rId11" location="ch3.7" xr:uid="{1D83F903-8A1A-45C9-A5B2-D7F2CB504E5C}"/>
    <hyperlink ref="Z20" r:id="rId12" location="ch3.22" xr:uid="{DBDA1F2A-86F4-4408-82EF-2413DB8341CB}"/>
    <hyperlink ref="AA18" r:id="rId13" xr:uid="{6316D93A-722E-4D46-8616-FF83D4B992A6}"/>
    <hyperlink ref="AA12" r:id="rId14" xr:uid="{33C7D48B-0243-4DF6-BB47-805EADC28629}"/>
    <hyperlink ref="AA6" r:id="rId15" xr:uid="{C23BA97F-28BB-4DBA-9693-7FB93DAFF76A}"/>
    <hyperlink ref="AA19" r:id="rId16" xr:uid="{E3CD57A5-DF11-42AD-9F26-16ED5B5986DD}"/>
    <hyperlink ref="AA13" r:id="rId17" xr:uid="{5DD78F9C-88E7-40F0-98D5-3B156AC170A5}"/>
    <hyperlink ref="AA7" r:id="rId18" xr:uid="{8C8A061B-8E78-4EB6-83AA-E75F763E1586}"/>
    <hyperlink ref="Z3" r:id="rId19" location="ch3.7" xr:uid="{CE9385D3-9346-4D50-B49A-03AE0714A7F5}"/>
    <hyperlink ref="Z5" r:id="rId20" xr:uid="{3F5114BC-30E0-4E82-8458-F912F3FE477A}"/>
    <hyperlink ref="Z7" r:id="rId21" location="ch3.47" xr:uid="{FEA4F8E9-D209-45F0-AF22-9DF4528292E2}"/>
    <hyperlink ref="Z9" r:id="rId22" location="ch3.8" xr:uid="{D628965B-FBD0-4808-859D-A09B850DFBC9}"/>
    <hyperlink ref="Z11" r:id="rId23" location="ch3.11" xr:uid="{004BD3A1-3617-4005-98C8-FBB0D5EA9818}"/>
    <hyperlink ref="Z13" r:id="rId24" location="ch3.52" xr:uid="{17BE360F-DEBF-42D8-8582-AE97173899E3}"/>
    <hyperlink ref="Z15" r:id="rId25" location="ch3.13" xr:uid="{384054C9-1415-4159-9600-B19EE1788E09}"/>
    <hyperlink ref="Z17" r:id="rId26" location="ch3.15" xr:uid="{E0A3B398-E524-4513-BCE1-F364A108082E}"/>
    <hyperlink ref="Z19" r:id="rId27" location="ch3.52" xr:uid="{35A8A2E3-F989-4C2F-B596-00AF97852BE5}"/>
    <hyperlink ref="Z21" r:id="rId28" location="ch3.22" xr:uid="{EE940FBE-3A18-494F-A512-D5B64A7E3E7F}"/>
    <hyperlink ref="Z25" r:id="rId29" location="ch3.4" xr:uid="{53282015-898C-4591-9502-9ED11AB0B627}"/>
    <hyperlink ref="Z27" r:id="rId30" location="ch3.4" xr:uid="{5D9F7413-C3FE-4459-8E5C-43C31DE21A8B}"/>
    <hyperlink ref="AB3" r:id="rId31" xr:uid="{1FD06828-AC05-4ACE-8F27-8DC073249997}"/>
    <hyperlink ref="E37" r:id="rId32" xr:uid="{B1CA6D15-3CE3-43D2-876E-7F24F75059D8}"/>
    <hyperlink ref="E38" r:id="rId33" xr:uid="{9C033301-1863-4EE9-A918-CDE357D8C03A}"/>
    <hyperlink ref="E40" r:id="rId34" xr:uid="{8AEC0AB0-26FD-42EE-9F98-31178B64A340}"/>
    <hyperlink ref="E41" r:id="rId35" xr:uid="{E32F75D0-E3D7-4C47-93FF-993A2A6FA043}"/>
    <hyperlink ref="E42" r:id="rId36" xr:uid="{38260010-10A6-4559-BF12-AFC33D7FC95C}"/>
    <hyperlink ref="E43" r:id="rId37" xr:uid="{9B4BD6DA-4A1E-4E48-ABE0-505874643381}"/>
    <hyperlink ref="E44" r:id="rId38" xr:uid="{79E6BA70-D48F-4B95-8A19-BB139088289B}"/>
    <hyperlink ref="E45" r:id="rId39" xr:uid="{FA49D94D-AA2B-472F-B47B-CE17EAD3109B}"/>
    <hyperlink ref="E46" r:id="rId40" xr:uid="{16298D37-7069-45C2-89E4-E4F6A002533A}"/>
    <hyperlink ref="E39" r:id="rId41" xr:uid="{55EEB006-8683-4FAE-9520-105DA0BB9E5A}"/>
    <hyperlink ref="Z28" r:id="rId42" location="ch3.2" xr:uid="{2970AA60-EF52-4F60-976F-D5051E7CAEDC}"/>
    <hyperlink ref="Z30" r:id="rId43" location="ch3.6" xr:uid="{4F336E02-BAED-4AAA-B6BB-D2F5D838578F}"/>
    <hyperlink ref="Z31" r:id="rId44" location="ch3.6" xr:uid="{72EEC0E4-2730-4DA0-9B8E-14E7906C7291}"/>
    <hyperlink ref="D60" r:id="rId45" xr:uid="{4E03A3BC-54FA-4828-9D33-AE84F095674F}"/>
    <hyperlink ref="D59" r:id="rId46" xr:uid="{87F4EB3B-1034-42DE-A915-51A64E139413}"/>
    <hyperlink ref="AC2" r:id="rId47" xr:uid="{40117C24-5872-49AC-A087-ECA220F27E28}"/>
    <hyperlink ref="AC3" r:id="rId48" xr:uid="{0957F895-3F8D-45DC-AD97-D86B21F46B9A}"/>
    <hyperlink ref="AC4" r:id="rId49" xr:uid="{45DD7CBF-FB46-42C8-9CC6-3374E7BB3CFC}"/>
    <hyperlink ref="AC6" r:id="rId50" xr:uid="{06C52A63-FA0F-42AC-936A-DC2091D53C67}"/>
    <hyperlink ref="AC8" r:id="rId51" xr:uid="{ECB3CC53-4CB0-4199-ACAE-AC7A6DD51164}"/>
    <hyperlink ref="AC10" r:id="rId52" xr:uid="{EF24516B-D104-472C-97E3-F74B318EAA29}"/>
    <hyperlink ref="AC12" r:id="rId53" xr:uid="{0379458F-A41C-4DF7-92C5-22CF05560F38}"/>
    <hyperlink ref="AC14" r:id="rId54" xr:uid="{FED00250-806B-41AA-B5B9-43C62BA8B0B4}"/>
    <hyperlink ref="AC16" r:id="rId55" xr:uid="{EBD93473-76AE-4702-B80E-0E97B4C32D39}"/>
    <hyperlink ref="AC18" r:id="rId56" xr:uid="{C3EC2A3E-E1D3-4738-B59B-005E840841E5}"/>
    <hyperlink ref="AC20" r:id="rId57" xr:uid="{7CB84821-31AD-4D36-89CE-553379B657C8}"/>
    <hyperlink ref="AC22" r:id="rId58" xr:uid="{64AA95BE-124D-4762-9BBA-B2BE0743DB59}"/>
    <hyperlink ref="AC24" r:id="rId59" xr:uid="{82530E93-5E63-4EFA-93E8-D50D0D751D5B}"/>
    <hyperlink ref="AC26" r:id="rId60" xr:uid="{BF6E1314-2DA3-4659-8930-9DF312148843}"/>
    <hyperlink ref="AC28" r:id="rId61" xr:uid="{9F58564C-CC6A-4DEF-BD41-93D0116854DD}"/>
    <hyperlink ref="AC30" r:id="rId62" xr:uid="{000E0A96-2E83-4484-8FDC-DC29B4DD9937}"/>
    <hyperlink ref="AC5" r:id="rId63" xr:uid="{497B7963-8542-401B-96FB-BDAC26C8D3E8}"/>
    <hyperlink ref="AC7" r:id="rId64" xr:uid="{4430A247-A7D4-4722-927C-7188FFB2E47D}"/>
    <hyperlink ref="AC9" r:id="rId65" xr:uid="{5DAF9B6C-CAA0-4835-A0A2-0DBDB3E0558E}"/>
    <hyperlink ref="AC11" r:id="rId66" xr:uid="{099D879F-9270-49DA-BBFA-9696A5FCA32F}"/>
    <hyperlink ref="AC13" r:id="rId67" xr:uid="{8EBF8D75-B5CA-4175-A386-C129ADFF26F3}"/>
    <hyperlink ref="AC15" r:id="rId68" xr:uid="{0520C29D-BBAF-46E0-AA79-2839BFD805B4}"/>
    <hyperlink ref="AC17" r:id="rId69" xr:uid="{20D8BEFE-9AA2-48D8-9C2E-024C9927CF81}"/>
    <hyperlink ref="AC19" r:id="rId70" xr:uid="{0F92422E-7655-4AE4-B5B8-223E15DCA99C}"/>
    <hyperlink ref="AC21" r:id="rId71" xr:uid="{786DCCA4-82DB-472E-803B-09BEE70786BE}"/>
    <hyperlink ref="AC23" r:id="rId72" xr:uid="{B2827E94-3E6F-4006-93DE-4E7BC1782893}"/>
    <hyperlink ref="AC25" r:id="rId73" xr:uid="{908241F6-2B11-47F5-9B91-D75AD8E2BB7A}"/>
    <hyperlink ref="AC27" r:id="rId74" xr:uid="{611EF734-9435-4D76-8309-AC541D6F4D72}"/>
    <hyperlink ref="AC29" r:id="rId75" xr:uid="{E9838B3C-AE50-45B9-908A-185685F03FCB}"/>
    <hyperlink ref="AC31" r:id="rId76" xr:uid="{FC66A0B8-24D7-4933-A4F0-4D33A62845A2}"/>
    <hyperlink ref="AD2" r:id="rId77" location="section-d1e21762" xr:uid="{56AE4737-5DF3-444C-9271-8933745E188D}"/>
    <hyperlink ref="AD3" r:id="rId78" location="section-d1e21762" xr:uid="{F53D907F-E809-4A31-AA71-DAED590F3C30}"/>
    <hyperlink ref="AD4" r:id="rId79" location="section-d1e21762" xr:uid="{0E4170B8-04FE-4FB7-BBD8-EE287132430E}"/>
    <hyperlink ref="AD6" r:id="rId80" location="section-d1e21762" xr:uid="{D933343F-10D9-4D49-8584-99AE7461CFE7}"/>
    <hyperlink ref="AD8" r:id="rId81" location="section-d1e21762" xr:uid="{71978294-7EA7-4C0B-A18A-6403A6277C20}"/>
    <hyperlink ref="AD10" r:id="rId82" location="section-d1e21762" xr:uid="{15D9AC5C-62D0-4029-AD6A-610E872CA66A}"/>
    <hyperlink ref="AD12" r:id="rId83" location="section-d1e21762" xr:uid="{415B16E0-EA1F-478F-AED0-767FAF0F429D}"/>
    <hyperlink ref="AD14" r:id="rId84" location="section-d1e21762" xr:uid="{E8AEE125-5F22-425F-A522-6455534F05EA}"/>
    <hyperlink ref="AD16" r:id="rId85" location="section-d1e21762" xr:uid="{3E2A1AFE-F474-422A-80CB-EA5EA44AB153}"/>
    <hyperlink ref="AD18" r:id="rId86" location="section-d1e21762" xr:uid="{DCBFB121-5DCC-4009-BFC2-B01773B52D5E}"/>
    <hyperlink ref="AD20" r:id="rId87" location="section-d1e21762" xr:uid="{D2AE5622-7610-4004-B36C-BE2430739B67}"/>
    <hyperlink ref="AD22" r:id="rId88" location="section-d1e21762" xr:uid="{D01B5AB6-0216-40E7-8844-39EEA7F10B54}"/>
    <hyperlink ref="AD24" r:id="rId89" location="section-d1e21762" xr:uid="{73B35CA4-0760-4B01-A725-89AFD43C3F49}"/>
    <hyperlink ref="AD26" r:id="rId90" location="section-d1e21762" xr:uid="{E53F3B82-5024-49AF-A161-371C96E5A6BE}"/>
    <hyperlink ref="AD28" r:id="rId91" location="section-d1e21762" xr:uid="{421F75C3-A580-4867-8F2E-626C54F223A8}"/>
    <hyperlink ref="AD30" r:id="rId92" location="section-d1e21762" xr:uid="{C1B7DF0F-A30A-4A89-893B-DFFB569FBE55}"/>
    <hyperlink ref="AD5" r:id="rId93" location="section-d1e21762" xr:uid="{D9CBDF4A-A8D8-46EF-BD6C-17D0D6503149}"/>
    <hyperlink ref="AD7" r:id="rId94" location="section-d1e21762" xr:uid="{A00C14AD-4E3A-4400-9B37-D5EECCAEEA94}"/>
    <hyperlink ref="AD9" r:id="rId95" location="section-d1e21762" xr:uid="{F0AE48D0-B196-48C9-8069-91D9A1B69B2C}"/>
    <hyperlink ref="AD11" r:id="rId96" location="section-d1e21762" xr:uid="{F4D2C25D-F849-4AB8-A0DD-91ED6129AFE1}"/>
    <hyperlink ref="AD13" r:id="rId97" location="section-d1e21762" xr:uid="{FE10666B-7F4C-4BAE-AC80-984992B88F50}"/>
    <hyperlink ref="AD15" r:id="rId98" location="section-d1e21762" xr:uid="{0E6D6237-81A1-453F-9689-74F8A7103073}"/>
    <hyperlink ref="AD17" r:id="rId99" location="section-d1e21762" xr:uid="{90AF192F-F5A8-4B84-BF87-7FB8C6677281}"/>
    <hyperlink ref="AD19" r:id="rId100" location="section-d1e21762" xr:uid="{D600A196-A7C2-48C6-8FC8-9917F0B7E6E9}"/>
    <hyperlink ref="AD21" r:id="rId101" location="section-d1e21762" xr:uid="{3732FE96-7BC5-45FD-B856-5532A450E9C4}"/>
    <hyperlink ref="AD23" r:id="rId102" location="section-d1e21762" xr:uid="{86441EC2-0AD6-48C9-811F-E257053E1679}"/>
    <hyperlink ref="AD25" r:id="rId103" location="section-d1e21762" xr:uid="{643CBDA5-0807-4B20-87AB-6DE91636D387}"/>
    <hyperlink ref="AD27" r:id="rId104" location="section-d1e21762" xr:uid="{8BA72197-C6AD-45E2-B91A-F9C29ACC1BB2}"/>
    <hyperlink ref="AD29" r:id="rId105" location="section-d1e21762" xr:uid="{225B043F-1366-4F81-BDE5-D1DA88DF1DB1}"/>
    <hyperlink ref="AD31" r:id="rId106" location="section-d1e21762" xr:uid="{1805D2A9-8FE0-472F-ABED-B5ED18B2A49F}"/>
  </hyperlinks>
  <pageMargins left="0.7" right="0.7" top="0.75" bottom="0.75" header="0.3" footer="0.3"/>
  <legacyDrawing r:id="rId10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CF3F-328D-4808-8594-EC3A2DC05163}">
  <dimension ref="A1:S59"/>
  <sheetViews>
    <sheetView workbookViewId="0">
      <selection activeCell="I10" sqref="I10"/>
    </sheetView>
  </sheetViews>
  <sheetFormatPr defaultRowHeight="15"/>
  <cols>
    <col min="1" max="1" width="39.85546875" bestFit="1" customWidth="1"/>
    <col min="9" max="9" width="16.140625" customWidth="1"/>
    <col min="11" max="11" width="14.140625" customWidth="1"/>
    <col min="12" max="12" width="16" customWidth="1"/>
  </cols>
  <sheetData>
    <row r="1" spans="1:12">
      <c r="A1" s="1" t="s">
        <v>132</v>
      </c>
      <c r="B1" s="2" t="s">
        <v>2</v>
      </c>
      <c r="C1" s="2" t="s">
        <v>3</v>
      </c>
      <c r="D1" s="2" t="s">
        <v>4</v>
      </c>
      <c r="E1" s="2" t="s">
        <v>5</v>
      </c>
      <c r="F1" s="1" t="s">
        <v>6</v>
      </c>
      <c r="G1" s="1" t="s">
        <v>10</v>
      </c>
      <c r="H1" s="1" t="s">
        <v>11</v>
      </c>
      <c r="I1" s="1" t="s">
        <v>14</v>
      </c>
      <c r="J1" s="1" t="s">
        <v>22</v>
      </c>
      <c r="K1" s="1" t="s">
        <v>23</v>
      </c>
      <c r="L1" s="1" t="s">
        <v>24</v>
      </c>
    </row>
    <row r="2" spans="1:12" ht="15.75">
      <c r="A2" s="3" t="s">
        <v>95</v>
      </c>
      <c r="B2" s="4">
        <v>0.2</v>
      </c>
      <c r="C2" s="4">
        <v>0.12</v>
      </c>
      <c r="D2" s="4">
        <v>0.39</v>
      </c>
      <c r="E2" s="4">
        <f>1-D2</f>
        <v>0.61</v>
      </c>
      <c r="F2" s="3" t="s">
        <v>30</v>
      </c>
      <c r="G2" s="8">
        <v>227.13673700000001</v>
      </c>
      <c r="H2" s="3">
        <v>1457.08</v>
      </c>
      <c r="I2" s="3">
        <f>100</f>
        <v>100</v>
      </c>
      <c r="J2" s="11">
        <f>(I2*E2)/SUM((E2*I2),(D2*G2))</f>
        <v>0.40779945899081543</v>
      </c>
      <c r="K2" s="11">
        <f>(B2*H2)/SUM((B2*H2),(C2*H3))/B2</f>
        <v>2.9912603333440084</v>
      </c>
      <c r="L2" s="11">
        <f>K2*J2</f>
        <v>1.2198343456383729</v>
      </c>
    </row>
    <row r="3" spans="1:12" ht="15.75">
      <c r="A3" s="3" t="s">
        <v>95</v>
      </c>
      <c r="B3" s="4">
        <v>0.2</v>
      </c>
      <c r="C3" s="4">
        <v>0.12</v>
      </c>
      <c r="D3" s="4">
        <v>0.39</v>
      </c>
      <c r="E3" s="4">
        <f t="shared" ref="E3:E31" si="0">1-D3</f>
        <v>0.61</v>
      </c>
      <c r="F3" s="3" t="s">
        <v>35</v>
      </c>
      <c r="G3" s="8">
        <v>227.13673700000001</v>
      </c>
      <c r="H3" s="3">
        <v>1630.8033333333333</v>
      </c>
      <c r="I3" s="3">
        <f>100</f>
        <v>100</v>
      </c>
      <c r="J3" s="11">
        <f>(E3*I3)/SUM((E3*I3),(D3*G3))</f>
        <v>0.40779945899081543</v>
      </c>
      <c r="K3" s="11">
        <f>(C3*H3)/SUM((C3*H3),(B2*H2))/C3</f>
        <v>3.3478994444266528</v>
      </c>
      <c r="L3" s="11">
        <f t="shared" ref="L3:L31" si="1">K3*J3</f>
        <v>1.3652715821928405</v>
      </c>
    </row>
    <row r="4" spans="1:12" ht="15.75">
      <c r="A4" s="9" t="s">
        <v>133</v>
      </c>
      <c r="B4" s="4">
        <v>0.23</v>
      </c>
      <c r="C4" s="4">
        <v>0.18</v>
      </c>
      <c r="D4" s="4">
        <v>0.62</v>
      </c>
      <c r="E4" s="4">
        <f t="shared" si="0"/>
        <v>0.38</v>
      </c>
      <c r="F4" s="3" t="s">
        <v>30</v>
      </c>
      <c r="G4" s="8">
        <v>316.19840499999998</v>
      </c>
      <c r="H4" s="3">
        <v>1457.08</v>
      </c>
      <c r="I4" s="3">
        <f>100</f>
        <v>100</v>
      </c>
      <c r="J4" s="11">
        <f>(I4*E4)/SUM((E4*I4),(D4*G4))</f>
        <v>0.16236331869685131</v>
      </c>
      <c r="K4" s="11">
        <f>(B4*H4)/SUM((B4*H4),(C4*H5))/B4</f>
        <v>2.3177072977525679</v>
      </c>
      <c r="L4" s="11">
        <f t="shared" si="1"/>
        <v>0.37631064863101821</v>
      </c>
    </row>
    <row r="5" spans="1:12" ht="15.75">
      <c r="A5" s="9" t="s">
        <v>133</v>
      </c>
      <c r="B5" s="4">
        <v>0.23</v>
      </c>
      <c r="C5" s="4">
        <v>0.18</v>
      </c>
      <c r="D5" s="4">
        <v>0.62</v>
      </c>
      <c r="E5" s="4">
        <f t="shared" si="0"/>
        <v>0.38</v>
      </c>
      <c r="F5" s="3" t="s">
        <v>35</v>
      </c>
      <c r="G5" s="8">
        <v>316.19840499999998</v>
      </c>
      <c r="H5" s="3">
        <v>1630.8033333333333</v>
      </c>
      <c r="I5" s="3">
        <f>100</f>
        <v>100</v>
      </c>
      <c r="J5" s="11">
        <f>(E5*I5)/SUM((E5*I5),(D5*G5))</f>
        <v>0.16236331869685131</v>
      </c>
      <c r="K5" s="11">
        <f>(C5*H5)/SUM((C5*H5),(B4*H4))/C5</f>
        <v>2.5940406750939413</v>
      </c>
      <c r="L5" s="11">
        <f t="shared" si="1"/>
        <v>0.42117705284287288</v>
      </c>
    </row>
    <row r="6" spans="1:12" ht="15.75">
      <c r="A6" s="3" t="s">
        <v>97</v>
      </c>
      <c r="B6" s="4">
        <v>0.24</v>
      </c>
      <c r="C6" s="4">
        <v>0.02</v>
      </c>
      <c r="D6" s="4">
        <v>0.62</v>
      </c>
      <c r="E6" s="4">
        <f t="shared" si="0"/>
        <v>0.38</v>
      </c>
      <c r="F6" s="3" t="s">
        <v>30</v>
      </c>
      <c r="G6" s="8">
        <v>646.46379999999999</v>
      </c>
      <c r="H6" s="3">
        <v>1457.08</v>
      </c>
      <c r="I6" s="3">
        <f>100</f>
        <v>100</v>
      </c>
      <c r="J6" s="11">
        <f>(I6*E6)/SUM((E6*I6),(D6*G6))</f>
        <v>8.6598326488252178E-2</v>
      </c>
      <c r="K6" s="11">
        <f>(B6*H6)/SUM((B6*H6),(C6*H7))/B6</f>
        <v>3.8112001456389661</v>
      </c>
      <c r="L6" s="11">
        <f t="shared" si="1"/>
        <v>0.33004355452411743</v>
      </c>
    </row>
    <row r="7" spans="1:12" ht="15.75">
      <c r="A7" s="3" t="s">
        <v>97</v>
      </c>
      <c r="B7" s="4">
        <v>0.24</v>
      </c>
      <c r="C7" s="4">
        <v>0.02</v>
      </c>
      <c r="D7" s="4">
        <v>0.62</v>
      </c>
      <c r="E7" s="4">
        <f t="shared" si="0"/>
        <v>0.38</v>
      </c>
      <c r="F7" s="3" t="s">
        <v>35</v>
      </c>
      <c r="G7" s="8">
        <v>646.46379999999999</v>
      </c>
      <c r="H7" s="3">
        <v>1630.8033333333333</v>
      </c>
      <c r="I7" s="3">
        <f>100</f>
        <v>100</v>
      </c>
      <c r="J7" s="11">
        <f>(E7*I7)/SUM((E7*I7),(D7*G7))</f>
        <v>8.6598326488252178E-2</v>
      </c>
      <c r="K7" s="11">
        <f>(C7*H7)/SUM((C7*H7),(B6*H6))/C7</f>
        <v>4.2655982523324125</v>
      </c>
      <c r="L7" s="11">
        <f t="shared" si="1"/>
        <v>0.36939367012320018</v>
      </c>
    </row>
    <row r="8" spans="1:12" ht="15.75">
      <c r="A8" s="3" t="s">
        <v>101</v>
      </c>
      <c r="B8" s="4">
        <v>0.19700000000000001</v>
      </c>
      <c r="C8" s="4">
        <v>0.186</v>
      </c>
      <c r="D8" s="4">
        <v>0.61</v>
      </c>
      <c r="E8" s="4">
        <f t="shared" si="0"/>
        <v>0.39</v>
      </c>
      <c r="F8" s="3" t="s">
        <v>30</v>
      </c>
      <c r="G8" s="8">
        <v>254.46559199999999</v>
      </c>
      <c r="H8" s="3">
        <v>1457.08</v>
      </c>
      <c r="I8" s="3">
        <f>100</f>
        <v>100</v>
      </c>
      <c r="J8" s="11">
        <f>(I8*E8)/SUM((E8*I8),(D8*G8))</f>
        <v>0.20079906585753762</v>
      </c>
      <c r="K8" s="11">
        <f>(B8*H8)/SUM((B8*H8),(C8*H9))/B8</f>
        <v>2.4680618654426922</v>
      </c>
      <c r="L8" s="11">
        <f t="shared" si="1"/>
        <v>0.49558451705950429</v>
      </c>
    </row>
    <row r="9" spans="1:12" ht="15.75">
      <c r="A9" s="3" t="s">
        <v>101</v>
      </c>
      <c r="B9" s="4">
        <v>0.19700000000000001</v>
      </c>
      <c r="C9" s="4">
        <v>0.186</v>
      </c>
      <c r="D9" s="4">
        <v>0.61</v>
      </c>
      <c r="E9" s="4">
        <f t="shared" si="0"/>
        <v>0.39</v>
      </c>
      <c r="F9" s="3" t="s">
        <v>35</v>
      </c>
      <c r="G9" s="8">
        <v>254.46559199999999</v>
      </c>
      <c r="H9" s="3">
        <v>1630.8033333333333</v>
      </c>
      <c r="I9" s="3">
        <f>100</f>
        <v>100</v>
      </c>
      <c r="J9" s="11">
        <f>(E9*I9)/SUM((E9*I9),(D9*G9))</f>
        <v>0.20079906585753762</v>
      </c>
      <c r="K9" s="11">
        <f>(C9*H9)/SUM((C9*H9),(B8*H8))/C9</f>
        <v>2.7623215726225241</v>
      </c>
      <c r="L9" s="11">
        <f t="shared" si="1"/>
        <v>0.55467159138072708</v>
      </c>
    </row>
    <row r="10" spans="1:12" ht="15.75">
      <c r="A10" s="3" t="s">
        <v>109</v>
      </c>
      <c r="B10" s="4">
        <v>0.2</v>
      </c>
      <c r="C10" s="4">
        <v>0.02</v>
      </c>
      <c r="D10" s="4">
        <v>0.49</v>
      </c>
      <c r="E10" s="4">
        <f t="shared" si="0"/>
        <v>0.51</v>
      </c>
      <c r="F10" s="3" t="s">
        <v>30</v>
      </c>
      <c r="G10" s="8">
        <v>114.980132</v>
      </c>
      <c r="H10" s="3">
        <v>1457.08</v>
      </c>
      <c r="I10" s="3">
        <f>100</f>
        <v>100</v>
      </c>
      <c r="J10" s="11">
        <f>(I10*E10)/SUM((E10*I10),(D10*G10))</f>
        <v>0.47512459701902054</v>
      </c>
      <c r="K10" s="11">
        <f>(B10*H10)/SUM((B10*H10),(C10*H11))/B10</f>
        <v>4.4967154485327683</v>
      </c>
      <c r="L10" s="11">
        <f t="shared" si="1"/>
        <v>2.1365001153933356</v>
      </c>
    </row>
    <row r="11" spans="1:12" ht="15.75">
      <c r="A11" s="3" t="s">
        <v>109</v>
      </c>
      <c r="B11" s="4">
        <v>0.2</v>
      </c>
      <c r="C11" s="4">
        <v>0.02</v>
      </c>
      <c r="D11" s="4">
        <v>0.49</v>
      </c>
      <c r="E11" s="4">
        <f t="shared" si="0"/>
        <v>0.51</v>
      </c>
      <c r="F11" s="3" t="s">
        <v>35</v>
      </c>
      <c r="G11" s="8">
        <v>114.980132</v>
      </c>
      <c r="H11" s="3">
        <v>1630.8033333333333</v>
      </c>
      <c r="I11" s="3">
        <f>100</f>
        <v>100</v>
      </c>
      <c r="J11" s="11">
        <f>(E11*I11)/SUM((E11*I11),(D11*G11))</f>
        <v>0.47512459701902054</v>
      </c>
      <c r="K11" s="11">
        <f>(C11*H11)/SUM((C11*H11),(B10*H10))/C11</f>
        <v>5.0328455146723137</v>
      </c>
      <c r="L11" s="11">
        <f t="shared" si="1"/>
        <v>2.3912286970176679</v>
      </c>
    </row>
    <row r="12" spans="1:12" ht="15.75">
      <c r="A12" t="s">
        <v>100</v>
      </c>
      <c r="B12" s="4">
        <v>0.24</v>
      </c>
      <c r="C12" s="4">
        <v>0.02</v>
      </c>
      <c r="D12" s="4">
        <v>0.58000000000000007</v>
      </c>
      <c r="E12" s="4">
        <f t="shared" si="0"/>
        <v>0.41999999999999993</v>
      </c>
      <c r="F12" s="3" t="s">
        <v>30</v>
      </c>
      <c r="G12" s="8">
        <v>613.72499100000005</v>
      </c>
      <c r="H12" s="3">
        <v>1457.08</v>
      </c>
      <c r="I12" s="3">
        <f>100</f>
        <v>100</v>
      </c>
      <c r="J12" s="11">
        <f>(I12*E12)/SUM((E12*I12),(D12*G12))</f>
        <v>0.10553811383518952</v>
      </c>
      <c r="K12" s="11">
        <f>(B12*H12)/SUM((B12*H12),(C12*H13))/B12</f>
        <v>3.8112001456389661</v>
      </c>
      <c r="L12" s="11">
        <f t="shared" si="1"/>
        <v>0.4022268748191361</v>
      </c>
    </row>
    <row r="13" spans="1:12" ht="15.75">
      <c r="A13" t="s">
        <v>100</v>
      </c>
      <c r="B13" s="4">
        <v>0.24</v>
      </c>
      <c r="C13" s="4">
        <v>0.02</v>
      </c>
      <c r="D13" s="4">
        <v>0.58000000000000007</v>
      </c>
      <c r="E13" s="4">
        <f t="shared" si="0"/>
        <v>0.41999999999999993</v>
      </c>
      <c r="F13" s="3" t="s">
        <v>35</v>
      </c>
      <c r="G13" s="8">
        <v>613.72499100000005</v>
      </c>
      <c r="H13" s="3">
        <v>1630.8033333333333</v>
      </c>
      <c r="I13" s="3">
        <f>100</f>
        <v>100</v>
      </c>
      <c r="J13" s="11">
        <f>(E13*I13)/SUM((E13*I13),(D13*G13))</f>
        <v>0.10553811383518952</v>
      </c>
      <c r="K13" s="11">
        <f>(C13*H13)/SUM((C13*H13),(B12*H12))/C13</f>
        <v>4.2655982523324125</v>
      </c>
      <c r="L13" s="11">
        <f t="shared" si="1"/>
        <v>0.45018319392984363</v>
      </c>
    </row>
    <row r="14" spans="1:12" ht="15.75">
      <c r="A14" s="3" t="s">
        <v>104</v>
      </c>
      <c r="B14" s="4">
        <v>0.17</v>
      </c>
      <c r="C14" s="4">
        <v>0.08</v>
      </c>
      <c r="D14" s="4">
        <v>0.6</v>
      </c>
      <c r="E14" s="4">
        <f t="shared" si="0"/>
        <v>0.4</v>
      </c>
      <c r="F14" s="3" t="s">
        <v>30</v>
      </c>
      <c r="G14" s="8">
        <v>124.60208299999999</v>
      </c>
      <c r="H14" s="3">
        <v>1457.08</v>
      </c>
      <c r="I14" s="3">
        <f>100</f>
        <v>100</v>
      </c>
      <c r="J14" s="11">
        <f>(I14*E14)/SUM((E14*I14),(D14*G14))</f>
        <v>0.34854970706322863</v>
      </c>
      <c r="K14" s="11">
        <f>(B14*H14)/SUM((B14*H14),(C14*H15))/B14</f>
        <v>3.8529979102754717</v>
      </c>
      <c r="L14" s="11">
        <f t="shared" si="1"/>
        <v>1.3429612929417478</v>
      </c>
    </row>
    <row r="15" spans="1:12" ht="15.75">
      <c r="A15" s="3" t="s">
        <v>104</v>
      </c>
      <c r="B15" s="4">
        <v>0.17</v>
      </c>
      <c r="C15" s="4">
        <v>0.08</v>
      </c>
      <c r="D15" s="4">
        <v>0.6</v>
      </c>
      <c r="E15" s="4">
        <f t="shared" si="0"/>
        <v>0.4</v>
      </c>
      <c r="F15" s="3" t="s">
        <v>35</v>
      </c>
      <c r="G15" s="8">
        <v>124.60208299999999</v>
      </c>
      <c r="H15" s="3">
        <v>1630.8033333333333</v>
      </c>
      <c r="I15" s="3">
        <f>100</f>
        <v>100</v>
      </c>
      <c r="J15" s="11">
        <f>(E15*I15)/SUM((E15*I15),(D15*G15))</f>
        <v>0.34854970706322863</v>
      </c>
      <c r="K15" s="11">
        <f>(C15*H15)/SUM((C15*H15),(B14*H14))/C15</f>
        <v>4.3123794406646221</v>
      </c>
      <c r="L15" s="11">
        <f t="shared" si="1"/>
        <v>1.5030785907891437</v>
      </c>
    </row>
    <row r="16" spans="1:12" ht="15.75">
      <c r="A16" s="3" t="s">
        <v>107</v>
      </c>
      <c r="B16" s="4">
        <v>0.19700000000000001</v>
      </c>
      <c r="C16" s="4">
        <v>0.186</v>
      </c>
      <c r="D16" s="4">
        <v>0.57000000000000006</v>
      </c>
      <c r="E16" s="4">
        <f t="shared" si="0"/>
        <v>0.42999999999999994</v>
      </c>
      <c r="F16" s="3" t="s">
        <v>30</v>
      </c>
      <c r="G16" s="8">
        <v>159.013136</v>
      </c>
      <c r="H16" s="3">
        <v>1457.08</v>
      </c>
      <c r="I16" s="3">
        <f>100</f>
        <v>100</v>
      </c>
      <c r="J16" s="11">
        <f>(I16*E16)/SUM((E16*I16),(D16*G16))</f>
        <v>0.32176600142654338</v>
      </c>
      <c r="K16" s="11">
        <f>(B16*H16)/SUM((B16*H16),(C16*H17))/B16</f>
        <v>2.4680618654426922</v>
      </c>
      <c r="L16" s="11">
        <f t="shared" si="1"/>
        <v>0.79413839771683059</v>
      </c>
    </row>
    <row r="17" spans="1:12" ht="15.75">
      <c r="A17" s="3" t="s">
        <v>107</v>
      </c>
      <c r="B17" s="4">
        <v>0.19700000000000001</v>
      </c>
      <c r="C17" s="4">
        <v>0.186</v>
      </c>
      <c r="D17" s="4">
        <v>0.57000000000000006</v>
      </c>
      <c r="E17" s="4">
        <f t="shared" si="0"/>
        <v>0.42999999999999994</v>
      </c>
      <c r="F17" s="3" t="s">
        <v>35</v>
      </c>
      <c r="G17" s="8">
        <v>159.013136</v>
      </c>
      <c r="H17" s="3">
        <v>1630.8033333333333</v>
      </c>
      <c r="I17" s="3">
        <f>100</f>
        <v>100</v>
      </c>
      <c r="J17" s="11">
        <f>(E17*I17)/SUM((E17*I17),(D17*G17))</f>
        <v>0.32176600142654338</v>
      </c>
      <c r="K17" s="11">
        <f>(C17*H17)/SUM((C17*H17),(B16*H16))/C17</f>
        <v>2.7623215726225241</v>
      </c>
      <c r="L17" s="11">
        <f t="shared" si="1"/>
        <v>0.88882116707703063</v>
      </c>
    </row>
    <row r="18" spans="1:12" ht="15.75">
      <c r="A18" s="3" t="s">
        <v>134</v>
      </c>
      <c r="B18" s="4">
        <v>0.24</v>
      </c>
      <c r="C18" s="4">
        <v>0.02</v>
      </c>
      <c r="D18" s="4">
        <v>0.58000000000000007</v>
      </c>
      <c r="E18" s="4">
        <f t="shared" si="0"/>
        <v>0.41999999999999993</v>
      </c>
      <c r="F18" s="3" t="s">
        <v>30</v>
      </c>
      <c r="G18" s="8">
        <v>962.39273500000002</v>
      </c>
      <c r="H18" s="3">
        <v>1457.08</v>
      </c>
      <c r="I18" s="3">
        <f>100</f>
        <v>100</v>
      </c>
      <c r="J18" s="11">
        <f>(I18*E18)/SUM((E18*I18),(D18*G18))</f>
        <v>6.9978098453017432E-2</v>
      </c>
      <c r="K18" s="11">
        <f>(B18*H18)/SUM((B18*H18),(C18*H19))/B18</f>
        <v>3.8112001456389661</v>
      </c>
      <c r="L18" s="11">
        <f t="shared" si="1"/>
        <v>0.26670053901567797</v>
      </c>
    </row>
    <row r="19" spans="1:12" ht="15.75">
      <c r="A19" s="3" t="s">
        <v>134</v>
      </c>
      <c r="B19" s="4">
        <v>0.24</v>
      </c>
      <c r="C19" s="4">
        <v>0.02</v>
      </c>
      <c r="D19" s="4">
        <v>0.58000000000000007</v>
      </c>
      <c r="E19" s="4">
        <f t="shared" si="0"/>
        <v>0.41999999999999993</v>
      </c>
      <c r="F19" s="3" t="s">
        <v>35</v>
      </c>
      <c r="G19" s="8">
        <v>962.39273500000002</v>
      </c>
      <c r="H19" s="3">
        <v>1630.8033333333333</v>
      </c>
      <c r="I19" s="3">
        <f>100</f>
        <v>100</v>
      </c>
      <c r="J19" s="11">
        <f>(E19*I19)/SUM((E19*I19),(D19*G19))</f>
        <v>6.9978098453017432E-2</v>
      </c>
      <c r="K19" s="11">
        <f>(C19*H19)/SUM((C19*H19),(B18*H18))/C19</f>
        <v>4.2655982523324125</v>
      </c>
      <c r="L19" s="11">
        <f t="shared" si="1"/>
        <v>0.29849845446273665</v>
      </c>
    </row>
    <row r="20" spans="1:12" ht="15.75">
      <c r="A20" s="3" t="s">
        <v>111</v>
      </c>
      <c r="B20" s="4">
        <v>0.19</v>
      </c>
      <c r="C20" s="4">
        <v>0.08</v>
      </c>
      <c r="D20" s="4">
        <v>0.56000000000000005</v>
      </c>
      <c r="E20" s="4">
        <f t="shared" si="0"/>
        <v>0.43999999999999995</v>
      </c>
      <c r="F20" s="3" t="s">
        <v>30</v>
      </c>
      <c r="G20" s="8">
        <v>269.59186899999997</v>
      </c>
      <c r="H20" s="3">
        <v>1457.08</v>
      </c>
      <c r="I20" s="3">
        <f>100</f>
        <v>100</v>
      </c>
      <c r="J20" s="11">
        <f>(I20*E20)/SUM((E20*I20),(D20*G20))</f>
        <v>0.2256740705280946</v>
      </c>
      <c r="K20" s="11">
        <f>(B20*H20)/SUM((B20*H20),(C20*H21))/B20</f>
        <v>3.5773290808201201</v>
      </c>
      <c r="L20" s="11">
        <f t="shared" si="1"/>
        <v>0.8073104152872036</v>
      </c>
    </row>
    <row r="21" spans="1:12" ht="15.75">
      <c r="A21" s="3" t="s">
        <v>111</v>
      </c>
      <c r="B21" s="4">
        <v>0.19</v>
      </c>
      <c r="C21" s="4">
        <v>0.08</v>
      </c>
      <c r="D21" s="4">
        <v>0.56000000000000005</v>
      </c>
      <c r="E21" s="4">
        <f t="shared" si="0"/>
        <v>0.43999999999999995</v>
      </c>
      <c r="F21" s="3" t="s">
        <v>35</v>
      </c>
      <c r="G21" s="8">
        <v>269.59186899999997</v>
      </c>
      <c r="H21" s="3">
        <v>1630.8033333333333</v>
      </c>
      <c r="I21" s="3">
        <f>100</f>
        <v>100</v>
      </c>
      <c r="J21" s="11">
        <f>(E21*I21)/SUM((E21*I21),(D21*G21))</f>
        <v>0.2256740705280946</v>
      </c>
      <c r="K21" s="11">
        <f>(C21*H21)/SUM((C21*H21),(B20*H20))/C21</f>
        <v>4.0038434330522152</v>
      </c>
      <c r="L21" s="11">
        <f t="shared" si="1"/>
        <v>0.90356364529407407</v>
      </c>
    </row>
    <row r="22" spans="1:12" ht="15.75">
      <c r="A22" s="3" t="s">
        <v>113</v>
      </c>
      <c r="B22" s="4">
        <v>0.24</v>
      </c>
      <c r="C22" s="4">
        <v>0.13</v>
      </c>
      <c r="D22" s="4">
        <v>0.61</v>
      </c>
      <c r="E22" s="4">
        <f t="shared" si="0"/>
        <v>0.39</v>
      </c>
      <c r="F22" s="3" t="s">
        <v>30</v>
      </c>
      <c r="G22" s="8">
        <v>267.015558</v>
      </c>
      <c r="H22" s="3">
        <v>1457.08</v>
      </c>
      <c r="I22" s="3">
        <f>100</f>
        <v>100</v>
      </c>
      <c r="J22" s="11">
        <f>(I22*E22)/SUM((E22*I22),(D22*G22))</f>
        <v>0.19318455741388027</v>
      </c>
      <c r="K22" s="11">
        <f>(B22*H22)/SUM((B22*H22),(C22*H23))/B22</f>
        <v>2.5940369859336854</v>
      </c>
      <c r="L22" s="11">
        <f t="shared" si="1"/>
        <v>0.50112788704283495</v>
      </c>
    </row>
    <row r="23" spans="1:12" ht="15.75">
      <c r="A23" s="3" t="s">
        <v>113</v>
      </c>
      <c r="B23" s="4">
        <v>0.24</v>
      </c>
      <c r="C23" s="4">
        <v>0.13</v>
      </c>
      <c r="D23" s="4">
        <v>0.61</v>
      </c>
      <c r="E23" s="4">
        <f t="shared" si="0"/>
        <v>0.39</v>
      </c>
      <c r="F23" s="3" t="s">
        <v>35</v>
      </c>
      <c r="G23" s="8">
        <v>267.015558</v>
      </c>
      <c r="H23" s="3">
        <v>1630.8033333333333</v>
      </c>
      <c r="I23" s="3">
        <f>100</f>
        <v>100</v>
      </c>
      <c r="J23" s="11">
        <f>(E23*I23)/SUM((E23*I23),(D23*G23))</f>
        <v>0.19318455741388027</v>
      </c>
      <c r="K23" s="11">
        <f>(C23*H23)/SUM((C23*H23),(B22*H22))/C23</f>
        <v>2.9033163336608885</v>
      </c>
      <c r="L23" s="11">
        <f t="shared" si="1"/>
        <v>0.56087588095076824</v>
      </c>
    </row>
    <row r="24" spans="1:12">
      <c r="A24" s="3" t="s">
        <v>135</v>
      </c>
      <c r="B24" s="4">
        <v>0.23</v>
      </c>
      <c r="C24" s="4">
        <v>0.05</v>
      </c>
      <c r="D24" s="4">
        <v>0.62</v>
      </c>
      <c r="E24" s="4">
        <f t="shared" si="0"/>
        <v>0.38</v>
      </c>
      <c r="F24" s="3" t="s">
        <v>30</v>
      </c>
      <c r="G24" s="3">
        <v>197.28630000000001</v>
      </c>
      <c r="H24" s="3">
        <v>1457.08</v>
      </c>
      <c r="I24" s="3">
        <f>100</f>
        <v>100</v>
      </c>
      <c r="J24" s="11">
        <f>(I24*E24)/SUM((E24*I24),(D24*G24))</f>
        <v>0.23702963542858507</v>
      </c>
      <c r="K24" s="11">
        <f>(B24*H24)/SUM((B24*H24),(C24*H25))/B24</f>
        <v>3.4969760537891945</v>
      </c>
      <c r="L24" s="11">
        <f t="shared" si="1"/>
        <v>0.82888695913214483</v>
      </c>
    </row>
    <row r="25" spans="1:12">
      <c r="A25" s="3" t="s">
        <v>135</v>
      </c>
      <c r="B25" s="4">
        <v>0.23</v>
      </c>
      <c r="C25" s="4">
        <v>0.05</v>
      </c>
      <c r="D25" s="4">
        <v>0.62</v>
      </c>
      <c r="E25" s="4">
        <f t="shared" si="0"/>
        <v>0.38</v>
      </c>
      <c r="F25" s="3" t="s">
        <v>35</v>
      </c>
      <c r="G25" s="3">
        <v>197.28630000000001</v>
      </c>
      <c r="H25" s="3">
        <v>1630.8033333333333</v>
      </c>
      <c r="I25" s="3">
        <f>100</f>
        <v>100</v>
      </c>
      <c r="J25" s="11">
        <f>(E25*I25)/SUM((E25*I25),(D25*G25))</f>
        <v>0.23702963542858507</v>
      </c>
      <c r="K25" s="11">
        <f>(C25*H25)/SUM((C25*H25),(B24*H24))/C25</f>
        <v>3.913910152569704</v>
      </c>
      <c r="L25" s="11">
        <f t="shared" si="1"/>
        <v>0.9277126965638347</v>
      </c>
    </row>
    <row r="26" spans="1:12">
      <c r="A26" s="3" t="s">
        <v>136</v>
      </c>
      <c r="B26" s="4">
        <v>0.23</v>
      </c>
      <c r="C26" s="4">
        <v>0.05</v>
      </c>
      <c r="D26" s="4">
        <v>0.62</v>
      </c>
      <c r="E26" s="4">
        <f t="shared" si="0"/>
        <v>0.38</v>
      </c>
      <c r="F26" s="3" t="s">
        <v>30</v>
      </c>
      <c r="G26" s="3">
        <v>199.85730000000001</v>
      </c>
      <c r="H26" s="3">
        <v>1457.08</v>
      </c>
      <c r="I26" s="3">
        <f>100</f>
        <v>100</v>
      </c>
      <c r="J26" s="11">
        <f>(I26*E26)/SUM((E26*I26),(D26*G26))</f>
        <v>0.23469607716500676</v>
      </c>
      <c r="K26" s="11">
        <f>(B26*H26)/SUM((B26*H26),(C26*H27))/B26</f>
        <v>3.4969760537891945</v>
      </c>
      <c r="L26" s="11">
        <f t="shared" si="1"/>
        <v>0.8207265617642896</v>
      </c>
    </row>
    <row r="27" spans="1:12">
      <c r="A27" s="3" t="s">
        <v>116</v>
      </c>
      <c r="B27" s="4">
        <v>0.23</v>
      </c>
      <c r="C27" s="4">
        <v>0.05</v>
      </c>
      <c r="D27" s="4">
        <v>0.62</v>
      </c>
      <c r="E27" s="4">
        <f t="shared" si="0"/>
        <v>0.38</v>
      </c>
      <c r="F27" s="3" t="s">
        <v>35</v>
      </c>
      <c r="G27" s="3">
        <v>199.85730000000001</v>
      </c>
      <c r="H27" s="3">
        <v>1630.8033333333333</v>
      </c>
      <c r="I27" s="3">
        <f>100</f>
        <v>100</v>
      </c>
      <c r="J27" s="11">
        <f>(E27*I27)/SUM((E27*I27),(D27*G27))</f>
        <v>0.23469607716500676</v>
      </c>
      <c r="K27" s="11">
        <f>(C27*H27)/SUM((C27*H27),(B26*H26))/C27</f>
        <v>3.913910152569704</v>
      </c>
      <c r="L27" s="11">
        <f t="shared" si="1"/>
        <v>0.91857935918440259</v>
      </c>
    </row>
    <row r="28" spans="1:12">
      <c r="A28" s="3" t="s">
        <v>137</v>
      </c>
      <c r="B28" s="4">
        <v>0.17</v>
      </c>
      <c r="C28" s="4">
        <v>1.7000000000000001E-2</v>
      </c>
      <c r="D28" s="4">
        <v>0.41</v>
      </c>
      <c r="E28" s="4">
        <f t="shared" si="0"/>
        <v>0.59000000000000008</v>
      </c>
      <c r="F28" s="3" t="s">
        <v>30</v>
      </c>
      <c r="G28" s="3">
        <v>89.5642</v>
      </c>
      <c r="H28" s="3">
        <v>1457.08</v>
      </c>
      <c r="I28" s="3">
        <f>100</f>
        <v>100</v>
      </c>
      <c r="J28" s="11">
        <f>(I28*E28)/SUM((E28*I28),(D28*G28))</f>
        <v>0.61637259878211881</v>
      </c>
      <c r="K28" s="11">
        <f>(B28*H28)/SUM((B28*H28),(C28*H29))/B28</f>
        <v>5.2902534688620806</v>
      </c>
      <c r="L28" s="11">
        <f t="shared" si="1"/>
        <v>3.2607672788186393</v>
      </c>
    </row>
    <row r="29" spans="1:12">
      <c r="A29" s="3" t="s">
        <v>137</v>
      </c>
      <c r="B29" s="4">
        <v>0.17</v>
      </c>
      <c r="C29" s="4">
        <v>1.7000000000000001E-2</v>
      </c>
      <c r="D29" s="4">
        <v>0.41</v>
      </c>
      <c r="E29" s="4">
        <f t="shared" si="0"/>
        <v>0.59000000000000008</v>
      </c>
      <c r="F29" s="3" t="s">
        <v>35</v>
      </c>
      <c r="G29" s="3">
        <v>89.5642</v>
      </c>
      <c r="H29" s="3">
        <v>1630.8033333333333</v>
      </c>
      <c r="I29" s="3">
        <f>100</f>
        <v>100</v>
      </c>
      <c r="J29" s="11">
        <f>(E29*I29)/SUM((E29*I29),(D29*G29))</f>
        <v>0.61637259878211881</v>
      </c>
      <c r="K29" s="11">
        <f>(C29*H29)/SUM((C29*H29),(B28*H28))/C29</f>
        <v>5.920994723143898</v>
      </c>
      <c r="L29" s="11">
        <f t="shared" si="1"/>
        <v>3.6495389048794165</v>
      </c>
    </row>
    <row r="30" spans="1:12">
      <c r="A30" s="3" t="s">
        <v>138</v>
      </c>
      <c r="B30" s="4">
        <v>0.17</v>
      </c>
      <c r="C30" s="4">
        <v>1.7000000000000001E-2</v>
      </c>
      <c r="D30" s="4">
        <v>0.47</v>
      </c>
      <c r="E30" s="4">
        <f t="shared" si="0"/>
        <v>0.53</v>
      </c>
      <c r="F30" s="3" t="s">
        <v>30</v>
      </c>
      <c r="G30" s="3">
        <v>243.3389</v>
      </c>
      <c r="H30" s="3">
        <v>1457.08</v>
      </c>
      <c r="I30" s="3">
        <f>100</f>
        <v>100</v>
      </c>
      <c r="J30" s="11">
        <f>(I30*E30)/SUM((E30*I30),(D30*G30))</f>
        <v>0.31666503584173211</v>
      </c>
      <c r="K30" s="11">
        <f>(B30*H30)/SUM((B30*H30),(C30*H31))/B30</f>
        <v>5.2902534688620806</v>
      </c>
      <c r="L30" s="11">
        <f t="shared" si="1"/>
        <v>1.6752383043290584</v>
      </c>
    </row>
    <row r="31" spans="1:12">
      <c r="A31" s="3" t="s">
        <v>138</v>
      </c>
      <c r="B31" s="4">
        <v>0.17</v>
      </c>
      <c r="C31" s="4">
        <v>1.7000000000000001E-2</v>
      </c>
      <c r="D31" s="4">
        <v>0.47</v>
      </c>
      <c r="E31" s="4">
        <f t="shared" si="0"/>
        <v>0.53</v>
      </c>
      <c r="F31" s="3" t="s">
        <v>35</v>
      </c>
      <c r="G31" s="3">
        <v>243.3389</v>
      </c>
      <c r="H31" s="3">
        <v>1630.8033333333333</v>
      </c>
      <c r="I31" s="3">
        <f>100</f>
        <v>100</v>
      </c>
      <c r="J31" s="11">
        <f>(E31*I31)/SUM((E31*I31),(D31*G31))</f>
        <v>0.31666503584173211</v>
      </c>
      <c r="K31" s="11">
        <f>(C31*H31)/SUM((C31*H31),(B30*H30))/C31</f>
        <v>5.920994723143898</v>
      </c>
      <c r="L31" s="11">
        <f t="shared" si="1"/>
        <v>1.8749720062230693</v>
      </c>
    </row>
    <row r="32" spans="1:12">
      <c r="I32" s="3"/>
    </row>
    <row r="36" spans="1:19">
      <c r="B36" t="s">
        <v>139</v>
      </c>
      <c r="C36">
        <v>100</v>
      </c>
      <c r="D36">
        <v>90</v>
      </c>
      <c r="E36">
        <v>80</v>
      </c>
      <c r="F36">
        <v>70</v>
      </c>
      <c r="G36">
        <v>60</v>
      </c>
      <c r="H36">
        <v>50</v>
      </c>
      <c r="I36">
        <v>40</v>
      </c>
      <c r="J36">
        <v>30</v>
      </c>
      <c r="K36">
        <v>20</v>
      </c>
      <c r="L36">
        <v>10</v>
      </c>
      <c r="M36">
        <v>0</v>
      </c>
    </row>
    <row r="37" spans="1:19">
      <c r="B37" t="s">
        <v>140</v>
      </c>
      <c r="C37">
        <f>(($E$10*C$36)/SUM(($E$10*C$36),($D$10*$G$10)))*$K$10</f>
        <v>2.1365001153933356</v>
      </c>
      <c r="D37">
        <f t="shared" ref="D37:M37" si="2">(($E$10*D36)/SUM(($E$10*D36),($D$10*$G$10)))*$K$10</f>
        <v>2.0187666741049566</v>
      </c>
      <c r="E37">
        <f t="shared" si="2"/>
        <v>1.8886708915660424</v>
      </c>
      <c r="F37">
        <f t="shared" si="2"/>
        <v>1.7441577560728483</v>
      </c>
      <c r="G37">
        <f t="shared" si="2"/>
        <v>1.5826900600264278</v>
      </c>
      <c r="H37">
        <f t="shared" si="2"/>
        <v>1.4010981560963545</v>
      </c>
      <c r="I37">
        <f t="shared" si="2"/>
        <v>1.1953698040081933</v>
      </c>
      <c r="J37">
        <f t="shared" si="2"/>
        <v>0.96035025372761307</v>
      </c>
      <c r="K37">
        <f t="shared" si="2"/>
        <v>0.68930440531927017</v>
      </c>
      <c r="L37">
        <f t="shared" si="2"/>
        <v>0.37326090483106811</v>
      </c>
      <c r="M37">
        <f t="shared" si="2"/>
        <v>0</v>
      </c>
    </row>
    <row r="38" spans="1:19">
      <c r="B38" t="s">
        <v>141</v>
      </c>
      <c r="C38">
        <f>(($E$10*C$36)/SUM(($E$10*C$36),($D$10*$G$10)))*$K$11</f>
        <v>2.3912286970176679</v>
      </c>
      <c r="D38">
        <f t="shared" ref="D38:M38" si="3">(($E$10*D36)/SUM(($E$10*D36),($D$10*$G$11)))*$K$11</f>
        <v>2.2594582461859409</v>
      </c>
      <c r="E38">
        <f t="shared" si="3"/>
        <v>2.113851528766808</v>
      </c>
      <c r="F38">
        <f t="shared" si="3"/>
        <v>1.9521085200968979</v>
      </c>
      <c r="G38">
        <f t="shared" si="3"/>
        <v>1.7713895088290501</v>
      </c>
      <c r="H38">
        <f t="shared" si="3"/>
        <v>1.5681469399683765</v>
      </c>
      <c r="I38">
        <f t="shared" si="3"/>
        <v>1.3378902057145627</v>
      </c>
      <c r="J38">
        <f t="shared" si="3"/>
        <v>1.0748499704522085</v>
      </c>
      <c r="K38">
        <f t="shared" si="3"/>
        <v>0.7714881282263274</v>
      </c>
      <c r="L38">
        <f t="shared" si="3"/>
        <v>0.41776369712131256</v>
      </c>
      <c r="M38">
        <f t="shared" si="3"/>
        <v>0</v>
      </c>
    </row>
    <row r="39" spans="1:19">
      <c r="B39" t="s">
        <v>142</v>
      </c>
      <c r="C39">
        <f>(($E$28*C$36)/SUM(($E$28*C$36),($D$28*$G$28)))*$K$28</f>
        <v>3.2607672788186393</v>
      </c>
      <c r="D39">
        <f t="shared" ref="D39:M39" si="4">(($E$28*D$36)/SUM(($E$28*D$36),($D$28*$G$28)))*$K$28</f>
        <v>3.1274585247874276</v>
      </c>
      <c r="E39">
        <f t="shared" si="4"/>
        <v>2.975405508153103</v>
      </c>
      <c r="F39">
        <f t="shared" si="4"/>
        <v>2.8003558855873267</v>
      </c>
      <c r="G39">
        <f t="shared" si="4"/>
        <v>2.5966658347959521</v>
      </c>
      <c r="H39">
        <f t="shared" si="4"/>
        <v>2.3566801842378107</v>
      </c>
      <c r="I39">
        <f t="shared" si="4"/>
        <v>2.0697487675277593</v>
      </c>
      <c r="J39">
        <f t="shared" si="4"/>
        <v>1.7206029357180783</v>
      </c>
      <c r="K39">
        <f t="shared" si="4"/>
        <v>1.2865476116370564</v>
      </c>
      <c r="L39">
        <f t="shared" si="4"/>
        <v>0.73232114823388816</v>
      </c>
      <c r="M39">
        <f t="shared" si="4"/>
        <v>0</v>
      </c>
    </row>
    <row r="40" spans="1:19">
      <c r="B40" t="s">
        <v>143</v>
      </c>
      <c r="C40">
        <f>(($E$28*C$36)/SUM(($E$28*C$36),($D$28*$G$28)))*$K$29</f>
        <v>3.6495389048794165</v>
      </c>
      <c r="D40">
        <f t="shared" ref="D40:M40" si="5">(($E$28*D$36)/SUM(($E$28*D$36),($D$28*$G$28)))*$K$29</f>
        <v>3.5003361428920075</v>
      </c>
      <c r="E40">
        <f t="shared" si="5"/>
        <v>3.330154295381476</v>
      </c>
      <c r="F40">
        <f t="shared" si="5"/>
        <v>3.1342340247175384</v>
      </c>
      <c r="G40">
        <f t="shared" si="5"/>
        <v>2.9062586123878038</v>
      </c>
      <c r="H40">
        <f t="shared" si="5"/>
        <v>2.6376601834186428</v>
      </c>
      <c r="I40">
        <f t="shared" si="5"/>
        <v>2.3165187836267251</v>
      </c>
      <c r="J40">
        <f t="shared" si="5"/>
        <v>1.9257453282676045</v>
      </c>
      <c r="K40">
        <f t="shared" si="5"/>
        <v>1.4399388733286782</v>
      </c>
      <c r="L40">
        <f t="shared" si="5"/>
        <v>0.81963363000680745</v>
      </c>
      <c r="M40">
        <f t="shared" si="5"/>
        <v>0</v>
      </c>
    </row>
    <row r="41" spans="1:19">
      <c r="B41" t="s">
        <v>144</v>
      </c>
      <c r="C41">
        <f>(($E$30*C$36)/SUM(($E$30*C$36),($D$30*$G$30)))*$K$30</f>
        <v>1.6752383043290584</v>
      </c>
      <c r="D41">
        <f t="shared" ref="D41:M41" si="6">(($E$30*D$36)/SUM(($E$30*D$36),($D$30*$G$30)))*$K$30</f>
        <v>1.5570198485096109</v>
      </c>
      <c r="E41">
        <f t="shared" si="6"/>
        <v>1.4308080179186138</v>
      </c>
      <c r="F41">
        <f t="shared" si="6"/>
        <v>1.2957637337913801</v>
      </c>
      <c r="G41">
        <f t="shared" si="6"/>
        <v>1.150926219634081</v>
      </c>
      <c r="H41">
        <f t="shared" si="6"/>
        <v>0.99519010773161343</v>
      </c>
      <c r="I41">
        <f t="shared" si="6"/>
        <v>0.82727717561120495</v>
      </c>
      <c r="J41">
        <f t="shared" si="6"/>
        <v>0.64570118310167623</v>
      </c>
      <c r="K41">
        <f t="shared" si="6"/>
        <v>0.44872376174181994</v>
      </c>
      <c r="L41">
        <f t="shared" si="6"/>
        <v>0.23429858257752773</v>
      </c>
      <c r="M41">
        <f t="shared" si="6"/>
        <v>0</v>
      </c>
    </row>
    <row r="42" spans="1:19">
      <c r="B42" t="s">
        <v>145</v>
      </c>
      <c r="C42">
        <f>(($E$30*C$36)/SUM(($E$30*C$36),($D$30*$G$30)))*$K$31</f>
        <v>1.8749720062230693</v>
      </c>
      <c r="D42">
        <f t="shared" ref="D42:M42" si="7">(($E$30*D$36)/SUM(($E$30*D$36),($D$30*$G$30)))*$K$31</f>
        <v>1.7426587140140799</v>
      </c>
      <c r="E42">
        <f t="shared" si="7"/>
        <v>1.6013990206314925</v>
      </c>
      <c r="F42">
        <f t="shared" si="7"/>
        <v>1.4502538064343953</v>
      </c>
      <c r="G42">
        <f t="shared" si="7"/>
        <v>1.2881477443928897</v>
      </c>
      <c r="H42">
        <f t="shared" si="7"/>
        <v>1.1138436770726894</v>
      </c>
      <c r="I42">
        <f t="shared" si="7"/>
        <v>0.92591098332098343</v>
      </c>
      <c r="J42">
        <f t="shared" si="7"/>
        <v>0.72268622295240525</v>
      </c>
      <c r="K42">
        <f t="shared" si="7"/>
        <v>0.50222376698220583</v>
      </c>
      <c r="L42">
        <f t="shared" si="7"/>
        <v>0.2622333087151752</v>
      </c>
      <c r="M42">
        <f t="shared" si="7"/>
        <v>0</v>
      </c>
    </row>
    <row r="43" spans="1:19">
      <c r="B43" t="s">
        <v>146</v>
      </c>
      <c r="C43">
        <f>(($E$14*C$36)/SUM(($E$14*C$36),($D$14*$G$14)))*$K$14</f>
        <v>1.3429612929417478</v>
      </c>
      <c r="D43">
        <f t="shared" ref="D43:M43" si="8">(($E$14*D$36)/SUM(($E$14*D$36),($D$14*$G$14)))*$K$14</f>
        <v>1.2523145506246987</v>
      </c>
      <c r="E43">
        <f t="shared" si="8"/>
        <v>1.154875325642873</v>
      </c>
      <c r="F43">
        <f t="shared" si="8"/>
        <v>1.0498504221940013</v>
      </c>
      <c r="G43">
        <f t="shared" si="8"/>
        <v>0.93631814131428015</v>
      </c>
      <c r="H43">
        <f t="shared" si="8"/>
        <v>0.81320115942064586</v>
      </c>
      <c r="I43">
        <f t="shared" si="8"/>
        <v>0.67923223512516628</v>
      </c>
      <c r="J43">
        <f t="shared" si="8"/>
        <v>0.53291042982769099</v>
      </c>
      <c r="K43">
        <f t="shared" si="8"/>
        <v>0.37244463268368599</v>
      </c>
      <c r="L43">
        <f t="shared" si="8"/>
        <v>0.19567987659207878</v>
      </c>
      <c r="M43">
        <f t="shared" si="8"/>
        <v>0</v>
      </c>
    </row>
    <row r="44" spans="1:19">
      <c r="B44" t="s">
        <v>147</v>
      </c>
      <c r="C44">
        <f>(($E$14*C$36)/SUM(($E$14*C$36),($D$14*$G$14)))*$K$15</f>
        <v>1.5030785907891437</v>
      </c>
      <c r="D44">
        <f t="shared" ref="D44:M44" si="9">(($E$14*D$36)/SUM(($E$14*D$36),($D$14*$G$14)))*$K$15</f>
        <v>1.4016243058312474</v>
      </c>
      <c r="E44">
        <f t="shared" si="9"/>
        <v>1.2925676906160379</v>
      </c>
      <c r="F44">
        <f t="shared" si="9"/>
        <v>1.1750209789547483</v>
      </c>
      <c r="G44">
        <f t="shared" si="9"/>
        <v>1.0479525804456855</v>
      </c>
      <c r="H44">
        <f t="shared" si="9"/>
        <v>0.91015672540541415</v>
      </c>
      <c r="I44">
        <f t="shared" si="9"/>
        <v>0.76021508300818885</v>
      </c>
      <c r="J44">
        <f t="shared" si="9"/>
        <v>0.59644776218951467</v>
      </c>
      <c r="K44">
        <f t="shared" si="9"/>
        <v>0.41685010326314553</v>
      </c>
      <c r="L44">
        <f t="shared" si="9"/>
        <v>0.21901020878237118</v>
      </c>
      <c r="M44">
        <f t="shared" si="9"/>
        <v>0</v>
      </c>
    </row>
    <row r="46" spans="1:19">
      <c r="A46" t="s">
        <v>139</v>
      </c>
      <c r="B46" t="s">
        <v>140</v>
      </c>
      <c r="C46" t="s">
        <v>141</v>
      </c>
      <c r="D46" t="s">
        <v>142</v>
      </c>
      <c r="E46" t="s">
        <v>143</v>
      </c>
      <c r="F46" t="s">
        <v>144</v>
      </c>
      <c r="G46" t="s">
        <v>145</v>
      </c>
      <c r="H46" t="s">
        <v>146</v>
      </c>
      <c r="I46" t="s">
        <v>147</v>
      </c>
      <c r="K46" s="16" t="s">
        <v>148</v>
      </c>
      <c r="M46" t="s">
        <v>149</v>
      </c>
      <c r="N46" t="s">
        <v>150</v>
      </c>
      <c r="O46" t="s">
        <v>151</v>
      </c>
      <c r="Q46" t="s">
        <v>152</v>
      </c>
      <c r="R46" t="s">
        <v>150</v>
      </c>
      <c r="S46" t="s">
        <v>151</v>
      </c>
    </row>
    <row r="47" spans="1:19">
      <c r="A47">
        <v>100</v>
      </c>
      <c r="B47">
        <v>2.1365001153933356</v>
      </c>
      <c r="C47">
        <v>2.3912286970176679</v>
      </c>
      <c r="D47">
        <v>3.2607672788186393</v>
      </c>
      <c r="E47">
        <v>3.6495389048794165</v>
      </c>
      <c r="F47">
        <v>1.6752383043290584</v>
      </c>
      <c r="G47">
        <v>1.8749720062230693</v>
      </c>
      <c r="H47">
        <v>1.3429612929417478</v>
      </c>
      <c r="I47">
        <v>1.5030785907891437</v>
      </c>
      <c r="N47">
        <f>(B48-B47)/(A48-A47)</f>
        <v>1.1773344128837904E-2</v>
      </c>
      <c r="O47">
        <f>(A47+A48)/2</f>
        <v>95</v>
      </c>
      <c r="R47">
        <f>(G48-G47)/(A48-A47)</f>
        <v>1.3231329220898935E-2</v>
      </c>
      <c r="S47">
        <f>(A47+A48)/2</f>
        <v>95</v>
      </c>
    </row>
    <row r="48" spans="1:19">
      <c r="A48">
        <v>90</v>
      </c>
      <c r="B48">
        <v>2.0187666741049566</v>
      </c>
      <c r="C48">
        <v>2.2594582461859409</v>
      </c>
      <c r="D48">
        <v>3.1274585247874276</v>
      </c>
      <c r="E48">
        <v>3.5003361428920075</v>
      </c>
      <c r="F48">
        <v>1.5570198485096109</v>
      </c>
      <c r="G48">
        <v>1.7426587140140799</v>
      </c>
      <c r="H48">
        <v>1.2523145506246987</v>
      </c>
      <c r="I48">
        <v>1.4016243058312474</v>
      </c>
      <c r="N48">
        <f t="shared" ref="N48:N57" si="10">(B49-B48)/(A49-A48)</f>
        <v>1.3009578253891419E-2</v>
      </c>
      <c r="O48">
        <f t="shared" ref="O48:O57" si="11">(A48+A49)/2</f>
        <v>85</v>
      </c>
      <c r="R48">
        <f t="shared" ref="R48:R56" si="12">(G49-G48)/(A49-A48)</f>
        <v>1.4125969338258737E-2</v>
      </c>
      <c r="S48">
        <f t="shared" ref="S48:S57" si="13">(E48+E49)/2</f>
        <v>3.4152452191367417</v>
      </c>
    </row>
    <row r="49" spans="1:19">
      <c r="A49">
        <v>80</v>
      </c>
      <c r="B49">
        <v>1.8886708915660424</v>
      </c>
      <c r="C49">
        <v>2.113851528766808</v>
      </c>
      <c r="D49">
        <v>2.975405508153103</v>
      </c>
      <c r="E49">
        <v>3.330154295381476</v>
      </c>
      <c r="F49">
        <v>1.4308080179186138</v>
      </c>
      <c r="G49">
        <v>1.6013990206314925</v>
      </c>
      <c r="H49">
        <v>1.154875325642873</v>
      </c>
      <c r="I49">
        <v>1.2925676906160379</v>
      </c>
      <c r="N49">
        <f t="shared" si="10"/>
        <v>1.4451313549319411E-2</v>
      </c>
      <c r="O49">
        <f t="shared" si="11"/>
        <v>75</v>
      </c>
      <c r="R49">
        <f t="shared" si="12"/>
        <v>1.5114521419709726E-2</v>
      </c>
      <c r="S49">
        <f t="shared" si="13"/>
        <v>3.2321941600495072</v>
      </c>
    </row>
    <row r="50" spans="1:19">
      <c r="A50">
        <v>70</v>
      </c>
      <c r="B50">
        <v>1.7441577560728483</v>
      </c>
      <c r="C50">
        <v>1.9521085200968979</v>
      </c>
      <c r="D50">
        <v>2.8003558855873267</v>
      </c>
      <c r="E50">
        <v>3.1342340247175384</v>
      </c>
      <c r="F50">
        <v>1.2957637337913801</v>
      </c>
      <c r="G50">
        <v>1.4502538064343953</v>
      </c>
      <c r="H50">
        <v>1.0498504221940013</v>
      </c>
      <c r="I50">
        <v>1.1750209789547483</v>
      </c>
      <c r="N50">
        <f t="shared" si="10"/>
        <v>1.6146769604642053E-2</v>
      </c>
      <c r="O50">
        <f t="shared" si="11"/>
        <v>65</v>
      </c>
      <c r="R50">
        <f t="shared" si="12"/>
        <v>1.6210606204150557E-2</v>
      </c>
      <c r="S50">
        <f t="shared" si="13"/>
        <v>3.0202463185526711</v>
      </c>
    </row>
    <row r="51" spans="1:19">
      <c r="A51">
        <v>60</v>
      </c>
      <c r="B51">
        <v>1.5826900600264278</v>
      </c>
      <c r="C51">
        <v>1.7713895088290501</v>
      </c>
      <c r="D51">
        <v>2.5966658347959521</v>
      </c>
      <c r="E51">
        <v>2.9062586123878038</v>
      </c>
      <c r="F51">
        <v>1.150926219634081</v>
      </c>
      <c r="G51">
        <v>1.2881477443928897</v>
      </c>
      <c r="H51">
        <v>0.93631814131428015</v>
      </c>
      <c r="I51">
        <v>1.0479525804456855</v>
      </c>
      <c r="N51">
        <f t="shared" si="10"/>
        <v>1.815919039300733E-2</v>
      </c>
      <c r="O51">
        <f t="shared" si="11"/>
        <v>55</v>
      </c>
      <c r="R51">
        <f t="shared" si="12"/>
        <v>1.743040673202003E-2</v>
      </c>
      <c r="S51">
        <f t="shared" si="13"/>
        <v>2.7719593979032231</v>
      </c>
    </row>
    <row r="52" spans="1:19">
      <c r="A52">
        <v>50</v>
      </c>
      <c r="B52">
        <v>1.4010981560963545</v>
      </c>
      <c r="C52">
        <v>1.5681469399683765</v>
      </c>
      <c r="D52">
        <v>2.3566801842378107</v>
      </c>
      <c r="E52">
        <v>2.6376601834186428</v>
      </c>
      <c r="F52">
        <v>0.99519010773161343</v>
      </c>
      <c r="G52">
        <v>1.1138436770726894</v>
      </c>
      <c r="H52">
        <v>0.81320115942064586</v>
      </c>
      <c r="I52">
        <v>0.91015672540541415</v>
      </c>
      <c r="N52">
        <f t="shared" si="10"/>
        <v>2.0572835208816122E-2</v>
      </c>
      <c r="O52">
        <f t="shared" si="11"/>
        <v>45</v>
      </c>
      <c r="R52">
        <f t="shared" si="12"/>
        <v>1.8793269375170597E-2</v>
      </c>
      <c r="S52">
        <f t="shared" si="13"/>
        <v>2.477089483522684</v>
      </c>
    </row>
    <row r="53" spans="1:19">
      <c r="A53">
        <v>40</v>
      </c>
      <c r="B53">
        <v>1.1953698040081933</v>
      </c>
      <c r="C53">
        <v>1.3378902057145627</v>
      </c>
      <c r="D53">
        <v>2.0697487675277593</v>
      </c>
      <c r="E53">
        <v>2.3165187836267251</v>
      </c>
      <c r="F53">
        <v>0.82727717561120495</v>
      </c>
      <c r="G53">
        <v>0.92591098332098343</v>
      </c>
      <c r="H53">
        <v>0.67923223512516628</v>
      </c>
      <c r="I53">
        <v>0.76021508300818885</v>
      </c>
      <c r="N53">
        <f t="shared" si="10"/>
        <v>2.3501955028058019E-2</v>
      </c>
      <c r="O53">
        <f t="shared" si="11"/>
        <v>35</v>
      </c>
      <c r="R53">
        <f t="shared" si="12"/>
        <v>2.0322476036857818E-2</v>
      </c>
      <c r="S53">
        <f t="shared" si="13"/>
        <v>2.1211320559471649</v>
      </c>
    </row>
    <row r="54" spans="1:19">
      <c r="A54">
        <v>30</v>
      </c>
      <c r="B54">
        <v>0.96035025372761307</v>
      </c>
      <c r="C54">
        <v>1.0748499704522085</v>
      </c>
      <c r="D54">
        <v>1.7206029357180783</v>
      </c>
      <c r="E54">
        <v>1.9257453282676045</v>
      </c>
      <c r="F54">
        <v>0.64570118310167623</v>
      </c>
      <c r="G54">
        <v>0.72268622295240525</v>
      </c>
      <c r="H54">
        <v>0.53291042982769099</v>
      </c>
      <c r="I54">
        <v>0.59644776218951467</v>
      </c>
      <c r="N54">
        <f t="shared" si="10"/>
        <v>2.7104584840834289E-2</v>
      </c>
      <c r="O54">
        <f t="shared" si="11"/>
        <v>25</v>
      </c>
      <c r="R54">
        <f t="shared" si="12"/>
        <v>2.2046245597019943E-2</v>
      </c>
      <c r="S54">
        <f t="shared" si="13"/>
        <v>1.6828421007981413</v>
      </c>
    </row>
    <row r="55" spans="1:19">
      <c r="A55">
        <v>20</v>
      </c>
      <c r="B55">
        <v>0.68930440531927017</v>
      </c>
      <c r="C55">
        <v>0.7714881282263274</v>
      </c>
      <c r="D55">
        <v>1.2865476116370564</v>
      </c>
      <c r="E55">
        <v>1.4399388733286782</v>
      </c>
      <c r="F55">
        <v>0.44872376174181994</v>
      </c>
      <c r="G55">
        <v>0.50222376698220583</v>
      </c>
      <c r="H55">
        <v>0.37244463268368599</v>
      </c>
      <c r="I55">
        <v>0.41685010326314553</v>
      </c>
      <c r="N55">
        <f t="shared" si="10"/>
        <v>3.1604350048820208E-2</v>
      </c>
      <c r="O55">
        <f t="shared" si="11"/>
        <v>15</v>
      </c>
      <c r="R55">
        <f t="shared" si="12"/>
        <v>2.3999045826703064E-2</v>
      </c>
      <c r="S55">
        <f t="shared" si="13"/>
        <v>1.1297862516677428</v>
      </c>
    </row>
    <row r="56" spans="1:19">
      <c r="A56">
        <v>10</v>
      </c>
      <c r="B56">
        <v>0.37326090483106811</v>
      </c>
      <c r="C56">
        <v>0.41776369712131256</v>
      </c>
      <c r="D56">
        <v>0.73232114823388816</v>
      </c>
      <c r="E56">
        <v>0.81963363000680745</v>
      </c>
      <c r="F56">
        <v>0.23429858257752773</v>
      </c>
      <c r="G56">
        <v>0.2622333087151752</v>
      </c>
      <c r="H56">
        <v>0.19567987659207878</v>
      </c>
      <c r="I56">
        <v>0.21901020878237118</v>
      </c>
      <c r="N56">
        <f>(B57-B56)/(A57-A56)</f>
        <v>3.7326090483106811E-2</v>
      </c>
      <c r="O56">
        <f t="shared" si="11"/>
        <v>5</v>
      </c>
      <c r="R56">
        <f t="shared" si="12"/>
        <v>2.6223330871517521E-2</v>
      </c>
      <c r="S56">
        <f t="shared" si="13"/>
        <v>0.40981681500340372</v>
      </c>
    </row>
    <row r="57" spans="1:19">
      <c r="A57">
        <v>0</v>
      </c>
      <c r="B57">
        <v>0</v>
      </c>
      <c r="C57">
        <v>0</v>
      </c>
      <c r="D57">
        <v>0</v>
      </c>
      <c r="E57">
        <v>0</v>
      </c>
      <c r="F57">
        <v>0</v>
      </c>
      <c r="G57">
        <v>0</v>
      </c>
      <c r="H57">
        <v>0</v>
      </c>
      <c r="I57">
        <v>0</v>
      </c>
      <c r="N57" t="e">
        <f t="shared" si="10"/>
        <v>#DIV/0!</v>
      </c>
      <c r="O57">
        <f t="shared" si="11"/>
        <v>0</v>
      </c>
      <c r="R57" t="e">
        <f t="shared" ref="R48:R57" si="14">(G58-G57)/(B58-B57)</f>
        <v>#DIV/0!</v>
      </c>
      <c r="S57">
        <f t="shared" si="13"/>
        <v>0</v>
      </c>
    </row>
    <row r="59" spans="1:19">
      <c r="N59">
        <f>MAX(N47:N56)</f>
        <v>3.7326090483106811E-2</v>
      </c>
      <c r="R59">
        <f>MAX(R47:R56)</f>
        <v>2.6223330871517521E-2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3FF3-FF51-4990-9F41-7FA07C3D3A85}">
  <dimension ref="A1:AB32"/>
  <sheetViews>
    <sheetView tabSelected="1" workbookViewId="0">
      <selection activeCell="H36" sqref="H36"/>
    </sheetView>
  </sheetViews>
  <sheetFormatPr defaultRowHeight="15"/>
  <cols>
    <col min="1" max="1" width="16.7109375" bestFit="1" customWidth="1"/>
    <col min="2" max="2" width="24.28515625" bestFit="1" customWidth="1"/>
    <col min="3" max="3" width="12.7109375" bestFit="1" customWidth="1"/>
    <col min="4" max="4" width="11.7109375" bestFit="1" customWidth="1"/>
    <col min="5" max="5" width="14" bestFit="1" customWidth="1"/>
    <col min="6" max="6" width="10.140625" bestFit="1" customWidth="1"/>
    <col min="7" max="7" width="23.7109375" bestFit="1" customWidth="1"/>
    <col min="8" max="8" width="14.85546875" bestFit="1" customWidth="1"/>
    <col min="9" max="9" width="18" customWidth="1"/>
    <col min="10" max="10" width="19.42578125" bestFit="1" customWidth="1"/>
    <col min="11" max="11" width="19.140625" bestFit="1" customWidth="1"/>
    <col min="12" max="12" width="24.5703125" bestFit="1" customWidth="1"/>
    <col min="13" max="13" width="27.28515625" bestFit="1" customWidth="1"/>
    <col min="14" max="14" width="20.28515625" customWidth="1"/>
    <col min="15" max="15" width="24.5703125" bestFit="1" customWidth="1"/>
    <col min="16" max="16" width="21" customWidth="1"/>
    <col min="17" max="17" width="18.5703125" bestFit="1" customWidth="1"/>
    <col min="18" max="18" width="22.140625" bestFit="1" customWidth="1"/>
    <col min="19" max="19" width="18.5703125" bestFit="1" customWidth="1"/>
    <col min="20" max="20" width="16" bestFit="1" customWidth="1"/>
    <col min="21" max="21" width="24.28515625" bestFit="1" customWidth="1"/>
    <col min="22" max="22" width="20.7109375" bestFit="1" customWidth="1"/>
    <col min="23" max="23" width="18.28515625" bestFit="1" customWidth="1"/>
    <col min="24" max="24" width="15.5703125" style="19" customWidth="1"/>
    <col min="25" max="25" width="15.42578125" style="17" customWidth="1"/>
  </cols>
  <sheetData>
    <row r="1" spans="1:28">
      <c r="A1" s="1" t="s">
        <v>0</v>
      </c>
      <c r="B1" s="2"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t="s">
        <v>17</v>
      </c>
      <c r="S1" t="s">
        <v>18</v>
      </c>
      <c r="T1" t="s">
        <v>19</v>
      </c>
      <c r="U1" t="s">
        <v>20</v>
      </c>
      <c r="V1" t="s">
        <v>21</v>
      </c>
      <c r="W1" t="s">
        <v>22</v>
      </c>
      <c r="X1" s="19" t="s">
        <v>23</v>
      </c>
      <c r="Y1" s="17" t="s">
        <v>24</v>
      </c>
    </row>
    <row r="2" spans="1:28">
      <c r="A2" s="3" t="s">
        <v>28</v>
      </c>
      <c r="B2" s="4" t="s">
        <v>29</v>
      </c>
      <c r="C2" s="4">
        <v>0.2</v>
      </c>
      <c r="D2" s="4">
        <v>0.12</v>
      </c>
      <c r="E2" s="4">
        <v>0.39</v>
      </c>
      <c r="F2" s="3">
        <v>0.61</v>
      </c>
      <c r="G2" s="4" t="s">
        <v>30</v>
      </c>
      <c r="H2" s="3">
        <v>0.67999999999999994</v>
      </c>
      <c r="I2" s="3">
        <v>0.62499999999999989</v>
      </c>
      <c r="J2" s="3">
        <v>22.1</v>
      </c>
      <c r="K2" s="3">
        <v>227.13673700000001</v>
      </c>
      <c r="L2" s="4">
        <v>1490</v>
      </c>
      <c r="M2" s="11">
        <v>0.35</v>
      </c>
      <c r="N2" s="11">
        <v>0.65</v>
      </c>
      <c r="O2" s="15">
        <v>10</v>
      </c>
      <c r="P2" s="11">
        <v>0</v>
      </c>
      <c r="Q2" s="11">
        <v>0.61</v>
      </c>
      <c r="R2" s="18">
        <v>3.125</v>
      </c>
      <c r="S2" s="18">
        <v>1.90625</v>
      </c>
      <c r="T2" s="18">
        <v>0.74390243902439024</v>
      </c>
      <c r="U2" s="18">
        <v>2.4190017513134854</v>
      </c>
      <c r="V2" s="18">
        <v>1.7995013028063733</v>
      </c>
      <c r="W2" s="17">
        <v>6.4425281256721451E-2</v>
      </c>
      <c r="X2" s="20">
        <v>2.8070836473247929</v>
      </c>
      <c r="Y2" s="18">
        <v>0.18084715349004327</v>
      </c>
      <c r="Z2" s="10"/>
      <c r="AA2" s="10"/>
      <c r="AB2" s="10"/>
    </row>
    <row r="3" spans="1:28">
      <c r="A3" s="3" t="s">
        <v>28</v>
      </c>
      <c r="B3" s="4" t="s">
        <v>29</v>
      </c>
      <c r="C3" s="4">
        <v>0.2</v>
      </c>
      <c r="D3" s="4">
        <v>0.12</v>
      </c>
      <c r="E3" s="4">
        <v>0.39</v>
      </c>
      <c r="F3" s="3">
        <v>0.61</v>
      </c>
      <c r="G3" s="4" t="s">
        <v>35</v>
      </c>
      <c r="H3" s="3">
        <v>0.67999999999999994</v>
      </c>
      <c r="I3" s="3">
        <v>0.37499999999999989</v>
      </c>
      <c r="J3" s="3">
        <v>39.299999999999997</v>
      </c>
      <c r="K3" s="3">
        <v>227.13673700000001</v>
      </c>
      <c r="L3" s="4">
        <v>1940</v>
      </c>
      <c r="M3" s="11">
        <v>0.35</v>
      </c>
      <c r="N3" s="11">
        <v>0.65</v>
      </c>
      <c r="O3" s="15">
        <v>10</v>
      </c>
      <c r="P3" s="11">
        <v>0</v>
      </c>
      <c r="Q3" s="11">
        <v>0.61</v>
      </c>
      <c r="R3" s="18">
        <v>3.125</v>
      </c>
      <c r="S3" s="18">
        <v>1.90625</v>
      </c>
      <c r="T3" s="18">
        <v>0.74390243902439024</v>
      </c>
      <c r="U3" s="18">
        <v>4.3016637478108581</v>
      </c>
      <c r="V3" s="18">
        <v>3.2000181538592969</v>
      </c>
      <c r="W3" s="17">
        <v>6.4425281256721451E-2</v>
      </c>
      <c r="X3" s="20">
        <v>3.6548605877920122</v>
      </c>
      <c r="Y3" s="18">
        <v>0.23546542132260667</v>
      </c>
      <c r="Z3" s="10"/>
      <c r="AA3" s="10"/>
      <c r="AB3" s="10"/>
    </row>
    <row r="4" spans="1:28">
      <c r="A4" s="9" t="s">
        <v>37</v>
      </c>
      <c r="B4" s="4" t="s">
        <v>38</v>
      </c>
      <c r="C4" s="4">
        <v>0.23</v>
      </c>
      <c r="D4" s="4">
        <v>0.18</v>
      </c>
      <c r="E4" s="4">
        <v>0.62</v>
      </c>
      <c r="F4" s="3">
        <v>0.38</v>
      </c>
      <c r="G4" s="4" t="s">
        <v>30</v>
      </c>
      <c r="H4" s="3">
        <v>0.59</v>
      </c>
      <c r="I4" s="3">
        <v>0.5609756097560975</v>
      </c>
      <c r="J4" s="3">
        <v>19</v>
      </c>
      <c r="K4" s="3">
        <v>316.19840499999998</v>
      </c>
      <c r="L4" s="4">
        <v>1490</v>
      </c>
      <c r="M4" s="11">
        <v>0.35</v>
      </c>
      <c r="N4" s="11">
        <v>0.65</v>
      </c>
      <c r="O4" s="15">
        <v>10</v>
      </c>
      <c r="P4" s="11">
        <v>0</v>
      </c>
      <c r="Q4" s="11">
        <v>0.38</v>
      </c>
      <c r="R4" s="18">
        <v>2.4390243902439019</v>
      </c>
      <c r="S4" s="18">
        <v>0.92682926829268275</v>
      </c>
      <c r="T4" s="17">
        <v>0.53232758620689657</v>
      </c>
      <c r="U4" s="17">
        <v>1.660258650821391</v>
      </c>
      <c r="V4" s="17">
        <v>0.88380148007086978</v>
      </c>
      <c r="W4" s="17">
        <v>1.9014925661315758E-2</v>
      </c>
      <c r="X4" s="20">
        <v>2.1534903887845065</v>
      </c>
      <c r="Y4" s="18">
        <v>4.0948459655095359E-2</v>
      </c>
    </row>
    <row r="5" spans="1:28">
      <c r="A5" s="9" t="s">
        <v>37</v>
      </c>
      <c r="B5" s="4" t="s">
        <v>38</v>
      </c>
      <c r="C5" s="4">
        <v>0.23</v>
      </c>
      <c r="D5" s="4">
        <v>0.18</v>
      </c>
      <c r="E5" s="4">
        <v>0.62</v>
      </c>
      <c r="F5" s="3">
        <v>0.38</v>
      </c>
      <c r="G5" s="4" t="s">
        <v>35</v>
      </c>
      <c r="H5" s="3">
        <v>0.59</v>
      </c>
      <c r="I5" s="3">
        <v>0.43902439024390238</v>
      </c>
      <c r="J5" s="3">
        <v>39.299999999999997</v>
      </c>
      <c r="K5" s="3">
        <v>316.19840499999998</v>
      </c>
      <c r="L5" s="4">
        <v>1940</v>
      </c>
      <c r="M5" s="11">
        <v>0.35</v>
      </c>
      <c r="N5" s="11">
        <v>0.65</v>
      </c>
      <c r="O5" s="15">
        <v>10</v>
      </c>
      <c r="P5" s="11">
        <v>0</v>
      </c>
      <c r="Q5" s="11">
        <v>0.38</v>
      </c>
      <c r="R5" s="18">
        <v>2.4390243902439024</v>
      </c>
      <c r="S5" s="18">
        <v>0.92682926829268286</v>
      </c>
      <c r="T5" s="18">
        <v>0.53232758620689657</v>
      </c>
      <c r="U5" s="17">
        <v>3.4341139461726669</v>
      </c>
      <c r="V5" s="17">
        <v>1.8280735877255361</v>
      </c>
      <c r="W5" s="17">
        <v>1.9014925661315758E-2</v>
      </c>
      <c r="X5" s="20">
        <v>2.8038733921086862</v>
      </c>
      <c r="Y5" s="18">
        <v>5.3315444114687915E-2</v>
      </c>
      <c r="Z5" s="10"/>
    </row>
    <row r="6" spans="1:28">
      <c r="A6" s="3" t="s">
        <v>42</v>
      </c>
      <c r="B6" s="4" t="s">
        <v>43</v>
      </c>
      <c r="C6" s="4">
        <v>0.24</v>
      </c>
      <c r="D6" s="4">
        <v>0.02</v>
      </c>
      <c r="E6" s="4">
        <v>0.62</v>
      </c>
      <c r="F6" s="3">
        <v>0.38</v>
      </c>
      <c r="G6" s="4" t="s">
        <v>30</v>
      </c>
      <c r="H6" s="3">
        <v>0.74</v>
      </c>
      <c r="I6" s="3">
        <v>0.92307692307692302</v>
      </c>
      <c r="J6" s="3">
        <v>20</v>
      </c>
      <c r="K6" s="3">
        <v>646.46379999999999</v>
      </c>
      <c r="L6" s="4">
        <v>1490</v>
      </c>
      <c r="M6" s="11">
        <v>0.42000000000000004</v>
      </c>
      <c r="N6" s="11">
        <v>0.57999999999999996</v>
      </c>
      <c r="O6" s="15">
        <v>10</v>
      </c>
      <c r="P6" s="11">
        <v>0</v>
      </c>
      <c r="Q6" s="11">
        <v>0.38</v>
      </c>
      <c r="R6" s="18">
        <v>3.8461538461538463</v>
      </c>
      <c r="S6" s="18">
        <v>1.4615384615384617</v>
      </c>
      <c r="T6" s="17">
        <v>0.45840266222961729</v>
      </c>
      <c r="U6" s="17">
        <v>3.5803795202291449</v>
      </c>
      <c r="V6" s="17">
        <v>1.6412555038654399</v>
      </c>
      <c r="W6" s="17">
        <v>9.391816696572023E-3</v>
      </c>
      <c r="X6" s="20">
        <v>3.7588294651866803</v>
      </c>
      <c r="Y6" s="18">
        <v>3.5302237330707149E-2</v>
      </c>
    </row>
    <row r="7" spans="1:28">
      <c r="A7" s="3" t="s">
        <v>42</v>
      </c>
      <c r="B7" s="4" t="s">
        <v>43</v>
      </c>
      <c r="C7" s="4">
        <v>0.24</v>
      </c>
      <c r="D7" s="4">
        <v>0.02</v>
      </c>
      <c r="E7" s="4">
        <v>0.62</v>
      </c>
      <c r="F7" s="3">
        <v>0.38</v>
      </c>
      <c r="G7" s="4" t="s">
        <v>35</v>
      </c>
      <c r="H7" s="3">
        <v>0.74</v>
      </c>
      <c r="I7" s="3">
        <v>7.6923076923076927E-2</v>
      </c>
      <c r="J7" s="3">
        <v>39.299999999999997</v>
      </c>
      <c r="K7" s="3">
        <v>646.46379999999999</v>
      </c>
      <c r="L7" s="4">
        <v>1940</v>
      </c>
      <c r="M7" s="11">
        <v>0.42000000000000004</v>
      </c>
      <c r="N7" s="11">
        <v>0.57999999999999996</v>
      </c>
      <c r="O7" s="15">
        <v>10</v>
      </c>
      <c r="P7" s="11">
        <v>0</v>
      </c>
      <c r="Q7" s="11">
        <v>0.38</v>
      </c>
      <c r="R7" s="18">
        <v>3.8461538461538463</v>
      </c>
      <c r="S7" s="18">
        <v>1.4615384615384617</v>
      </c>
      <c r="T7" s="17">
        <v>0.45840266222961729</v>
      </c>
      <c r="U7" s="17">
        <v>7.035445757250268</v>
      </c>
      <c r="V7" s="17">
        <v>3.2250670650955886</v>
      </c>
      <c r="W7" s="17">
        <v>9.391816696572023E-3</v>
      </c>
      <c r="X7" s="20">
        <v>4.8940464177598386</v>
      </c>
      <c r="Y7" s="18">
        <v>4.5963986860115352E-2</v>
      </c>
    </row>
    <row r="8" spans="1:28">
      <c r="A8" s="3" t="s">
        <v>47</v>
      </c>
      <c r="B8" s="4" t="s">
        <v>48</v>
      </c>
      <c r="C8" s="4">
        <v>0.19700000000000001</v>
      </c>
      <c r="D8" s="4">
        <v>0.186</v>
      </c>
      <c r="E8" s="4">
        <v>0.61</v>
      </c>
      <c r="F8" s="3">
        <v>0.39</v>
      </c>
      <c r="G8" s="4" t="s">
        <v>30</v>
      </c>
      <c r="H8" s="3">
        <v>0.61699999999999999</v>
      </c>
      <c r="I8" s="3">
        <v>0.51436031331592691</v>
      </c>
      <c r="J8" s="3">
        <v>20</v>
      </c>
      <c r="K8" s="3">
        <v>254.46559199999999</v>
      </c>
      <c r="L8" s="4">
        <v>1490</v>
      </c>
      <c r="M8" s="11">
        <v>0.35</v>
      </c>
      <c r="N8" s="11">
        <v>0.65</v>
      </c>
      <c r="O8" s="15">
        <v>10</v>
      </c>
      <c r="P8" s="11">
        <v>0</v>
      </c>
      <c r="Q8" s="11">
        <v>0.39</v>
      </c>
      <c r="R8" s="18">
        <v>2.6109660574412534</v>
      </c>
      <c r="S8" s="18">
        <v>1.018276762402089</v>
      </c>
      <c r="T8" s="18">
        <v>0.54282655246252676</v>
      </c>
      <c r="U8" s="17">
        <v>1.7778093832779249</v>
      </c>
      <c r="V8" s="17">
        <v>0.96504213846028686</v>
      </c>
      <c r="W8" s="17">
        <v>2.4509186090456818E-2</v>
      </c>
      <c r="X8" s="20">
        <v>2.2769992511881658</v>
      </c>
      <c r="Y8" s="18">
        <v>5.5807398375201586E-2</v>
      </c>
      <c r="Z8" s="10"/>
    </row>
    <row r="9" spans="1:28">
      <c r="A9" s="3" t="s">
        <v>47</v>
      </c>
      <c r="B9" s="4" t="s">
        <v>48</v>
      </c>
      <c r="C9" s="4">
        <v>0.19700000000000001</v>
      </c>
      <c r="D9" s="4">
        <v>0.186</v>
      </c>
      <c r="E9" s="4">
        <v>0.61</v>
      </c>
      <c r="F9" s="3">
        <v>0.39</v>
      </c>
      <c r="G9" s="4" t="s">
        <v>35</v>
      </c>
      <c r="H9" s="3">
        <v>0.61699999999999999</v>
      </c>
      <c r="I9" s="3">
        <v>0.48563968668407309</v>
      </c>
      <c r="J9" s="3">
        <v>39.299999999999997</v>
      </c>
      <c r="K9" s="3">
        <v>254.46559199999999</v>
      </c>
      <c r="L9" s="4">
        <v>1940</v>
      </c>
      <c r="M9" s="11">
        <v>0.35</v>
      </c>
      <c r="N9" s="11">
        <v>0.65</v>
      </c>
      <c r="O9" s="15">
        <v>10</v>
      </c>
      <c r="P9" s="11">
        <v>0</v>
      </c>
      <c r="Q9" s="11">
        <v>0.39</v>
      </c>
      <c r="R9" s="18">
        <v>2.610966057441253</v>
      </c>
      <c r="S9" s="18">
        <v>1.0182767624020888</v>
      </c>
      <c r="T9" s="18">
        <v>0.54282655246252676</v>
      </c>
      <c r="U9" s="17">
        <v>3.4933954381411221</v>
      </c>
      <c r="V9" s="17">
        <v>1.8963078020744635</v>
      </c>
      <c r="W9" s="17">
        <v>2.4509186090456818E-2</v>
      </c>
      <c r="X9" s="20">
        <v>2.9646835887953298</v>
      </c>
      <c r="Y9" s="18">
        <v>7.2661981777108101E-2</v>
      </c>
      <c r="Z9" s="10"/>
    </row>
    <row r="10" spans="1:28">
      <c r="A10" s="3" t="s">
        <v>50</v>
      </c>
      <c r="B10" s="4" t="s">
        <v>51</v>
      </c>
      <c r="C10" s="4">
        <v>0.2</v>
      </c>
      <c r="D10" s="4">
        <v>0.02</v>
      </c>
      <c r="E10" s="4">
        <v>0.49</v>
      </c>
      <c r="F10" s="3">
        <v>0.51</v>
      </c>
      <c r="G10" s="4" t="s">
        <v>30</v>
      </c>
      <c r="H10" s="3">
        <v>0.78</v>
      </c>
      <c r="I10" s="3">
        <v>0.90909090909090928</v>
      </c>
      <c r="J10" s="3">
        <v>18</v>
      </c>
      <c r="K10" s="3">
        <v>114.980132</v>
      </c>
      <c r="L10" s="4">
        <v>1490</v>
      </c>
      <c r="M10" s="11">
        <v>0.42000000000000004</v>
      </c>
      <c r="N10" s="11">
        <v>0.57999999999999996</v>
      </c>
      <c r="O10" s="15">
        <v>10</v>
      </c>
      <c r="P10" s="11">
        <v>0</v>
      </c>
      <c r="Q10" s="11">
        <v>0.51</v>
      </c>
      <c r="R10" s="18">
        <v>4.5454545454545459</v>
      </c>
      <c r="S10" s="18">
        <v>2.3181818181818183</v>
      </c>
      <c r="T10" s="18">
        <v>0.58971291866028708</v>
      </c>
      <c r="U10" s="17">
        <v>4.1039671682626535</v>
      </c>
      <c r="V10" s="17">
        <v>2.4201624568821627</v>
      </c>
      <c r="W10" s="17">
        <v>8.300745490863988E-2</v>
      </c>
      <c r="X10" s="20">
        <v>4.4239904988123513</v>
      </c>
      <c r="Y10" s="18">
        <v>0.36722419184641752</v>
      </c>
      <c r="Z10" s="10"/>
    </row>
    <row r="11" spans="1:28">
      <c r="A11" s="3" t="s">
        <v>50</v>
      </c>
      <c r="B11" s="4" t="s">
        <v>51</v>
      </c>
      <c r="C11" s="4">
        <v>0.2</v>
      </c>
      <c r="D11" s="4">
        <v>0.02</v>
      </c>
      <c r="E11" s="4">
        <v>0.49</v>
      </c>
      <c r="F11" s="3">
        <v>0.51</v>
      </c>
      <c r="G11" s="4" t="s">
        <v>35</v>
      </c>
      <c r="H11" s="3">
        <v>0.78</v>
      </c>
      <c r="I11" s="3">
        <v>9.0909090909090925E-2</v>
      </c>
      <c r="J11" s="3">
        <v>39.299999999999997</v>
      </c>
      <c r="K11" s="3">
        <v>114.980132</v>
      </c>
      <c r="L11" s="4">
        <v>1940</v>
      </c>
      <c r="M11" s="11">
        <v>0.42000000000000004</v>
      </c>
      <c r="N11" s="11">
        <v>0.57999999999999996</v>
      </c>
      <c r="O11" s="15">
        <v>10</v>
      </c>
      <c r="P11" s="11">
        <v>0</v>
      </c>
      <c r="Q11" s="11">
        <v>0.51</v>
      </c>
      <c r="R11" s="18">
        <v>4.5454545454545459</v>
      </c>
      <c r="S11" s="18">
        <v>2.3181818181818183</v>
      </c>
      <c r="T11" s="18">
        <v>0.58971291866028708</v>
      </c>
      <c r="U11" s="17">
        <v>8.9603283173734596</v>
      </c>
      <c r="V11" s="17">
        <v>5.2840213641927223</v>
      </c>
      <c r="W11" s="17">
        <v>8.300745490863988E-2</v>
      </c>
      <c r="X11" s="20">
        <v>5.7600950118764853</v>
      </c>
      <c r="Y11" s="18">
        <v>0.47813082696781883</v>
      </c>
      <c r="Z11" s="10"/>
    </row>
    <row r="12" spans="1:28">
      <c r="A12" t="s">
        <v>53</v>
      </c>
      <c r="B12" s="4" t="s">
        <v>54</v>
      </c>
      <c r="C12" s="4">
        <v>0.24</v>
      </c>
      <c r="D12" s="4">
        <v>0.02</v>
      </c>
      <c r="E12" s="4">
        <v>0.58000000000000007</v>
      </c>
      <c r="F12" s="3">
        <v>0.41999999999999993</v>
      </c>
      <c r="G12" s="4" t="s">
        <v>30</v>
      </c>
      <c r="H12" s="3">
        <v>0.74</v>
      </c>
      <c r="I12" s="3">
        <v>0.92307692307692302</v>
      </c>
      <c r="J12" s="3">
        <v>20</v>
      </c>
      <c r="K12" s="3">
        <v>613.72499100000005</v>
      </c>
      <c r="L12" s="4">
        <v>1490</v>
      </c>
      <c r="M12" s="11">
        <v>0.42000000000000004</v>
      </c>
      <c r="N12" s="11">
        <v>0.57999999999999996</v>
      </c>
      <c r="O12" s="15">
        <v>10</v>
      </c>
      <c r="P12" s="11">
        <v>0</v>
      </c>
      <c r="Q12" s="11">
        <v>0.41999999999999993</v>
      </c>
      <c r="R12" s="18">
        <v>3.8461538461538463</v>
      </c>
      <c r="S12" s="18">
        <v>1.6153846153846152</v>
      </c>
      <c r="T12" s="17">
        <v>0.49999999999999989</v>
      </c>
      <c r="U12" s="17">
        <v>3.5803795202291449</v>
      </c>
      <c r="V12" s="17">
        <v>1.790189760114572</v>
      </c>
      <c r="W12" s="17">
        <v>1.1661467764712843E-2</v>
      </c>
      <c r="X12" s="20">
        <v>3.7588294651866803</v>
      </c>
      <c r="Y12" s="18">
        <v>4.383346864132729E-2</v>
      </c>
    </row>
    <row r="13" spans="1:28">
      <c r="A13" t="s">
        <v>53</v>
      </c>
      <c r="B13" s="4" t="s">
        <v>54</v>
      </c>
      <c r="C13" s="4">
        <v>0.24</v>
      </c>
      <c r="D13" s="4">
        <v>0.02</v>
      </c>
      <c r="E13" s="4">
        <v>0.58000000000000007</v>
      </c>
      <c r="F13" s="3">
        <v>0.41999999999999993</v>
      </c>
      <c r="G13" s="4" t="s">
        <v>35</v>
      </c>
      <c r="H13" s="3">
        <v>0.74</v>
      </c>
      <c r="I13" s="3">
        <v>7.6923076923076927E-2</v>
      </c>
      <c r="J13" s="3">
        <v>39.299999999999997</v>
      </c>
      <c r="K13" s="3">
        <v>613.72499100000005</v>
      </c>
      <c r="L13" s="4">
        <v>1940</v>
      </c>
      <c r="M13" s="11">
        <v>0.42000000000000004</v>
      </c>
      <c r="N13" s="11">
        <v>0.57999999999999996</v>
      </c>
      <c r="O13" s="15">
        <v>10</v>
      </c>
      <c r="P13" s="11">
        <v>0</v>
      </c>
      <c r="Q13" s="11">
        <v>0.41999999999999993</v>
      </c>
      <c r="R13" s="18">
        <v>3.8461538461538463</v>
      </c>
      <c r="S13" s="18">
        <v>1.6153846153846152</v>
      </c>
      <c r="T13" s="17">
        <v>0.49999999999999989</v>
      </c>
      <c r="U13" s="17">
        <v>7.035445757250268</v>
      </c>
      <c r="V13" s="17">
        <v>3.5177228786251331</v>
      </c>
      <c r="W13" s="17">
        <v>1.1661467764712843E-2</v>
      </c>
      <c r="X13" s="20">
        <v>4.8940464177598386</v>
      </c>
      <c r="Y13" s="18">
        <v>5.7071764539714721E-2</v>
      </c>
    </row>
    <row r="14" spans="1:28">
      <c r="A14" s="3" t="s">
        <v>56</v>
      </c>
      <c r="B14" s="4" t="s">
        <v>57</v>
      </c>
      <c r="C14" s="4">
        <v>0.17</v>
      </c>
      <c r="D14" s="4">
        <v>0.08</v>
      </c>
      <c r="E14" s="4">
        <v>0.6</v>
      </c>
      <c r="F14" s="3">
        <v>0.4</v>
      </c>
      <c r="G14" s="4" t="s">
        <v>30</v>
      </c>
      <c r="H14" s="3">
        <v>0.75</v>
      </c>
      <c r="I14" s="3">
        <v>0.68</v>
      </c>
      <c r="J14" s="3">
        <v>20</v>
      </c>
      <c r="K14" s="3">
        <v>124.60208299999999</v>
      </c>
      <c r="L14" s="4">
        <v>1490</v>
      </c>
      <c r="M14" s="11">
        <v>0.35</v>
      </c>
      <c r="N14" s="11">
        <v>0.65</v>
      </c>
      <c r="O14" s="15">
        <v>10</v>
      </c>
      <c r="P14" s="11">
        <v>0</v>
      </c>
      <c r="Q14" s="11">
        <v>0.4</v>
      </c>
      <c r="R14" s="18">
        <v>4</v>
      </c>
      <c r="S14" s="18">
        <v>1.6</v>
      </c>
      <c r="T14" s="18">
        <v>0.55319148936170215</v>
      </c>
      <c r="U14" s="17">
        <v>3.0562347188264054</v>
      </c>
      <c r="V14" s="17">
        <v>1.6906830359465221</v>
      </c>
      <c r="W14" s="17">
        <v>5.0786395723243088E-2</v>
      </c>
      <c r="X14" s="20">
        <v>3.6474908200734393</v>
      </c>
      <c r="Y14" s="18">
        <v>0.18524291218514613</v>
      </c>
      <c r="Z14" s="10"/>
    </row>
    <row r="15" spans="1:28">
      <c r="A15" s="3" t="s">
        <v>56</v>
      </c>
      <c r="B15" s="4" t="s">
        <v>57</v>
      </c>
      <c r="C15" s="4">
        <v>0.17</v>
      </c>
      <c r="D15" s="4">
        <v>0.08</v>
      </c>
      <c r="E15" s="4">
        <v>0.6</v>
      </c>
      <c r="F15" s="3">
        <v>0.4</v>
      </c>
      <c r="G15" s="4" t="s">
        <v>35</v>
      </c>
      <c r="H15" s="3">
        <v>0.75</v>
      </c>
      <c r="I15" s="3">
        <v>0.32</v>
      </c>
      <c r="J15" s="3">
        <v>39.299999999999997</v>
      </c>
      <c r="K15" s="3">
        <v>124.60208299999999</v>
      </c>
      <c r="L15" s="4">
        <v>1940</v>
      </c>
      <c r="M15" s="11">
        <v>0.35</v>
      </c>
      <c r="N15" s="11">
        <v>0.65</v>
      </c>
      <c r="O15" s="15">
        <v>10</v>
      </c>
      <c r="P15" s="11">
        <v>0</v>
      </c>
      <c r="Q15" s="11">
        <v>0.4</v>
      </c>
      <c r="R15" s="18">
        <v>4</v>
      </c>
      <c r="S15" s="18">
        <v>1.6</v>
      </c>
      <c r="T15" s="18">
        <v>0.55319148936170215</v>
      </c>
      <c r="U15" s="17">
        <v>6.0055012224938862</v>
      </c>
      <c r="V15" s="17">
        <v>3.3221921656349158</v>
      </c>
      <c r="W15" s="17">
        <v>5.0786395723243088E-2</v>
      </c>
      <c r="X15" s="20">
        <v>4.7490820073439419</v>
      </c>
      <c r="Y15" s="18">
        <v>0.24118875814710308</v>
      </c>
      <c r="Z15" s="10"/>
    </row>
    <row r="16" spans="1:28">
      <c r="A16" s="3" t="s">
        <v>59</v>
      </c>
      <c r="B16" s="4" t="s">
        <v>60</v>
      </c>
      <c r="C16" s="4">
        <v>0.19700000000000001</v>
      </c>
      <c r="D16" s="4">
        <v>0.186</v>
      </c>
      <c r="E16" s="4">
        <v>0.57000000000000006</v>
      </c>
      <c r="F16" s="3">
        <v>0.42999999999999994</v>
      </c>
      <c r="G16" s="4" t="s">
        <v>30</v>
      </c>
      <c r="H16" s="3">
        <v>0.61699999999999999</v>
      </c>
      <c r="I16" s="3">
        <v>0.51436031331592691</v>
      </c>
      <c r="J16" s="3">
        <v>20</v>
      </c>
      <c r="K16" s="3">
        <v>159.013136</v>
      </c>
      <c r="L16" s="4">
        <v>1490</v>
      </c>
      <c r="M16" s="11">
        <v>0.35</v>
      </c>
      <c r="N16" s="11">
        <v>0.65</v>
      </c>
      <c r="O16" s="15">
        <v>10</v>
      </c>
      <c r="P16" s="11">
        <v>0</v>
      </c>
      <c r="Q16" s="11">
        <v>0.42999999999999994</v>
      </c>
      <c r="R16" s="18">
        <v>2.6109660574412534</v>
      </c>
      <c r="S16" s="18">
        <v>1.1227154046997387</v>
      </c>
      <c r="T16" s="17">
        <v>0.58350730688935282</v>
      </c>
      <c r="U16" s="17">
        <v>1.7778093832779249</v>
      </c>
      <c r="V16" s="17">
        <v>1.0373647653991231</v>
      </c>
      <c r="W16" s="17">
        <v>4.5292961846016194E-2</v>
      </c>
      <c r="X16" s="20">
        <v>2.2769992511881658</v>
      </c>
      <c r="Y16" s="18">
        <v>0.10313204020747303</v>
      </c>
    </row>
    <row r="17" spans="1:26">
      <c r="A17" s="3" t="s">
        <v>59</v>
      </c>
      <c r="B17" s="4" t="s">
        <v>60</v>
      </c>
      <c r="C17" s="4">
        <v>0.19700000000000001</v>
      </c>
      <c r="D17" s="4">
        <v>0.186</v>
      </c>
      <c r="E17" s="4">
        <v>0.57000000000000006</v>
      </c>
      <c r="F17" s="3">
        <v>0.42999999999999994</v>
      </c>
      <c r="G17" s="4" t="s">
        <v>35</v>
      </c>
      <c r="H17" s="3">
        <v>0.61699999999999999</v>
      </c>
      <c r="I17" s="3">
        <v>0.48563968668407309</v>
      </c>
      <c r="J17" s="3">
        <v>39.299999999999997</v>
      </c>
      <c r="K17" s="3">
        <v>159.013136</v>
      </c>
      <c r="L17" s="4">
        <v>1940</v>
      </c>
      <c r="M17" s="11">
        <v>0.35</v>
      </c>
      <c r="N17" s="11">
        <v>0.65</v>
      </c>
      <c r="O17" s="15">
        <v>10</v>
      </c>
      <c r="P17" s="11">
        <v>0</v>
      </c>
      <c r="Q17" s="11">
        <v>0.42999999999999994</v>
      </c>
      <c r="R17" s="18">
        <v>2.610966057441253</v>
      </c>
      <c r="S17" s="18">
        <v>1.1227154046997385</v>
      </c>
      <c r="T17" s="17">
        <v>0.58350730688935282</v>
      </c>
      <c r="U17" s="17">
        <v>3.4933954381411221</v>
      </c>
      <c r="V17" s="17">
        <v>2.0384217640092768</v>
      </c>
      <c r="W17" s="17">
        <v>4.5292961846016194E-2</v>
      </c>
      <c r="X17" s="20">
        <v>2.9646835887953298</v>
      </c>
      <c r="Y17" s="18">
        <v>0.13427930067281724</v>
      </c>
    </row>
    <row r="18" spans="1:26">
      <c r="A18" s="3" t="s">
        <v>63</v>
      </c>
      <c r="B18" s="4" t="s">
        <v>64</v>
      </c>
      <c r="C18" s="4">
        <v>0.24</v>
      </c>
      <c r="D18" s="4">
        <v>0.02</v>
      </c>
      <c r="E18" s="4">
        <v>0.58000000000000007</v>
      </c>
      <c r="F18" s="3">
        <v>0.41999999999999993</v>
      </c>
      <c r="G18" s="4" t="s">
        <v>30</v>
      </c>
      <c r="H18" s="3">
        <v>0.74</v>
      </c>
      <c r="I18" s="3">
        <v>0.92307692307692302</v>
      </c>
      <c r="J18" s="3">
        <v>20</v>
      </c>
      <c r="K18" s="3">
        <v>962.39273500000002</v>
      </c>
      <c r="L18" s="4">
        <v>1490</v>
      </c>
      <c r="M18" s="11">
        <v>0.42000000000000004</v>
      </c>
      <c r="N18" s="11">
        <v>0.57999999999999996</v>
      </c>
      <c r="O18" s="15">
        <v>10</v>
      </c>
      <c r="P18" s="11">
        <v>0</v>
      </c>
      <c r="Q18" s="11">
        <v>0.41999999999999993</v>
      </c>
      <c r="R18" s="18">
        <v>3.8461538461538463</v>
      </c>
      <c r="S18" s="18">
        <v>1.6153846153846152</v>
      </c>
      <c r="T18" s="17">
        <v>0.49999999999999989</v>
      </c>
      <c r="U18" s="17">
        <v>3.5803795202291449</v>
      </c>
      <c r="V18" s="17">
        <v>1.790189760114572</v>
      </c>
      <c r="W18" s="17">
        <v>7.4681564968403337E-3</v>
      </c>
      <c r="X18" s="20">
        <v>3.7588294651866803</v>
      </c>
      <c r="Y18" s="18">
        <v>2.8071526690948784E-2</v>
      </c>
    </row>
    <row r="19" spans="1:26">
      <c r="A19" s="3" t="s">
        <v>63</v>
      </c>
      <c r="B19" s="4" t="s">
        <v>64</v>
      </c>
      <c r="C19" s="4">
        <v>0.24</v>
      </c>
      <c r="D19" s="4">
        <v>0.02</v>
      </c>
      <c r="E19" s="4">
        <v>0.58000000000000007</v>
      </c>
      <c r="F19" s="3">
        <v>0.41999999999999993</v>
      </c>
      <c r="G19" s="4" t="s">
        <v>35</v>
      </c>
      <c r="H19" s="3">
        <v>0.74</v>
      </c>
      <c r="I19" s="3">
        <v>7.6923076923076927E-2</v>
      </c>
      <c r="J19" s="3">
        <v>39.299999999999997</v>
      </c>
      <c r="K19" s="3">
        <v>962.39273500000002</v>
      </c>
      <c r="L19" s="4">
        <v>1940</v>
      </c>
      <c r="M19" s="11">
        <v>0.42000000000000004</v>
      </c>
      <c r="N19" s="11">
        <v>0.57999999999999996</v>
      </c>
      <c r="O19" s="15">
        <v>10</v>
      </c>
      <c r="P19" s="11">
        <v>0</v>
      </c>
      <c r="Q19" s="11">
        <v>0.41999999999999993</v>
      </c>
      <c r="R19" s="18">
        <v>3.8461538461538463</v>
      </c>
      <c r="S19" s="18">
        <v>1.6153846153846152</v>
      </c>
      <c r="T19" s="17">
        <v>0.49999999999999989</v>
      </c>
      <c r="U19" s="17">
        <v>7.035445757250268</v>
      </c>
      <c r="V19" s="17">
        <v>3.5177228786251331</v>
      </c>
      <c r="W19" s="17">
        <v>7.4681564968403337E-3</v>
      </c>
      <c r="X19" s="20">
        <v>4.8940464177598386</v>
      </c>
      <c r="Y19" s="18">
        <v>3.6549504550631301E-2</v>
      </c>
    </row>
    <row r="20" spans="1:26">
      <c r="A20" s="3" t="s">
        <v>65</v>
      </c>
      <c r="B20" s="4" t="s">
        <v>66</v>
      </c>
      <c r="C20" s="4">
        <v>0.19</v>
      </c>
      <c r="D20" s="4">
        <v>0.08</v>
      </c>
      <c r="E20" s="4">
        <v>0.56000000000000005</v>
      </c>
      <c r="F20" s="3">
        <v>0.43999999999999995</v>
      </c>
      <c r="G20" s="4" t="s">
        <v>30</v>
      </c>
      <c r="H20" s="3">
        <v>0.73</v>
      </c>
      <c r="I20" s="3">
        <v>0.70370370370370372</v>
      </c>
      <c r="J20" s="3">
        <v>20</v>
      </c>
      <c r="K20" s="3">
        <v>269.59186899999997</v>
      </c>
      <c r="L20" s="4">
        <v>1490</v>
      </c>
      <c r="M20" s="11">
        <v>0.35</v>
      </c>
      <c r="N20" s="11">
        <v>0.65</v>
      </c>
      <c r="O20" s="15">
        <v>10</v>
      </c>
      <c r="P20" s="11">
        <v>0</v>
      </c>
      <c r="Q20" s="11">
        <v>0.43999999999999995</v>
      </c>
      <c r="R20" s="18">
        <v>3.7037037037037037</v>
      </c>
      <c r="S20" s="18">
        <v>1.6296296296296295</v>
      </c>
      <c r="T20" s="18">
        <v>0.59336099585062241</v>
      </c>
      <c r="U20" s="17">
        <v>2.8801843317972353</v>
      </c>
      <c r="V20" s="17">
        <v>1.708989043348567</v>
      </c>
      <c r="W20" s="17">
        <v>2.8319231719550905E-2</v>
      </c>
      <c r="X20" s="20">
        <v>3.3994980606890253</v>
      </c>
      <c r="Y20" s="18">
        <v>9.627117331081643E-2</v>
      </c>
      <c r="Z20" s="10"/>
    </row>
    <row r="21" spans="1:26">
      <c r="A21" s="3" t="s">
        <v>68</v>
      </c>
      <c r="B21" s="4" t="s">
        <v>66</v>
      </c>
      <c r="C21" s="4">
        <v>0.19</v>
      </c>
      <c r="D21" s="4">
        <v>0.08</v>
      </c>
      <c r="E21" s="4">
        <v>0.56000000000000005</v>
      </c>
      <c r="F21" s="3">
        <v>0.43999999999999995</v>
      </c>
      <c r="G21" s="4" t="s">
        <v>35</v>
      </c>
      <c r="H21" s="3">
        <v>0.73</v>
      </c>
      <c r="I21" s="3">
        <v>0.29629629629629628</v>
      </c>
      <c r="J21" s="3">
        <v>39.299999999999997</v>
      </c>
      <c r="K21" s="3">
        <v>269.59186899999997</v>
      </c>
      <c r="L21" s="4">
        <v>1940</v>
      </c>
      <c r="M21" s="11">
        <v>0.35</v>
      </c>
      <c r="N21" s="11">
        <v>0.65</v>
      </c>
      <c r="O21" s="15">
        <v>10</v>
      </c>
      <c r="P21" s="11">
        <v>0</v>
      </c>
      <c r="Q21" s="11">
        <v>0.43999999999999995</v>
      </c>
      <c r="R21" s="18">
        <v>3.7037037037037033</v>
      </c>
      <c r="S21" s="18">
        <v>1.6296296296296293</v>
      </c>
      <c r="T21" s="17">
        <v>0.59336099585062241</v>
      </c>
      <c r="U21" s="17">
        <v>5.6595622119815667</v>
      </c>
      <c r="V21" s="17">
        <v>3.3581634701799339</v>
      </c>
      <c r="W21" s="17">
        <v>2.8319231719550905E-2</v>
      </c>
      <c r="X21" s="20">
        <v>4.4261921058635636</v>
      </c>
      <c r="Y21" s="18">
        <v>0.12534635988119724</v>
      </c>
    </row>
    <row r="22" spans="1:26">
      <c r="A22" s="3" t="s">
        <v>69</v>
      </c>
      <c r="B22" s="4" t="s">
        <v>70</v>
      </c>
      <c r="C22" s="4">
        <v>0.24</v>
      </c>
      <c r="D22" s="4">
        <v>0.13</v>
      </c>
      <c r="E22" s="4">
        <v>0.61</v>
      </c>
      <c r="F22" s="3">
        <v>0.39</v>
      </c>
      <c r="G22" s="4" t="s">
        <v>30</v>
      </c>
      <c r="H22" s="3">
        <v>0.63</v>
      </c>
      <c r="I22" s="3">
        <v>0.64864864864864868</v>
      </c>
      <c r="J22" s="3">
        <v>19.100000000000001</v>
      </c>
      <c r="K22" s="3">
        <v>267.015558</v>
      </c>
      <c r="L22" s="4">
        <v>1490</v>
      </c>
      <c r="M22" s="11">
        <v>0.35</v>
      </c>
      <c r="N22" s="11">
        <v>0.65</v>
      </c>
      <c r="O22" s="15">
        <v>10</v>
      </c>
      <c r="P22" s="11">
        <v>0</v>
      </c>
      <c r="Q22" s="11">
        <v>0.39</v>
      </c>
      <c r="R22" s="17">
        <v>2.7027027027027031</v>
      </c>
      <c r="S22" s="18">
        <v>1.0540540540540542</v>
      </c>
      <c r="T22" s="18">
        <v>0.54282655246252676</v>
      </c>
      <c r="U22" s="17">
        <v>1.970494171051274</v>
      </c>
      <c r="V22" s="17">
        <v>1.0696365575192675</v>
      </c>
      <c r="W22" s="17">
        <v>2.3384170266463913E-2</v>
      </c>
      <c r="X22" s="19">
        <v>2.4434240734667108</v>
      </c>
      <c r="Y22" s="18">
        <v>5.7137444567122393E-2</v>
      </c>
      <c r="Z22" s="10"/>
    </row>
    <row r="23" spans="1:26">
      <c r="A23" s="3" t="s">
        <v>72</v>
      </c>
      <c r="B23" s="4" t="s">
        <v>70</v>
      </c>
      <c r="C23" s="4">
        <v>0.24</v>
      </c>
      <c r="D23" s="4">
        <v>0.13</v>
      </c>
      <c r="E23" s="4">
        <v>0.61</v>
      </c>
      <c r="F23" s="3">
        <v>0.39</v>
      </c>
      <c r="G23" s="4" t="s">
        <v>35</v>
      </c>
      <c r="H23" s="3">
        <v>0.63</v>
      </c>
      <c r="I23" s="3">
        <v>0.35135135135135137</v>
      </c>
      <c r="J23" s="3">
        <v>39.299999999999997</v>
      </c>
      <c r="K23" s="3">
        <v>267.015558</v>
      </c>
      <c r="L23" s="4">
        <v>1940</v>
      </c>
      <c r="M23" s="11">
        <v>0.35</v>
      </c>
      <c r="N23" s="11">
        <v>0.65</v>
      </c>
      <c r="O23" s="15">
        <v>10</v>
      </c>
      <c r="P23" s="11">
        <v>0</v>
      </c>
      <c r="Q23" s="11">
        <v>0.39</v>
      </c>
      <c r="R23" s="17">
        <v>2.7027027027027026</v>
      </c>
      <c r="S23" s="18">
        <v>1.0540540540540542</v>
      </c>
      <c r="T23" s="17">
        <v>0.54282655246252676</v>
      </c>
      <c r="U23" s="17">
        <v>4.0544722995976468</v>
      </c>
      <c r="V23" s="17">
        <v>2.2008752204454036</v>
      </c>
      <c r="W23" s="17">
        <v>2.3384170266463913E-2</v>
      </c>
      <c r="X23" s="19">
        <v>3.1813709412922275</v>
      </c>
      <c r="Y23" s="18">
        <v>7.4393719771958022E-2</v>
      </c>
    </row>
    <row r="24" spans="1:26">
      <c r="A24" s="3" t="s">
        <v>73</v>
      </c>
      <c r="B24" s="4" t="s">
        <v>74</v>
      </c>
      <c r="C24" s="4">
        <v>0.23</v>
      </c>
      <c r="D24" s="4">
        <v>0.05</v>
      </c>
      <c r="E24" s="4">
        <v>0.62</v>
      </c>
      <c r="F24" s="3">
        <v>0.38</v>
      </c>
      <c r="G24" s="4" t="s">
        <v>30</v>
      </c>
      <c r="H24" s="3">
        <v>0.72</v>
      </c>
      <c r="I24" s="3">
        <v>0.8214285714285714</v>
      </c>
      <c r="J24" s="3">
        <v>18.399999999999999</v>
      </c>
      <c r="K24" s="3">
        <v>197.28630000000001</v>
      </c>
      <c r="L24" s="4">
        <v>1490</v>
      </c>
      <c r="M24" s="11">
        <v>0.35</v>
      </c>
      <c r="N24" s="11">
        <v>0.65</v>
      </c>
      <c r="O24" s="15">
        <v>10</v>
      </c>
      <c r="P24" s="11">
        <v>0</v>
      </c>
      <c r="Q24" s="11">
        <v>0.38</v>
      </c>
      <c r="R24" s="18">
        <v>3.5714285714285712</v>
      </c>
      <c r="S24" s="18">
        <v>1.357142857142857</v>
      </c>
      <c r="T24" s="17">
        <v>0.53232758620689657</v>
      </c>
      <c r="U24" s="17">
        <v>2.9691786348233014</v>
      </c>
      <c r="V24" s="17">
        <v>1.5805756956925765</v>
      </c>
      <c r="W24" s="17">
        <v>3.0130630715136403E-2</v>
      </c>
      <c r="X24" s="20">
        <v>3.3886740959745278</v>
      </c>
      <c r="Y24" s="18">
        <v>0.10210288779975719</v>
      </c>
    </row>
    <row r="25" spans="1:26">
      <c r="A25" s="3" t="s">
        <v>73</v>
      </c>
      <c r="B25" s="4" t="s">
        <v>74</v>
      </c>
      <c r="C25" s="4">
        <v>0.23</v>
      </c>
      <c r="D25" s="4">
        <v>0.05</v>
      </c>
      <c r="E25" s="4">
        <v>0.62</v>
      </c>
      <c r="F25" s="3">
        <v>0.38</v>
      </c>
      <c r="G25" s="4" t="s">
        <v>35</v>
      </c>
      <c r="H25" s="3">
        <v>0.72</v>
      </c>
      <c r="I25" s="3">
        <v>0.17857142857142858</v>
      </c>
      <c r="J25" s="3">
        <v>39.299999999999997</v>
      </c>
      <c r="K25" s="3">
        <v>197.28630000000001</v>
      </c>
      <c r="L25" s="4">
        <v>1940</v>
      </c>
      <c r="M25" s="11">
        <v>0.35</v>
      </c>
      <c r="N25" s="11">
        <v>0.65</v>
      </c>
      <c r="O25" s="15">
        <v>10</v>
      </c>
      <c r="P25" s="11">
        <v>0</v>
      </c>
      <c r="Q25" s="11">
        <v>0.38</v>
      </c>
      <c r="R25" s="18">
        <v>3.5714285714285712</v>
      </c>
      <c r="S25" s="18">
        <v>1.357142857142857</v>
      </c>
      <c r="T25" s="17">
        <v>0.53232758620689657</v>
      </c>
      <c r="U25" s="17">
        <v>6.3417782798128117</v>
      </c>
      <c r="V25" s="17">
        <v>3.3759035239520787</v>
      </c>
      <c r="W25" s="17">
        <v>3.0130630715136403E-2</v>
      </c>
      <c r="X25" s="20">
        <v>4.4120991585171705</v>
      </c>
      <c r="Y25" s="18">
        <v>0.13293933042384493</v>
      </c>
    </row>
    <row r="26" spans="1:26">
      <c r="A26" s="3" t="s">
        <v>78</v>
      </c>
      <c r="B26" s="4" t="s">
        <v>79</v>
      </c>
      <c r="C26" s="4">
        <v>0.23</v>
      </c>
      <c r="D26" s="4">
        <v>0.05</v>
      </c>
      <c r="E26" s="4">
        <v>0.62</v>
      </c>
      <c r="F26" s="3">
        <v>0.38</v>
      </c>
      <c r="G26" s="4" t="s">
        <v>30</v>
      </c>
      <c r="H26" s="3">
        <v>0.72</v>
      </c>
      <c r="I26" s="3">
        <v>0.8214285714285714</v>
      </c>
      <c r="J26" s="3">
        <v>18.399999999999999</v>
      </c>
      <c r="K26" s="3">
        <v>199.85730000000001</v>
      </c>
      <c r="L26" s="4">
        <v>1490</v>
      </c>
      <c r="M26" s="11">
        <v>0.35</v>
      </c>
      <c r="N26" s="11">
        <v>0.65</v>
      </c>
      <c r="O26" s="15">
        <v>10</v>
      </c>
      <c r="P26" s="11">
        <v>0</v>
      </c>
      <c r="Q26" s="11">
        <v>0.38</v>
      </c>
      <c r="R26" s="18">
        <v>3.5714285714285712</v>
      </c>
      <c r="S26" s="18">
        <v>1.357142857142857</v>
      </c>
      <c r="T26" s="18">
        <v>0.53232758620689657</v>
      </c>
      <c r="U26" s="17">
        <v>2.9691786348233014</v>
      </c>
      <c r="V26" s="17">
        <v>1.5805756956925765</v>
      </c>
      <c r="W26" s="17">
        <v>2.9754557940212849E-2</v>
      </c>
      <c r="X26" s="20">
        <v>3.3886740959745278</v>
      </c>
      <c r="Y26" s="18">
        <v>0.10082849972917249</v>
      </c>
      <c r="Z26" s="10"/>
    </row>
    <row r="27" spans="1:26">
      <c r="A27" s="3" t="s">
        <v>78</v>
      </c>
      <c r="B27" s="4" t="s">
        <v>79</v>
      </c>
      <c r="C27" s="4">
        <v>0.23</v>
      </c>
      <c r="D27" s="4">
        <v>0.05</v>
      </c>
      <c r="E27" s="4">
        <v>0.62</v>
      </c>
      <c r="F27" s="3">
        <v>0.38</v>
      </c>
      <c r="G27" s="4" t="s">
        <v>35</v>
      </c>
      <c r="H27" s="3">
        <v>0.72</v>
      </c>
      <c r="I27" s="3">
        <v>0.17857142857142858</v>
      </c>
      <c r="J27" s="3">
        <v>39.299999999999997</v>
      </c>
      <c r="K27" s="3">
        <v>199.85730000000001</v>
      </c>
      <c r="L27" s="4">
        <v>1940</v>
      </c>
      <c r="M27" s="11">
        <v>0.35</v>
      </c>
      <c r="N27" s="11">
        <v>0.65</v>
      </c>
      <c r="O27" s="15">
        <v>10</v>
      </c>
      <c r="P27" s="11">
        <v>0</v>
      </c>
      <c r="Q27" s="11">
        <v>0.38</v>
      </c>
      <c r="R27" s="18">
        <v>3.5714285714285712</v>
      </c>
      <c r="S27" s="18">
        <v>1.357142857142857</v>
      </c>
      <c r="T27" s="18">
        <v>0.53232758620689657</v>
      </c>
      <c r="U27" s="17">
        <v>6.3417782798128117</v>
      </c>
      <c r="V27" s="17">
        <v>3.3759035239520787</v>
      </c>
      <c r="W27" s="17">
        <v>2.9754557940212849E-2</v>
      </c>
      <c r="X27" s="20">
        <v>4.4120991585171705</v>
      </c>
      <c r="Y27" s="18">
        <v>0.13128006005006351</v>
      </c>
      <c r="Z27" s="10"/>
    </row>
    <row r="28" spans="1:26">
      <c r="A28" s="3" t="s">
        <v>80</v>
      </c>
      <c r="B28" s="4" t="s">
        <v>81</v>
      </c>
      <c r="C28" s="4">
        <v>0.17</v>
      </c>
      <c r="D28" s="4">
        <v>1.7000000000000001E-2</v>
      </c>
      <c r="E28" s="4">
        <v>0.41</v>
      </c>
      <c r="F28" s="3">
        <v>0.59000000000000008</v>
      </c>
      <c r="G28" s="4" t="s">
        <v>30</v>
      </c>
      <c r="H28" s="3">
        <v>0.81299999999999994</v>
      </c>
      <c r="I28" s="3">
        <v>0.90909090909090884</v>
      </c>
      <c r="J28" s="3">
        <v>18.399999999999999</v>
      </c>
      <c r="K28" s="3">
        <v>89.5642</v>
      </c>
      <c r="L28" s="4">
        <v>1490</v>
      </c>
      <c r="M28" s="11">
        <v>0.42000000000000004</v>
      </c>
      <c r="N28" s="11">
        <v>0.57999999999999996</v>
      </c>
      <c r="O28" s="15">
        <v>10</v>
      </c>
      <c r="P28" s="11">
        <v>0</v>
      </c>
      <c r="Q28" s="11">
        <v>0.59000000000000008</v>
      </c>
      <c r="R28" s="18">
        <v>5.3475935828877006</v>
      </c>
      <c r="S28" s="18">
        <v>3.1550802139037439</v>
      </c>
      <c r="T28" s="18">
        <v>0.6652410575427683</v>
      </c>
      <c r="U28" s="17">
        <v>4.8470798977898371</v>
      </c>
      <c r="V28" s="17">
        <v>3.2244765572000045</v>
      </c>
      <c r="W28" s="17">
        <v>0.13842836690987673</v>
      </c>
      <c r="X28" s="20">
        <v>5.2046947044851191</v>
      </c>
      <c r="Y28" s="18">
        <v>0.72047738820635854</v>
      </c>
      <c r="Z28" s="10"/>
    </row>
    <row r="29" spans="1:26">
      <c r="A29" s="3" t="s">
        <v>80</v>
      </c>
      <c r="B29" s="4" t="s">
        <v>81</v>
      </c>
      <c r="C29" s="4">
        <v>0.17</v>
      </c>
      <c r="D29" s="4">
        <v>1.7000000000000001E-2</v>
      </c>
      <c r="E29" s="4">
        <v>0.41</v>
      </c>
      <c r="F29" s="3">
        <v>0.59000000000000008</v>
      </c>
      <c r="G29" s="4" t="s">
        <v>35</v>
      </c>
      <c r="H29" s="3">
        <v>0.81299999999999994</v>
      </c>
      <c r="I29" s="3">
        <v>9.0909090909090884E-2</v>
      </c>
      <c r="J29" s="3">
        <v>39.299999999999997</v>
      </c>
      <c r="K29" s="3">
        <v>89.5642</v>
      </c>
      <c r="L29" s="4">
        <v>1940</v>
      </c>
      <c r="M29" s="11">
        <v>0.42000000000000004</v>
      </c>
      <c r="N29" s="11">
        <v>0.57999999999999996</v>
      </c>
      <c r="O29" s="15">
        <v>10</v>
      </c>
      <c r="P29" s="11">
        <v>0</v>
      </c>
      <c r="Q29" s="11">
        <v>0.59000000000000008</v>
      </c>
      <c r="R29" s="18">
        <v>5.3475935828877006</v>
      </c>
      <c r="S29" s="18">
        <v>3.1550802139037439</v>
      </c>
      <c r="T29" s="18">
        <v>0.6652410575427683</v>
      </c>
      <c r="U29" s="17">
        <v>10.352730433866336</v>
      </c>
      <c r="V29" s="17">
        <v>6.8870613422804441</v>
      </c>
      <c r="W29" s="17">
        <v>0.13842836690987673</v>
      </c>
      <c r="X29" s="20">
        <v>6.7765823669135106</v>
      </c>
      <c r="Y29" s="18">
        <v>0.93807123028210426</v>
      </c>
      <c r="Z29" s="10"/>
    </row>
    <row r="30" spans="1:26">
      <c r="A30" s="3" t="s">
        <v>85</v>
      </c>
      <c r="B30" s="4" t="s">
        <v>86</v>
      </c>
      <c r="C30" s="4">
        <v>0.17</v>
      </c>
      <c r="D30" s="4">
        <v>1.7000000000000001E-2</v>
      </c>
      <c r="E30" s="4">
        <v>0.47</v>
      </c>
      <c r="F30" s="3">
        <v>0.53</v>
      </c>
      <c r="G30" s="4" t="s">
        <v>30</v>
      </c>
      <c r="H30" s="3">
        <v>0.81299999999999994</v>
      </c>
      <c r="I30" s="3">
        <v>0.90909090909090884</v>
      </c>
      <c r="J30" s="3">
        <v>18.399999999999999</v>
      </c>
      <c r="K30" s="3">
        <v>243.3389</v>
      </c>
      <c r="L30" s="4">
        <v>1490</v>
      </c>
      <c r="M30" s="11">
        <v>0.42000000000000004</v>
      </c>
      <c r="N30" s="11">
        <v>0.57999999999999996</v>
      </c>
      <c r="O30" s="15">
        <v>10</v>
      </c>
      <c r="P30" s="11">
        <v>0</v>
      </c>
      <c r="Q30" s="11">
        <v>0.53</v>
      </c>
      <c r="R30" s="18">
        <v>5.3475935828877006</v>
      </c>
      <c r="S30" s="18">
        <v>2.8342245989304815</v>
      </c>
      <c r="T30" s="18">
        <v>0.60895404120443741</v>
      </c>
      <c r="U30" s="17">
        <v>4.8470798977898371</v>
      </c>
      <c r="V30" s="17">
        <v>2.9516488917999126</v>
      </c>
      <c r="W30" s="17">
        <v>4.4288725286337691E-2</v>
      </c>
      <c r="X30" s="20">
        <v>5.2046947044851191</v>
      </c>
      <c r="Y30" s="18">
        <v>0.23050929396619796</v>
      </c>
      <c r="Z30" s="10"/>
    </row>
    <row r="31" spans="1:26">
      <c r="A31" s="3" t="s">
        <v>85</v>
      </c>
      <c r="B31" s="4" t="s">
        <v>86</v>
      </c>
      <c r="C31" s="4">
        <v>0.17</v>
      </c>
      <c r="D31" s="4">
        <v>1.7000000000000001E-2</v>
      </c>
      <c r="E31" s="4">
        <v>0.47</v>
      </c>
      <c r="F31" s="3">
        <v>0.53</v>
      </c>
      <c r="G31" s="4" t="s">
        <v>35</v>
      </c>
      <c r="H31" s="3">
        <v>0.81299999999999994</v>
      </c>
      <c r="I31" s="3">
        <v>9.0909090909090884E-2</v>
      </c>
      <c r="J31" s="3">
        <v>39.299999999999997</v>
      </c>
      <c r="K31" s="3">
        <v>243.3389</v>
      </c>
      <c r="L31" s="4">
        <v>1940</v>
      </c>
      <c r="M31" s="11">
        <v>0.42000000000000004</v>
      </c>
      <c r="N31" s="11">
        <v>0.57999999999999996</v>
      </c>
      <c r="O31" s="15">
        <v>10</v>
      </c>
      <c r="P31" s="11">
        <v>0</v>
      </c>
      <c r="Q31" s="11">
        <v>0.53</v>
      </c>
      <c r="R31" s="18">
        <v>5.3475935828877006</v>
      </c>
      <c r="S31" s="18">
        <v>2.8342245989304815</v>
      </c>
      <c r="T31" s="18">
        <v>0.60895404120443741</v>
      </c>
      <c r="U31" s="17">
        <v>10.352730433866336</v>
      </c>
      <c r="V31" s="17">
        <v>6.3043370352030736</v>
      </c>
      <c r="W31" s="17">
        <v>4.4288725286337691E-2</v>
      </c>
      <c r="X31" s="20">
        <v>6.7765823669135106</v>
      </c>
      <c r="Y31" s="18">
        <v>0.30012619482847253</v>
      </c>
      <c r="Z31" s="10"/>
    </row>
    <row r="32" spans="1:26">
      <c r="R32" s="17"/>
      <c r="S32" s="17"/>
      <c r="T32" s="17"/>
      <c r="U32" s="17"/>
      <c r="V32" s="17"/>
      <c r="W32" s="17"/>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64726C69A66EA4099E389C94D12C179" ma:contentTypeVersion="5" ma:contentTypeDescription="Create a new document." ma:contentTypeScope="" ma:versionID="834a38daea209eaabe24a85a87033b17">
  <xsd:schema xmlns:xsd="http://www.w3.org/2001/XMLSchema" xmlns:xs="http://www.w3.org/2001/XMLSchema" xmlns:p="http://schemas.microsoft.com/office/2006/metadata/properties" xmlns:ns2="dae89b64-c529-494f-868e-ad5d2094d0fa" xmlns:ns3="ed16b9de-937e-42cc-89df-e5a7efc4dd3c" targetNamespace="http://schemas.microsoft.com/office/2006/metadata/properties" ma:root="true" ma:fieldsID="f5e5c650b0d1b5eeeda759ea907723fd" ns2:_="" ns3:_="">
    <xsd:import namespace="dae89b64-c529-494f-868e-ad5d2094d0fa"/>
    <xsd:import namespace="ed16b9de-937e-42cc-89df-e5a7efc4dd3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e89b64-c529-494f-868e-ad5d2094d0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16b9de-937e-42cc-89df-e5a7efc4dd3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E39843-E64D-4761-BBA9-775D6DD6F0B3}"/>
</file>

<file path=customXml/itemProps2.xml><?xml version="1.0" encoding="utf-8"?>
<ds:datastoreItem xmlns:ds="http://schemas.openxmlformats.org/officeDocument/2006/customXml" ds:itemID="{86FB822F-2D8A-4A45-84CD-A4A13F01D4BE}"/>
</file>

<file path=customXml/itemProps3.xml><?xml version="1.0" encoding="utf-8"?>
<ds:datastoreItem xmlns:ds="http://schemas.openxmlformats.org/officeDocument/2006/customXml" ds:itemID="{7BD6B0DE-2AB4-462A-9D5F-314B7CF973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2023-05-16T05:25:46Z</dcterms:created>
  <dcterms:modified xsi:type="dcterms:W3CDTF">2023-08-30T18:36:35Z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0x010100D64726C69A66EA4099E389C94D12C179</vt:lpwstr>
  </property>
</Properties>
</file>