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usni\Desktop\"/>
    </mc:Choice>
  </mc:AlternateContent>
  <xr:revisionPtr revIDLastSave="0" documentId="13_ncr:1_{E42FB54A-D675-40C5-9A82-A7A8C638C7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er Page" sheetId="1" r:id="rId1"/>
    <sheet name="Income Statement" sheetId="2" r:id="rId2"/>
    <sheet name="Balance Sheet" sheetId="5" r:id="rId3"/>
    <sheet name="Statement of Cashflows" sheetId="3" r:id="rId4"/>
    <sheet name="Fixed Asse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2" l="1"/>
  <c r="G26" i="5"/>
  <c r="G27" i="5" s="1"/>
  <c r="G33" i="5"/>
  <c r="F33" i="5"/>
  <c r="E33" i="5"/>
  <c r="D33" i="5"/>
  <c r="C33" i="5"/>
  <c r="D13" i="3"/>
  <c r="E13" i="3"/>
  <c r="F13" i="3"/>
  <c r="G13" i="3"/>
  <c r="C13" i="3"/>
  <c r="C14" i="3"/>
  <c r="D14" i="3"/>
  <c r="E14" i="3"/>
  <c r="F14" i="3"/>
  <c r="C18" i="3"/>
  <c r="D18" i="3"/>
  <c r="E18" i="3"/>
  <c r="F18" i="3"/>
  <c r="C17" i="3"/>
  <c r="D17" i="3"/>
  <c r="E17" i="3"/>
  <c r="F17" i="3"/>
  <c r="D5" i="3"/>
  <c r="E5" i="3"/>
  <c r="F5" i="3"/>
  <c r="G18" i="3"/>
  <c r="G17" i="3"/>
  <c r="C16" i="3"/>
  <c r="D16" i="3"/>
  <c r="E16" i="3"/>
  <c r="F16" i="3"/>
  <c r="G16" i="3"/>
  <c r="G14" i="3"/>
  <c r="G11" i="3"/>
  <c r="C7" i="3"/>
  <c r="D7" i="3"/>
  <c r="E7" i="3"/>
  <c r="F7" i="3"/>
  <c r="G7" i="3"/>
  <c r="D24" i="2"/>
  <c r="E24" i="2"/>
  <c r="F24" i="2"/>
  <c r="C24" i="2"/>
  <c r="D44" i="5"/>
  <c r="E44" i="5"/>
  <c r="F44" i="5"/>
  <c r="G44" i="5"/>
  <c r="G24" i="2" s="1"/>
  <c r="C44" i="5"/>
  <c r="C21" i="5"/>
  <c r="C22" i="5" s="1"/>
  <c r="D21" i="5"/>
  <c r="D22" i="5" s="1"/>
  <c r="E21" i="5"/>
  <c r="F21" i="5"/>
  <c r="G21" i="5"/>
  <c r="D11" i="5"/>
  <c r="E11" i="5"/>
  <c r="F11" i="5"/>
  <c r="G11" i="5"/>
  <c r="C11" i="5"/>
  <c r="C10" i="5"/>
  <c r="D10" i="5"/>
  <c r="D12" i="5" s="1"/>
  <c r="D13" i="5" s="1"/>
  <c r="E10" i="5"/>
  <c r="F10" i="5"/>
  <c r="F12" i="5" s="1"/>
  <c r="F13" i="5" s="1"/>
  <c r="G10" i="5"/>
  <c r="D17" i="5"/>
  <c r="E12" i="5"/>
  <c r="E13" i="5" s="1"/>
  <c r="G7" i="5"/>
  <c r="D7" i="5"/>
  <c r="E22" i="5"/>
  <c r="F22" i="5"/>
  <c r="G22" i="5"/>
  <c r="D35" i="5"/>
  <c r="E35" i="5"/>
  <c r="E17" i="5" s="1"/>
  <c r="F35" i="5"/>
  <c r="F17" i="5" s="1"/>
  <c r="G35" i="5"/>
  <c r="G17" i="5" s="1"/>
  <c r="C35" i="5"/>
  <c r="C17" i="5" s="1"/>
  <c r="C9" i="3" s="1"/>
  <c r="E34" i="5"/>
  <c r="E18" i="5" s="1"/>
  <c r="F34" i="5"/>
  <c r="F7" i="5" s="1"/>
  <c r="G34" i="5"/>
  <c r="G18" i="5" s="1"/>
  <c r="D34" i="5"/>
  <c r="D18" i="5" s="1"/>
  <c r="C34" i="5"/>
  <c r="C7" i="5" s="1"/>
  <c r="F22" i="2"/>
  <c r="E22" i="2"/>
  <c r="D22" i="2"/>
  <c r="C22" i="2"/>
  <c r="H17" i="4"/>
  <c r="G17" i="4"/>
  <c r="F17" i="4"/>
  <c r="E17" i="4"/>
  <c r="D17" i="4"/>
  <c r="H16" i="4"/>
  <c r="G16" i="4"/>
  <c r="F16" i="4"/>
  <c r="E16" i="4"/>
  <c r="H15" i="4"/>
  <c r="G15" i="4"/>
  <c r="F15" i="4"/>
  <c r="E15" i="4"/>
  <c r="H14" i="4"/>
  <c r="G14" i="4"/>
  <c r="F14" i="4"/>
  <c r="E14" i="4"/>
  <c r="H13" i="4"/>
  <c r="G13" i="4"/>
  <c r="F13" i="4"/>
  <c r="E13" i="4"/>
  <c r="D16" i="4"/>
  <c r="D15" i="4"/>
  <c r="D14" i="4"/>
  <c r="D13" i="4"/>
  <c r="H10" i="4"/>
  <c r="G12" i="5" s="1"/>
  <c r="G13" i="5" s="1"/>
  <c r="G10" i="4"/>
  <c r="F10" i="4"/>
  <c r="E10" i="4"/>
  <c r="D10" i="4"/>
  <c r="B15" i="4"/>
  <c r="B16" i="4"/>
  <c r="B14" i="4"/>
  <c r="B13" i="4"/>
  <c r="G19" i="2"/>
  <c r="F19" i="2"/>
  <c r="E19" i="2"/>
  <c r="D19" i="2"/>
  <c r="G17" i="2"/>
  <c r="F17" i="2"/>
  <c r="F20" i="2" s="1"/>
  <c r="G12" i="2"/>
  <c r="F12" i="2"/>
  <c r="G7" i="2"/>
  <c r="F7" i="2"/>
  <c r="G6" i="2"/>
  <c r="G18" i="2" s="1"/>
  <c r="F6" i="2"/>
  <c r="F18" i="2" s="1"/>
  <c r="E6" i="2"/>
  <c r="E18" i="2" s="1"/>
  <c r="D6" i="2"/>
  <c r="D18" i="2" s="1"/>
  <c r="C18" i="2"/>
  <c r="C19" i="2"/>
  <c r="C17" i="2"/>
  <c r="C6" i="2"/>
  <c r="C12" i="2" s="1"/>
  <c r="C32" i="2"/>
  <c r="D32" i="2"/>
  <c r="E32" i="2"/>
  <c r="F32" i="2"/>
  <c r="G32" i="2"/>
  <c r="D10" i="3" l="1"/>
  <c r="F18" i="5"/>
  <c r="E10" i="3" s="1"/>
  <c r="C18" i="5"/>
  <c r="C19" i="5" s="1"/>
  <c r="C23" i="5" s="1"/>
  <c r="E7" i="5"/>
  <c r="F26" i="5"/>
  <c r="C8" i="3"/>
  <c r="D8" i="3"/>
  <c r="E8" i="3"/>
  <c r="F8" i="3"/>
  <c r="D9" i="3"/>
  <c r="D11" i="3" s="1"/>
  <c r="D19" i="3" s="1"/>
  <c r="F9" i="3"/>
  <c r="E9" i="3"/>
  <c r="E11" i="3" s="1"/>
  <c r="E19" i="3" s="1"/>
  <c r="E19" i="5"/>
  <c r="E23" i="5" s="1"/>
  <c r="C12" i="5"/>
  <c r="C13" i="5" s="1"/>
  <c r="G22" i="2"/>
  <c r="G19" i="5"/>
  <c r="G23" i="5" s="1"/>
  <c r="G28" i="5" s="1"/>
  <c r="D19" i="5"/>
  <c r="D23" i="5" s="1"/>
  <c r="C20" i="2"/>
  <c r="G20" i="2"/>
  <c r="D11" i="2"/>
  <c r="E11" i="2"/>
  <c r="E14" i="2" s="1"/>
  <c r="F11" i="2"/>
  <c r="F14" i="2" s="1"/>
  <c r="G11" i="2"/>
  <c r="G14" i="2" s="1"/>
  <c r="D7" i="2"/>
  <c r="D9" i="2" s="1"/>
  <c r="D12" i="2"/>
  <c r="D17" i="2"/>
  <c r="D20" i="2" s="1"/>
  <c r="E7" i="2"/>
  <c r="E12" i="2"/>
  <c r="E17" i="2"/>
  <c r="E20" i="2" s="1"/>
  <c r="D8" i="2"/>
  <c r="D13" i="2"/>
  <c r="E8" i="2"/>
  <c r="E13" i="2"/>
  <c r="F8" i="2"/>
  <c r="F9" i="2" s="1"/>
  <c r="F13" i="2"/>
  <c r="G8" i="2"/>
  <c r="G9" i="2" s="1"/>
  <c r="G13" i="2"/>
  <c r="C13" i="2"/>
  <c r="C11" i="2"/>
  <c r="C14" i="2" s="1"/>
  <c r="C7" i="2"/>
  <c r="C8" i="2"/>
  <c r="C11" i="3" l="1"/>
  <c r="F27" i="5"/>
  <c r="E26" i="5"/>
  <c r="C10" i="3"/>
  <c r="F19" i="5"/>
  <c r="F23" i="5" s="1"/>
  <c r="F10" i="3"/>
  <c r="F11" i="3" s="1"/>
  <c r="F19" i="3" s="1"/>
  <c r="G15" i="2"/>
  <c r="G21" i="2" s="1"/>
  <c r="G23" i="2" s="1"/>
  <c r="G25" i="2" s="1"/>
  <c r="D14" i="2"/>
  <c r="D15" i="2" s="1"/>
  <c r="D21" i="2" s="1"/>
  <c r="D23" i="2" s="1"/>
  <c r="D25" i="2" s="1"/>
  <c r="F15" i="2"/>
  <c r="F21" i="2" s="1"/>
  <c r="F23" i="2" s="1"/>
  <c r="F25" i="2" s="1"/>
  <c r="E9" i="2"/>
  <c r="E15" i="2" s="1"/>
  <c r="E21" i="2" s="1"/>
  <c r="E23" i="2" s="1"/>
  <c r="E25" i="2" s="1"/>
  <c r="C9" i="2"/>
  <c r="C15" i="2" s="1"/>
  <c r="C21" i="2" s="1"/>
  <c r="C23" i="2" s="1"/>
  <c r="C25" i="2" s="1"/>
  <c r="D26" i="5" l="1"/>
  <c r="D27" i="5" s="1"/>
  <c r="D28" i="5" s="1"/>
  <c r="E27" i="5"/>
  <c r="E28" i="5" s="1"/>
  <c r="F28" i="5"/>
  <c r="D26" i="2"/>
  <c r="D27" i="2" s="1"/>
  <c r="D29" i="2" s="1"/>
  <c r="C27" i="2"/>
  <c r="E26" i="2"/>
  <c r="E27" i="2" s="1"/>
  <c r="E29" i="2" s="1"/>
  <c r="F26" i="2"/>
  <c r="F27" i="2" s="1"/>
  <c r="F29" i="2" s="1"/>
  <c r="G26" i="2"/>
  <c r="G27" i="2" s="1"/>
  <c r="C29" i="2" l="1"/>
  <c r="C5" i="3"/>
  <c r="C19" i="3" s="1"/>
  <c r="C26" i="5"/>
  <c r="C27" i="5" s="1"/>
  <c r="C28" i="5" s="1"/>
  <c r="G29" i="2"/>
  <c r="G5" i="3"/>
  <c r="G6" i="5" l="1"/>
  <c r="G8" i="5" s="1"/>
  <c r="G14" i="5" s="1"/>
  <c r="G19" i="3"/>
  <c r="F6" i="5" l="1"/>
  <c r="E6" i="5" s="1"/>
  <c r="G30" i="5"/>
  <c r="F8" i="5" l="1"/>
  <c r="F14" i="5" s="1"/>
  <c r="F30" i="5" s="1"/>
  <c r="D6" i="5"/>
  <c r="E8" i="5"/>
  <c r="E14" i="5" s="1"/>
  <c r="E30" i="5" s="1"/>
  <c r="D8" i="5" l="1"/>
  <c r="D14" i="5" s="1"/>
  <c r="D30" i="5" s="1"/>
  <c r="C6" i="5"/>
  <c r="C8" i="5" s="1"/>
  <c r="C14" i="5" s="1"/>
  <c r="C30" i="5" s="1"/>
</calcChain>
</file>

<file path=xl/sharedStrings.xml><?xml version="1.0" encoding="utf-8"?>
<sst xmlns="http://schemas.openxmlformats.org/spreadsheetml/2006/main" count="124" uniqueCount="98">
  <si>
    <t>by Khusniyor Suvanov</t>
  </si>
  <si>
    <t>Income Statement</t>
  </si>
  <si>
    <t>Balance Sheet</t>
  </si>
  <si>
    <t>Cash Flow</t>
  </si>
  <si>
    <t>Kraken, Inc.</t>
  </si>
  <si>
    <t>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</si>
  <si>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</si>
  <si>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</si>
  <si>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</si>
  <si>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</si>
  <si>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</si>
  <si>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</si>
  <si>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</si>
  <si>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</si>
  <si>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Operating Expenses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</si>
  <si>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</si>
  <si>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</si>
  <si>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</si>
  <si>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</si>
  <si>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</si>
  <si>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</si>
  <si>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</si>
  <si>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</si>
  <si>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</si>
  <si>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 xml:space="preserve"> </t>
  </si>
  <si>
    <t>Assumptions:</t>
  </si>
  <si>
    <t>Corporate Tax Rate</t>
  </si>
  <si>
    <t>Operating Revenue</t>
  </si>
  <si>
    <t>Titles Sold</t>
  </si>
  <si>
    <t>Average Price per Title</t>
  </si>
  <si>
    <t>Average Price per Subscription</t>
  </si>
  <si>
    <t>Subscriptions</t>
  </si>
  <si>
    <t>Selling and Marketing Expense</t>
  </si>
  <si>
    <t>General and Adminstrative expense</t>
  </si>
  <si>
    <t>Reseach and Development</t>
  </si>
  <si>
    <t>Refunds</t>
  </si>
  <si>
    <t>Refunds (as % of rev)</t>
  </si>
  <si>
    <t>Average Discounts offered (as % of rev)</t>
  </si>
  <si>
    <t>All values are in $ actual figures</t>
  </si>
  <si>
    <t>Fullfilment</t>
  </si>
  <si>
    <t>Transaction fees</t>
  </si>
  <si>
    <t>Fixed Asstets</t>
  </si>
  <si>
    <t>Asset Life (years)</t>
  </si>
  <si>
    <t>CapEx</t>
  </si>
  <si>
    <t>Total CapEx</t>
  </si>
  <si>
    <t>Depreciation</t>
  </si>
  <si>
    <t>Total D&amp;A</t>
  </si>
  <si>
    <t>Computer Equipment</t>
  </si>
  <si>
    <t>Office Furniture</t>
  </si>
  <si>
    <t>Computer Software</t>
  </si>
  <si>
    <t>Copyrights</t>
  </si>
  <si>
    <t>Financial Statements for Kraken, Inc.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</si>
  <si>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</si>
  <si>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</si>
  <si>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</si>
  <si>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</si>
  <si>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</si>
  <si>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</si>
  <si>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</si>
  <si>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</si>
  <si>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</si>
  <si>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</si>
  <si>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</si>
  <si>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</si>
  <si>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</si>
  <si>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</si>
  <si>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</si>
  <si>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</si>
  <si>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</si>
  <si>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</si>
  <si>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</si>
  <si>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</si>
  <si>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</si>
  <si>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</si>
  <si>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</si>
  <si>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</si>
  <si>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</si>
  <si>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</si>
  <si>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</si>
  <si>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</si>
  <si>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</si>
  <si>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Accounts Receivable (as % of rev)</t>
  </si>
  <si>
    <t>Deferred Revenue (as % of rev)</t>
  </si>
  <si>
    <t>Accounts Payable (as % of COGS)</t>
  </si>
  <si>
    <t>Operating Activities</t>
  </si>
  <si>
    <t>Operating Cash Flow</t>
  </si>
  <si>
    <t>Investing Activities</t>
  </si>
  <si>
    <t>Investing Cash Flow</t>
  </si>
  <si>
    <t>Financing Activities</t>
  </si>
  <si>
    <t>Net Borrowings</t>
  </si>
  <si>
    <t>Financing Cash Flow</t>
  </si>
  <si>
    <t>Net Cash Flow</t>
  </si>
  <si>
    <t>Statement of Cashflows</t>
  </si>
  <si>
    <t>Change in Accounts Recievable</t>
  </si>
  <si>
    <t>Change in Accounts Payable</t>
  </si>
  <si>
    <t>Change in Deferred Revenue</t>
  </si>
  <si>
    <t>This model is created as a coursework project for Financial Analysis class. The company and all the figures in the model are imaginary. Apr. 2021</t>
  </si>
  <si>
    <t>Trend over 5 year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</si>
</sst>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&quot;$&quot;#,##0"/>
    <numFmt numFmtId="166" formatCode="0.0%"/>
    <numFmt numFmtId="167" formatCode="[$-409]mmm\-yy;@"/>
    <numFmt numFmtId="168" formatCode="[$-409]d\-mmm\-yy;@"/>
    <numFmt numFmtId="169" formatCode="0_);\(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432FF"/>
      <name val="Calibri"/>
      <family val="2"/>
    </font>
    <font>
      <sz val="11"/>
      <color theme="4"/>
      <name val="Calibri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Calibri"/>
      <family val="2"/>
    </font>
    <font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9" tint="0.79998168889431442"/>
        <bgColor rgb="FFE7E6E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6" fillId="4" borderId="2" xfId="3" applyFont="1" applyFill="1" applyBorder="1" applyAlignment="1">
      <alignment horizontal="center"/>
    </xf>
    <xf numFmtId="0" fontId="0" fillId="3" borderId="0" xfId="0" applyFill="1"/>
    <xf numFmtId="0" fontId="2" fillId="3" borderId="0" xfId="0" applyFont="1" applyFill="1"/>
    <xf numFmtId="0" fontId="7" fillId="3" borderId="0" xfId="0" applyFont="1" applyFill="1"/>
    <xf numFmtId="0" fontId="8" fillId="0" borderId="0" xfId="0" applyFont="1"/>
    <xf numFmtId="0" fontId="0" fillId="0" borderId="0" xfId="0" applyAlignment="1">
      <alignment horizontal="left" indent="1"/>
    </xf>
    <xf numFmtId="0" fontId="9" fillId="0" borderId="4" xfId="0" applyFont="1" applyBorder="1"/>
    <xf numFmtId="0" fontId="7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65" fontId="0" fillId="0" borderId="0" xfId="1" applyNumberFormat="1" applyFont="1"/>
    <xf numFmtId="3" fontId="0" fillId="0" borderId="0" xfId="0" applyNumberFormat="1"/>
    <xf numFmtId="9" fontId="0" fillId="0" borderId="0" xfId="2" applyFont="1"/>
    <xf numFmtId="0" fontId="8" fillId="0" borderId="0" xfId="0" applyFont="1" applyAlignment="1">
      <alignment horizontal="left" indent="1"/>
    </xf>
    <xf numFmtId="0" fontId="2" fillId="0" borderId="6" xfId="0" applyFont="1" applyBorder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left"/>
    </xf>
    <xf numFmtId="0" fontId="9" fillId="0" borderId="6" xfId="0" applyFont="1" applyBorder="1"/>
    <xf numFmtId="0" fontId="2" fillId="0" borderId="5" xfId="0" applyFont="1" applyBorder="1"/>
    <xf numFmtId="168" fontId="2" fillId="3" borderId="0" xfId="0" applyNumberFormat="1" applyFont="1" applyFill="1"/>
    <xf numFmtId="167" fontId="2" fillId="3" borderId="0" xfId="0" applyNumberFormat="1" applyFont="1" applyFill="1"/>
    <xf numFmtId="17" fontId="2" fillId="3" borderId="0" xfId="0" applyNumberFormat="1" applyFont="1" applyFill="1"/>
    <xf numFmtId="42" fontId="0" fillId="0" borderId="0" xfId="1" applyNumberFormat="1" applyFont="1"/>
    <xf numFmtId="165" fontId="1" fillId="0" borderId="0" xfId="1" applyNumberFormat="1" applyFont="1"/>
    <xf numFmtId="0" fontId="9" fillId="0" borderId="8" xfId="0" applyFont="1" applyBorder="1"/>
    <xf numFmtId="0" fontId="0" fillId="0" borderId="7" xfId="0" applyBorder="1" applyAlignment="1">
      <alignment horizontal="left" indent="1"/>
    </xf>
    <xf numFmtId="37" fontId="0" fillId="0" borderId="0" xfId="1" applyNumberFormat="1" applyFont="1"/>
    <xf numFmtId="37" fontId="2" fillId="0" borderId="4" xfId="1" applyNumberFormat="1" applyFont="1" applyBorder="1"/>
    <xf numFmtId="37" fontId="2" fillId="0" borderId="5" xfId="1" applyNumberFormat="1" applyFont="1" applyBorder="1"/>
    <xf numFmtId="37" fontId="0" fillId="0" borderId="0" xfId="0" applyNumberFormat="1"/>
    <xf numFmtId="37" fontId="2" fillId="0" borderId="4" xfId="0" applyNumberFormat="1" applyFont="1" applyBorder="1"/>
    <xf numFmtId="37" fontId="0" fillId="0" borderId="7" xfId="0" applyNumberFormat="1" applyBorder="1"/>
    <xf numFmtId="37" fontId="2" fillId="0" borderId="0" xfId="0" applyNumberFormat="1" applyFont="1"/>
    <xf numFmtId="37" fontId="2" fillId="0" borderId="8" xfId="0" applyNumberFormat="1" applyFont="1" applyBorder="1"/>
    <xf numFmtId="37" fontId="2" fillId="0" borderId="6" xfId="0" applyNumberFormat="1" applyFont="1" applyBorder="1"/>
    <xf numFmtId="37" fontId="1" fillId="0" borderId="0" xfId="1" applyNumberFormat="1" applyFont="1"/>
    <xf numFmtId="37" fontId="2" fillId="0" borderId="8" xfId="1" applyNumberFormat="1" applyFont="1" applyBorder="1"/>
    <xf numFmtId="37" fontId="2" fillId="0" borderId="6" xfId="1" applyNumberFormat="1" applyFont="1" applyBorder="1"/>
    <xf numFmtId="169" fontId="0" fillId="0" borderId="0" xfId="0" applyNumberFormat="1"/>
    <xf numFmtId="169" fontId="2" fillId="0" borderId="6" xfId="0" applyNumberFormat="1" applyFont="1" applyBorder="1"/>
    <xf numFmtId="0" fontId="0" fillId="5" borderId="0" xfId="0" applyFill="1"/>
    <xf numFmtId="164" fontId="0" fillId="5" borderId="0" xfId="0" applyNumberFormat="1" applyFill="1"/>
    <xf numFmtId="166" fontId="0" fillId="5" borderId="0" xfId="0" applyNumberFormat="1" applyFill="1"/>
    <xf numFmtId="0" fontId="11" fillId="5" borderId="0" xfId="0" applyFont="1" applyFill="1"/>
    <xf numFmtId="164" fontId="10" fillId="5" borderId="0" xfId="0" applyNumberFormat="1" applyFont="1" applyFill="1"/>
    <xf numFmtId="9" fontId="10" fillId="5" borderId="0" xfId="0" applyNumberFormat="1" applyFont="1" applyFill="1"/>
    <xf numFmtId="0" fontId="9" fillId="6" borderId="9" xfId="0" applyFont="1" applyFill="1" applyBorder="1"/>
    <xf numFmtId="0" fontId="0" fillId="6" borderId="11" xfId="0" applyFill="1" applyBorder="1"/>
    <xf numFmtId="165" fontId="13" fillId="6" borderId="0" xfId="0" applyNumberFormat="1" applyFont="1" applyFill="1" applyBorder="1"/>
    <xf numFmtId="165" fontId="14" fillId="6" borderId="0" xfId="0" applyNumberFormat="1" applyFont="1" applyFill="1" applyBorder="1"/>
    <xf numFmtId="165" fontId="13" fillId="6" borderId="12" xfId="0" applyNumberFormat="1" applyFont="1" applyFill="1" applyBorder="1"/>
    <xf numFmtId="0" fontId="0" fillId="6" borderId="11" xfId="0" applyFill="1" applyBorder="1" applyAlignment="1">
      <alignment horizontal="left"/>
    </xf>
    <xf numFmtId="166" fontId="14" fillId="6" borderId="0" xfId="0" applyNumberFormat="1" applyFont="1" applyFill="1" applyBorder="1"/>
    <xf numFmtId="166" fontId="14" fillId="6" borderId="12" xfId="0" applyNumberFormat="1" applyFont="1" applyFill="1" applyBorder="1"/>
    <xf numFmtId="0" fontId="14" fillId="6" borderId="0" xfId="0" applyFont="1" applyFill="1" applyBorder="1"/>
    <xf numFmtId="0" fontId="14" fillId="6" borderId="12" xfId="0" applyFont="1" applyFill="1" applyBorder="1"/>
    <xf numFmtId="9" fontId="13" fillId="6" borderId="0" xfId="0" applyNumberFormat="1" applyFont="1" applyFill="1" applyBorder="1"/>
    <xf numFmtId="9" fontId="13" fillId="6" borderId="12" xfId="0" applyNumberFormat="1" applyFont="1" applyFill="1" applyBorder="1"/>
    <xf numFmtId="0" fontId="0" fillId="6" borderId="13" xfId="0" applyFill="1" applyBorder="1" applyAlignment="1">
      <alignment horizontal="left"/>
    </xf>
    <xf numFmtId="165" fontId="12" fillId="6" borderId="7" xfId="0" applyNumberFormat="1" applyFont="1" applyFill="1" applyBorder="1"/>
    <xf numFmtId="165" fontId="12" fillId="6" borderId="14" xfId="0" applyNumberFormat="1" applyFont="1" applyFill="1" applyBorder="1"/>
    <xf numFmtId="0" fontId="0" fillId="6" borderId="0" xfId="0" applyFill="1" applyBorder="1"/>
    <xf numFmtId="0" fontId="0" fillId="6" borderId="12" xfId="0" applyFill="1" applyBorder="1"/>
    <xf numFmtId="0" fontId="0" fillId="6" borderId="11" xfId="0" applyFill="1" applyBorder="1" applyAlignment="1">
      <alignment horizontal="left" indent="1"/>
    </xf>
    <xf numFmtId="164" fontId="10" fillId="6" borderId="0" xfId="0" applyNumberFormat="1" applyFont="1" applyFill="1" applyBorder="1"/>
    <xf numFmtId="164" fontId="10" fillId="6" borderId="12" xfId="0" applyNumberFormat="1" applyFont="1" applyFill="1" applyBorder="1"/>
    <xf numFmtId="5" fontId="10" fillId="6" borderId="0" xfId="1" applyNumberFormat="1" applyFont="1" applyFill="1" applyBorder="1"/>
    <xf numFmtId="5" fontId="10" fillId="6" borderId="12" xfId="1" applyNumberFormat="1" applyFont="1" applyFill="1" applyBorder="1"/>
    <xf numFmtId="166" fontId="10" fillId="6" borderId="0" xfId="0" applyNumberFormat="1" applyFont="1" applyFill="1" applyBorder="1"/>
    <xf numFmtId="166" fontId="10" fillId="6" borderId="12" xfId="0" applyNumberFormat="1" applyFont="1" applyFill="1" applyBorder="1"/>
    <xf numFmtId="0" fontId="10" fillId="6" borderId="0" xfId="0" applyFont="1" applyFill="1" applyBorder="1"/>
    <xf numFmtId="0" fontId="10" fillId="6" borderId="12" xfId="0" applyFont="1" applyFill="1" applyBorder="1"/>
    <xf numFmtId="9" fontId="10" fillId="6" borderId="0" xfId="2" applyFont="1" applyFill="1" applyBorder="1"/>
    <xf numFmtId="9" fontId="10" fillId="6" borderId="12" xfId="2" applyFont="1" applyFill="1" applyBorder="1"/>
    <xf numFmtId="166" fontId="10" fillId="6" borderId="0" xfId="2" applyNumberFormat="1" applyFont="1" applyFill="1" applyBorder="1"/>
    <xf numFmtId="166" fontId="10" fillId="6" borderId="12" xfId="2" applyNumberFormat="1" applyFont="1" applyFill="1" applyBorder="1"/>
    <xf numFmtId="0" fontId="0" fillId="6" borderId="13" xfId="0" applyFill="1" applyBorder="1"/>
    <xf numFmtId="166" fontId="10" fillId="6" borderId="7" xfId="0" applyNumberFormat="1" applyFont="1" applyFill="1" applyBorder="1"/>
    <xf numFmtId="166" fontId="10" fillId="6" borderId="14" xfId="0" applyNumberFormat="1" applyFont="1" applyFill="1" applyBorder="1"/>
    <xf numFmtId="167" fontId="2" fillId="6" borderId="4" xfId="0" applyNumberFormat="1" applyFont="1" applyFill="1" applyBorder="1"/>
    <xf numFmtId="167" fontId="2" fillId="6" borderId="10" xfId="0" applyNumberFormat="1" applyFont="1" applyFill="1" applyBorder="1"/>
    <xf numFmtId="168" fontId="0" fillId="6" borderId="4" xfId="0" applyNumberFormat="1" applyFill="1" applyBorder="1"/>
    <xf numFmtId="0" fontId="0" fillId="0" borderId="2" xfId="0" applyBorder="1" applyAlignment="1">
      <alignment horizontal="center" wrapText="1"/>
    </xf>
    <xf numFmtId="0" fontId="8" fillId="0" borderId="8" xfId="0" applyFont="1" applyBorder="1"/>
    <xf numFmtId="37" fontId="0" fillId="0" borderId="8" xfId="1" applyNumberFormat="1" applyFont="1" applyBorder="1"/>
    <xf numFmtId="0" fontId="2" fillId="3" borderId="0" xfId="0" applyFont="1" applyFill="1" applyAlignment="1">
      <alignment horizontal="center"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Statement'!$B$9</c:f>
              <c:strCache>
                <c:ptCount val="1"/>
                <c:pt idx="0">
                  <c:v>Net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'Income Statement'!$C$4:$G$4</c:f>
              <c:numCache>
                <c:formatCode>[$-409]mmm\-yy;@</c:formatCode>
                <c:ptCount val="5"/>
                <c:pt idx="0">
                  <c:v>44562</c:v>
                </c:pt>
                <c:pt idx="1">
                  <c:v>44197</c:v>
                </c:pt>
                <c:pt idx="2">
                  <c:v>43831</c:v>
                </c:pt>
                <c:pt idx="3">
                  <c:v>43466</c:v>
                </c:pt>
                <c:pt idx="4">
                  <c:v>43101</c:v>
                </c:pt>
              </c:numCache>
            </c:numRef>
          </c:cat>
          <c:val>
            <c:numRef>
              <c:f>'Income Statement'!$C$9:$G$9</c:f>
              <c:numCache>
                <c:formatCode>#,##0_);\(#,##0\)</c:formatCode>
                <c:ptCount val="5"/>
                <c:pt idx="0">
                  <c:v>277650</c:v>
                </c:pt>
                <c:pt idx="1">
                  <c:v>252450</c:v>
                </c:pt>
                <c:pt idx="2">
                  <c:v>216744</c:v>
                </c:pt>
                <c:pt idx="3">
                  <c:v>186024</c:v>
                </c:pt>
                <c:pt idx="4">
                  <c:v>138942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2-4F02-8847-9E0B0BDBF39A}"/>
            </c:ext>
          </c:extLst>
        </c:ser>
        <c:ser>
          <c:idx val="1"/>
          <c:order val="1"/>
          <c:tx>
            <c:strRef>
              <c:f>'Income Statement'!$B$15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'Income Statement'!$C$4:$G$4</c:f>
              <c:numCache>
                <c:formatCode>[$-409]mmm\-yy;@</c:formatCode>
                <c:ptCount val="5"/>
                <c:pt idx="0">
                  <c:v>44562</c:v>
                </c:pt>
                <c:pt idx="1">
                  <c:v>44197</c:v>
                </c:pt>
                <c:pt idx="2">
                  <c:v>43831</c:v>
                </c:pt>
                <c:pt idx="3">
                  <c:v>43466</c:v>
                </c:pt>
                <c:pt idx="4">
                  <c:v>43101</c:v>
                </c:pt>
              </c:numCache>
            </c:numRef>
          </c:cat>
          <c:val>
            <c:numRef>
              <c:f>'Income Statement'!$C$15:$G$15</c:f>
              <c:numCache>
                <c:formatCode>#,##0_);\(#,##0\)</c:formatCode>
                <c:ptCount val="5"/>
                <c:pt idx="0">
                  <c:v>257597.5</c:v>
                </c:pt>
                <c:pt idx="1">
                  <c:v>237022.5</c:v>
                </c:pt>
                <c:pt idx="2">
                  <c:v>204429</c:v>
                </c:pt>
                <c:pt idx="3">
                  <c:v>175914</c:v>
                </c:pt>
                <c:pt idx="4">
                  <c:v>131472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2-4F02-8847-9E0B0BDBF39A}"/>
            </c:ext>
          </c:extLst>
        </c:ser>
        <c:ser>
          <c:idx val="2"/>
          <c:order val="2"/>
          <c:tx>
            <c:strRef>
              <c:f>'Income Statement'!$B$23</c:f>
              <c:strCache>
                <c:ptCount val="1"/>
                <c:pt idx="0">
                  <c:v>EBIT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'Income Statement'!$C$4:$G$4</c:f>
              <c:numCache>
                <c:formatCode>[$-409]mmm\-yy;@</c:formatCode>
                <c:ptCount val="5"/>
                <c:pt idx="0">
                  <c:v>44562</c:v>
                </c:pt>
                <c:pt idx="1">
                  <c:v>44197</c:v>
                </c:pt>
                <c:pt idx="2">
                  <c:v>43831</c:v>
                </c:pt>
                <c:pt idx="3">
                  <c:v>43466</c:v>
                </c:pt>
                <c:pt idx="4">
                  <c:v>43101</c:v>
                </c:pt>
              </c:numCache>
            </c:numRef>
          </c:cat>
          <c:val>
            <c:numRef>
              <c:f>'Income Statement'!$C$23:$G$23</c:f>
              <c:numCache>
                <c:formatCode>#,##0_);\(#,##0\)</c:formatCode>
                <c:ptCount val="5"/>
                <c:pt idx="0">
                  <c:v>123025.83333333333</c:v>
                </c:pt>
                <c:pt idx="1">
                  <c:v>131320.83333333334</c:v>
                </c:pt>
                <c:pt idx="2">
                  <c:v>118770.33333333333</c:v>
                </c:pt>
                <c:pt idx="3">
                  <c:v>95139.333333333328</c:v>
                </c:pt>
                <c:pt idx="4">
                  <c:v>70533.333333333328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2-4F02-8847-9E0B0BDBF39A}"/>
            </c:ext>
          </c:extLst>
        </c:ser>
        <c:ser>
          <c:idx val="3"/>
          <c:order val="3"/>
          <c:tx>
            <c:strRef>
              <c:f>'Income Statement'!$B$27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'Income Statement'!$C$4:$G$4</c:f>
              <c:numCache>
                <c:formatCode>[$-409]mmm\-yy;@</c:formatCode>
                <c:ptCount val="5"/>
                <c:pt idx="0">
                  <c:v>44562</c:v>
                </c:pt>
                <c:pt idx="1">
                  <c:v>44197</c:v>
                </c:pt>
                <c:pt idx="2">
                  <c:v>43831</c:v>
                </c:pt>
                <c:pt idx="3">
                  <c:v>43466</c:v>
                </c:pt>
                <c:pt idx="4">
                  <c:v>43101</c:v>
                </c:pt>
              </c:numCache>
            </c:numRef>
          </c:cat>
          <c:val>
            <c:numRef>
              <c:f>'Income Statement'!$C$27:$G$27</c:f>
              <c:numCache>
                <c:formatCode>#,##0_);\(#,##0\)</c:formatCode>
                <c:ptCount val="5"/>
                <c:pt idx="0">
                  <c:v>97706.924999999988</c:v>
                </c:pt>
                <c:pt idx="1">
                  <c:v>104182.875</c:v>
                </c:pt>
                <c:pt idx="2">
                  <c:v>94786.47</c:v>
                </c:pt>
                <c:pt idx="3">
                  <c:v>76354.11</c:v>
                </c:pt>
                <c:pt idx="4">
                  <c:v>56646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2-4F02-8847-9E0B0BDBF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162048"/>
        <c:axId val="1645162880"/>
      </c:barChart>
      <c:dateAx>
        <c:axId val="1645162048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62880"/>
        <c:crosses val="autoZero"/>
        <c:auto val="0"/>
        <c:lblOffset val="100"/>
        <c:baseTimeUnit val="years"/>
      </c:dateAx>
      <c:valAx>
        <c:axId val="16451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4</xdr:row>
      <xdr:rowOff>34290</xdr:rowOff>
    </xdr:from>
    <xdr:to>
      <xdr:col>16</xdr:col>
      <xdr:colOff>601980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D13D0-4032-3BB1-5566-B9A3B586D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"/>
  <sheetViews>
    <sheetView showGridLines="0" tabSelected="1" zoomScaleNormal="100" workbookViewId="0">
      <selection activeCell="B5" sqref="B5"/>
    </sheetView>
  </sheetViews>
  <sheetFormatPr defaultRowHeight="14.4" x14ac:dyDescent="0.3"/>
  <cols>
    <col min="1" max="1" width="31.33203125" customWidth="1"/>
    <col min="2" max="2" width="93.77734375" customWidth="1"/>
  </cols>
  <sheetData>
    <row r="1" spans="1:26" ht="67.8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8.8" x14ac:dyDescent="0.55000000000000004">
      <c r="A2" s="2"/>
      <c r="B2" s="3" t="s">
        <v>51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6" x14ac:dyDescent="0.3">
      <c r="A3" s="2"/>
      <c r="B3" s="4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">
      <c r="A4" s="2"/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4">
      <c r="A5" s="2"/>
      <c r="B5" s="7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x14ac:dyDescent="0.4">
      <c r="A6" s="2"/>
      <c r="B6" s="7" t="s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x14ac:dyDescent="0.4">
      <c r="A7" s="2"/>
      <c r="B7" s="7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0" customHeight="1" x14ac:dyDescent="0.3">
      <c r="A8" s="2"/>
      <c r="B8" s="91" t="s">
        <v>96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2"/>
      <c r="B9" s="5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2"/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2"/>
      <c r="B11" s="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</sheetData>
  <hyperlinks>
    <hyperlink ref="B5" location="'Income Statement'!A1" display="Income Statement" xr:uid="{6F29FE4D-0778-472F-A056-EB39026807F8}"/>
    <hyperlink ref="B6" location="'Balance Sheet'!A1" display="Balance Sheet" xr:uid="{9990A28B-790C-49F1-966D-0F22B44B09A3}"/>
    <hyperlink ref="B7" location="'Cash Flow'!A1" display="Cash Flow" xr:uid="{7D3AE9D3-0CFD-4729-B279-661EA035C3BD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3051-55EC-48DD-9783-32379CAB6818}">
  <sheetPr>
    <tabColor theme="9"/>
  </sheetPr>
  <dimension ref="B2:Q51"/>
  <sheetViews>
    <sheetView showGridLines="0" zoomScaleNormal="100" workbookViewId="0">
      <selection activeCell="N24" sqref="N24"/>
    </sheetView>
  </sheetViews>
  <sheetFormatPr defaultRowHeight="14.4" x14ac:dyDescent="0.3"/>
  <cols>
    <col min="2" max="2" width="31.44140625" bestFit="1" customWidth="1"/>
    <col min="3" max="3" width="12.109375" bestFit="1" customWidth="1"/>
  </cols>
  <sheetData>
    <row r="2" spans="2:17" x14ac:dyDescent="0.3">
      <c r="B2" t="s">
        <v>4</v>
      </c>
    </row>
    <row r="3" spans="2:17" x14ac:dyDescent="0.3">
      <c r="B3" s="9" t="s">
        <v>1</v>
      </c>
      <c r="C3" s="8"/>
      <c r="D3" s="8"/>
      <c r="E3" s="8"/>
      <c r="F3" s="8"/>
      <c r="G3" s="8"/>
      <c r="J3" s="94" t="s">
        <v>97</v>
      </c>
      <c r="K3" s="94"/>
      <c r="L3" s="94"/>
      <c r="M3" s="94"/>
      <c r="N3" s="94"/>
      <c r="O3" s="94"/>
      <c r="P3" s="94"/>
      <c r="Q3" s="94"/>
    </row>
    <row r="4" spans="2:17" x14ac:dyDescent="0.3">
      <c r="B4" s="10" t="s">
        <v>38</v>
      </c>
      <c r="C4" s="29">
        <v>44562</v>
      </c>
      <c r="D4" s="29">
        <v>44197</v>
      </c>
      <c r="E4" s="29">
        <v>43831</v>
      </c>
      <c r="F4" s="29">
        <v>43466</v>
      </c>
      <c r="G4" s="29">
        <v>43101</v>
      </c>
      <c r="J4" s="94"/>
      <c r="K4" s="94"/>
      <c r="L4" s="94"/>
      <c r="M4" s="94"/>
      <c r="N4" s="94"/>
      <c r="O4" s="94"/>
      <c r="P4" s="94"/>
      <c r="Q4" s="94"/>
    </row>
    <row r="5" spans="2:17" x14ac:dyDescent="0.3">
      <c r="B5" s="11" t="s">
        <v>5</v>
      </c>
      <c r="C5" s="17"/>
      <c r="D5" s="17"/>
      <c r="E5" s="17"/>
      <c r="F5" s="17"/>
      <c r="G5" s="17"/>
    </row>
    <row r="6" spans="2:17" x14ac:dyDescent="0.3">
      <c r="B6" s="12" t="s">
        <v>27</v>
      </c>
      <c r="C6" s="35">
        <f>(C34*C36)+(C35*C37)</f>
        <v>308500</v>
      </c>
      <c r="D6" s="35">
        <f t="shared" ref="D6:G6" si="0">(D34*D36)+(D35*D37)</f>
        <v>280500</v>
      </c>
      <c r="E6" s="35">
        <f t="shared" si="0"/>
        <v>246300</v>
      </c>
      <c r="F6" s="35">
        <f t="shared" si="0"/>
        <v>202200</v>
      </c>
      <c r="G6" s="35">
        <f t="shared" si="0"/>
        <v>149400</v>
      </c>
    </row>
    <row r="7" spans="2:17" x14ac:dyDescent="0.3">
      <c r="B7" s="12" t="s">
        <v>35</v>
      </c>
      <c r="C7" s="35">
        <f>C6*-C39</f>
        <v>-9255</v>
      </c>
      <c r="D7" s="35">
        <f t="shared" ref="D7:G7" si="1">D6*-D39</f>
        <v>-8415</v>
      </c>
      <c r="E7" s="35">
        <f t="shared" si="1"/>
        <v>-9852</v>
      </c>
      <c r="F7" s="35">
        <f t="shared" si="1"/>
        <v>-4044</v>
      </c>
      <c r="G7" s="35">
        <f t="shared" si="1"/>
        <v>-2988</v>
      </c>
    </row>
    <row r="8" spans="2:17" x14ac:dyDescent="0.3">
      <c r="B8" s="12" t="s">
        <v>6</v>
      </c>
      <c r="C8" s="35">
        <f>C6*-C38</f>
        <v>-21595.000000000004</v>
      </c>
      <c r="D8" s="35">
        <f t="shared" ref="D8:G8" si="2">D6*-D38</f>
        <v>-19635.000000000004</v>
      </c>
      <c r="E8" s="35">
        <f t="shared" si="2"/>
        <v>-19704</v>
      </c>
      <c r="F8" s="35">
        <f t="shared" si="2"/>
        <v>-12132</v>
      </c>
      <c r="G8" s="35">
        <f t="shared" si="2"/>
        <v>-7470</v>
      </c>
    </row>
    <row r="9" spans="2:17" x14ac:dyDescent="0.3">
      <c r="B9" s="13" t="s">
        <v>7</v>
      </c>
      <c r="C9" s="36">
        <f>SUM(C6:C8)</f>
        <v>277650</v>
      </c>
      <c r="D9" s="36">
        <f t="shared" ref="D9:G9" si="3">SUM(D6:D8)</f>
        <v>252450</v>
      </c>
      <c r="E9" s="36">
        <f t="shared" si="3"/>
        <v>216744</v>
      </c>
      <c r="F9" s="36">
        <f t="shared" si="3"/>
        <v>186024</v>
      </c>
      <c r="G9" s="36">
        <f t="shared" si="3"/>
        <v>138942</v>
      </c>
    </row>
    <row r="10" spans="2:17" x14ac:dyDescent="0.3">
      <c r="B10" s="11" t="s">
        <v>8</v>
      </c>
      <c r="C10" s="35"/>
      <c r="D10" s="35"/>
      <c r="E10" s="35"/>
      <c r="F10" s="35"/>
      <c r="G10" s="35"/>
    </row>
    <row r="11" spans="2:17" x14ac:dyDescent="0.3">
      <c r="B11" s="12" t="s">
        <v>9</v>
      </c>
      <c r="C11" s="35">
        <f>C$6*-C42</f>
        <v>-12340</v>
      </c>
      <c r="D11" s="35">
        <f t="shared" ref="D11:G11" si="4">D$6*-D42</f>
        <v>-8415</v>
      </c>
      <c r="E11" s="35">
        <f t="shared" si="4"/>
        <v>-7389</v>
      </c>
      <c r="F11" s="35">
        <f t="shared" si="4"/>
        <v>-6066</v>
      </c>
      <c r="G11" s="35">
        <f t="shared" si="4"/>
        <v>-4482</v>
      </c>
    </row>
    <row r="12" spans="2:17" x14ac:dyDescent="0.3">
      <c r="B12" s="12" t="s">
        <v>10</v>
      </c>
      <c r="C12" s="35">
        <f>C$6*-C43</f>
        <v>-6170</v>
      </c>
      <c r="D12" s="35">
        <f t="shared" ref="D12:G12" si="5">D$6*-D43</f>
        <v>-5610</v>
      </c>
      <c r="E12" s="35">
        <f t="shared" si="5"/>
        <v>-3694.5</v>
      </c>
      <c r="F12" s="35">
        <f t="shared" si="5"/>
        <v>-3033</v>
      </c>
      <c r="G12" s="35">
        <f t="shared" si="5"/>
        <v>-2241</v>
      </c>
    </row>
    <row r="13" spans="2:17" x14ac:dyDescent="0.3">
      <c r="B13" s="12" t="s">
        <v>11</v>
      </c>
      <c r="C13" s="35">
        <f>C$6*-C44</f>
        <v>-1542.5</v>
      </c>
      <c r="D13" s="35">
        <f t="shared" ref="D13:G13" si="6">D$6*-D44</f>
        <v>-1402.5</v>
      </c>
      <c r="E13" s="35">
        <f t="shared" si="6"/>
        <v>-1231.5</v>
      </c>
      <c r="F13" s="35">
        <f t="shared" si="6"/>
        <v>-1011</v>
      </c>
      <c r="G13" s="35">
        <f t="shared" si="6"/>
        <v>-747</v>
      </c>
    </row>
    <row r="14" spans="2:17" x14ac:dyDescent="0.3">
      <c r="B14" s="12" t="s">
        <v>12</v>
      </c>
      <c r="C14" s="35">
        <f>SUM(C11:C13)</f>
        <v>-20052.5</v>
      </c>
      <c r="D14" s="35">
        <f t="shared" ref="D14:G14" si="7">SUM(D11:D13)</f>
        <v>-15427.5</v>
      </c>
      <c r="E14" s="35">
        <f t="shared" si="7"/>
        <v>-12315</v>
      </c>
      <c r="F14" s="35">
        <f t="shared" si="7"/>
        <v>-10110</v>
      </c>
      <c r="G14" s="35">
        <f t="shared" si="7"/>
        <v>-7470</v>
      </c>
    </row>
    <row r="15" spans="2:17" x14ac:dyDescent="0.3">
      <c r="B15" s="13" t="s">
        <v>13</v>
      </c>
      <c r="C15" s="36">
        <f>C9+C14</f>
        <v>257597.5</v>
      </c>
      <c r="D15" s="36">
        <f t="shared" ref="D15:G15" si="8">D9+D14</f>
        <v>237022.5</v>
      </c>
      <c r="E15" s="36">
        <f t="shared" si="8"/>
        <v>204429</v>
      </c>
      <c r="F15" s="36">
        <f t="shared" si="8"/>
        <v>175914</v>
      </c>
      <c r="G15" s="36">
        <f t="shared" si="8"/>
        <v>131472</v>
      </c>
    </row>
    <row r="16" spans="2:17" x14ac:dyDescent="0.3">
      <c r="B16" s="11" t="s">
        <v>14</v>
      </c>
      <c r="C16" s="35" t="s">
        <v>24</v>
      </c>
      <c r="D16" s="35" t="s">
        <v>24</v>
      </c>
      <c r="E16" s="35" t="s">
        <v>24</v>
      </c>
      <c r="F16" s="35" t="s">
        <v>24</v>
      </c>
      <c r="G16" s="35" t="s">
        <v>24</v>
      </c>
    </row>
    <row r="17" spans="2:7" x14ac:dyDescent="0.3">
      <c r="B17" s="12" t="s">
        <v>33</v>
      </c>
      <c r="C17" s="35">
        <f>C$6*-C47</f>
        <v>-80210</v>
      </c>
      <c r="D17" s="35">
        <f t="shared" ref="D17:G17" si="9">D$6*-D47</f>
        <v>-70125</v>
      </c>
      <c r="E17" s="35">
        <f t="shared" si="9"/>
        <v>-59112</v>
      </c>
      <c r="F17" s="35">
        <f t="shared" si="9"/>
        <v>-52572</v>
      </c>
      <c r="G17" s="35">
        <f t="shared" si="9"/>
        <v>-38844</v>
      </c>
    </row>
    <row r="18" spans="2:7" x14ac:dyDescent="0.3">
      <c r="B18" s="12" t="s">
        <v>32</v>
      </c>
      <c r="C18" s="35">
        <f t="shared" ref="C18:G19" si="10">C$6*-C48</f>
        <v>-30850</v>
      </c>
      <c r="D18" s="35">
        <f t="shared" si="10"/>
        <v>-19635.000000000004</v>
      </c>
      <c r="E18" s="35">
        <f t="shared" si="10"/>
        <v>-14778</v>
      </c>
      <c r="F18" s="35">
        <f t="shared" si="10"/>
        <v>-16176</v>
      </c>
      <c r="G18" s="35">
        <f t="shared" si="10"/>
        <v>-10458.000000000002</v>
      </c>
    </row>
    <row r="19" spans="2:7" x14ac:dyDescent="0.3">
      <c r="B19" s="12" t="s">
        <v>34</v>
      </c>
      <c r="C19" s="35">
        <f t="shared" si="10"/>
        <v>-21595.000000000004</v>
      </c>
      <c r="D19" s="35">
        <f t="shared" si="10"/>
        <v>-14025</v>
      </c>
      <c r="E19" s="35">
        <f t="shared" si="10"/>
        <v>-9852</v>
      </c>
      <c r="F19" s="35">
        <f t="shared" si="10"/>
        <v>-10110</v>
      </c>
      <c r="G19" s="35">
        <f t="shared" si="10"/>
        <v>-7470</v>
      </c>
    </row>
    <row r="20" spans="2:7" x14ac:dyDescent="0.3">
      <c r="B20" s="1" t="s">
        <v>15</v>
      </c>
      <c r="C20" s="35">
        <f>SUM(C17:C19)</f>
        <v>-132655</v>
      </c>
      <c r="D20" s="35">
        <f t="shared" ref="D20:G20" si="11">SUM(D17:D19)</f>
        <v>-103785</v>
      </c>
      <c r="E20" s="35">
        <f t="shared" si="11"/>
        <v>-83742</v>
      </c>
      <c r="F20" s="35">
        <f t="shared" si="11"/>
        <v>-78858</v>
      </c>
      <c r="G20" s="35">
        <f t="shared" si="11"/>
        <v>-56772</v>
      </c>
    </row>
    <row r="21" spans="2:7" x14ac:dyDescent="0.3">
      <c r="B21" s="15" t="s">
        <v>16</v>
      </c>
      <c r="C21" s="36">
        <f>C15+C20</f>
        <v>124942.5</v>
      </c>
      <c r="D21" s="36">
        <f t="shared" ref="D21:G21" si="12">D15+D20</f>
        <v>133237.5</v>
      </c>
      <c r="E21" s="36">
        <f t="shared" si="12"/>
        <v>120687</v>
      </c>
      <c r="F21" s="36">
        <f t="shared" si="12"/>
        <v>97056</v>
      </c>
      <c r="G21" s="36">
        <f t="shared" si="12"/>
        <v>74700</v>
      </c>
    </row>
    <row r="22" spans="2:7" x14ac:dyDescent="0.3">
      <c r="B22" s="1" t="s">
        <v>17</v>
      </c>
      <c r="C22" s="35">
        <f>-'Fixed Assets'!D17</f>
        <v>-1916.6666666666667</v>
      </c>
      <c r="D22" s="35">
        <f>-'Fixed Assets'!E17</f>
        <v>-1916.6666666666667</v>
      </c>
      <c r="E22" s="35">
        <f>-'Fixed Assets'!F17</f>
        <v>-1916.6666666666667</v>
      </c>
      <c r="F22" s="35">
        <f>-'Fixed Assets'!G17</f>
        <v>-1916.6666666666667</v>
      </c>
      <c r="G22" s="35">
        <f>-'Fixed Assets'!H17</f>
        <v>-4166.666666666667</v>
      </c>
    </row>
    <row r="23" spans="2:7" x14ac:dyDescent="0.3">
      <c r="B23" s="15" t="s">
        <v>18</v>
      </c>
      <c r="C23" s="36">
        <f>SUM(C21:C22)</f>
        <v>123025.83333333333</v>
      </c>
      <c r="D23" s="36">
        <f t="shared" ref="D23:G23" si="13">SUM(D21:D22)</f>
        <v>131320.83333333334</v>
      </c>
      <c r="E23" s="36">
        <f t="shared" si="13"/>
        <v>118770.33333333333</v>
      </c>
      <c r="F23" s="36">
        <f t="shared" si="13"/>
        <v>95139.333333333328</v>
      </c>
      <c r="G23" s="36">
        <f t="shared" si="13"/>
        <v>70533.333333333328</v>
      </c>
    </row>
    <row r="24" spans="2:7" x14ac:dyDescent="0.3">
      <c r="B24" s="1" t="s">
        <v>19</v>
      </c>
      <c r="C24" s="35">
        <f>-'Balance Sheet'!C44</f>
        <v>-2400</v>
      </c>
      <c r="D24" s="35">
        <f>-'Balance Sheet'!D44</f>
        <v>-2700</v>
      </c>
      <c r="E24" s="35">
        <f>-'Balance Sheet'!E44</f>
        <v>-1750.0000000000002</v>
      </c>
      <c r="F24" s="35">
        <f>-'Balance Sheet'!F44</f>
        <v>-875.00000000000011</v>
      </c>
      <c r="G24" s="35">
        <f>-'Balance Sheet'!G44</f>
        <v>-600</v>
      </c>
    </row>
    <row r="25" spans="2:7" x14ac:dyDescent="0.3">
      <c r="B25" s="15" t="s">
        <v>20</v>
      </c>
      <c r="C25" s="36">
        <f>SUM(C23:C24)</f>
        <v>120625.83333333333</v>
      </c>
      <c r="D25" s="36">
        <f t="shared" ref="D25:G25" si="14">SUM(D23:D24)</f>
        <v>128620.83333333334</v>
      </c>
      <c r="E25" s="36">
        <f t="shared" si="14"/>
        <v>117020.33333333333</v>
      </c>
      <c r="F25" s="36">
        <f t="shared" si="14"/>
        <v>94264.333333333328</v>
      </c>
      <c r="G25" s="36">
        <f t="shared" si="14"/>
        <v>69933.333333333328</v>
      </c>
    </row>
    <row r="26" spans="2:7" x14ac:dyDescent="0.3">
      <c r="B26" s="1" t="s">
        <v>21</v>
      </c>
      <c r="C26" s="35">
        <f>C$25*-C51</f>
        <v>-22918.908333333333</v>
      </c>
      <c r="D26" s="35">
        <f t="shared" ref="D26:G26" si="15">D$25*-D51</f>
        <v>-24437.958333333336</v>
      </c>
      <c r="E26" s="35">
        <f t="shared" si="15"/>
        <v>-22233.863333333331</v>
      </c>
      <c r="F26" s="35">
        <f t="shared" si="15"/>
        <v>-17910.223333333332</v>
      </c>
      <c r="G26" s="35">
        <f t="shared" si="15"/>
        <v>-13287.333333333332</v>
      </c>
    </row>
    <row r="27" spans="2:7" ht="15" thickBot="1" x14ac:dyDescent="0.35">
      <c r="B27" s="16" t="s">
        <v>22</v>
      </c>
      <c r="C27" s="37">
        <f>SUM(C25:C26)</f>
        <v>97706.924999999988</v>
      </c>
      <c r="D27" s="37">
        <f t="shared" ref="D27:G27" si="16">SUM(D25:D26)</f>
        <v>104182.875</v>
      </c>
      <c r="E27" s="37">
        <f t="shared" si="16"/>
        <v>94786.47</v>
      </c>
      <c r="F27" s="37">
        <f t="shared" si="16"/>
        <v>76354.11</v>
      </c>
      <c r="G27" s="37">
        <f t="shared" si="16"/>
        <v>56646</v>
      </c>
    </row>
    <row r="28" spans="2:7" x14ac:dyDescent="0.3">
      <c r="B28" s="1"/>
      <c r="C28" s="18"/>
      <c r="D28" s="18"/>
      <c r="E28" s="18"/>
      <c r="F28" s="18"/>
      <c r="G28" s="18"/>
    </row>
    <row r="29" spans="2:7" x14ac:dyDescent="0.3">
      <c r="B29" s="14" t="s">
        <v>23</v>
      </c>
      <c r="C29" s="19">
        <f>C27/C9</f>
        <v>0.35190680713128036</v>
      </c>
      <c r="D29" s="19">
        <f t="shared" ref="D29:G29" si="17">D27/D9</f>
        <v>0.41268716577540104</v>
      </c>
      <c r="E29" s="19">
        <f t="shared" si="17"/>
        <v>0.43731992581109513</v>
      </c>
      <c r="F29" s="19">
        <f t="shared" si="17"/>
        <v>0.41045300606373369</v>
      </c>
      <c r="G29" s="19">
        <f t="shared" si="17"/>
        <v>0.40769529731830551</v>
      </c>
    </row>
    <row r="32" spans="2:7" x14ac:dyDescent="0.3">
      <c r="B32" s="55" t="s">
        <v>25</v>
      </c>
      <c r="C32" s="88">
        <f>C4</f>
        <v>44562</v>
      </c>
      <c r="D32" s="88">
        <f t="shared" ref="D32:G32" si="18">D4</f>
        <v>44197</v>
      </c>
      <c r="E32" s="88">
        <f t="shared" si="18"/>
        <v>43831</v>
      </c>
      <c r="F32" s="88">
        <f t="shared" si="18"/>
        <v>43466</v>
      </c>
      <c r="G32" s="89">
        <f t="shared" si="18"/>
        <v>43101</v>
      </c>
    </row>
    <row r="33" spans="2:7" x14ac:dyDescent="0.3">
      <c r="B33" s="56" t="s">
        <v>5</v>
      </c>
      <c r="C33" s="70"/>
      <c r="D33" s="70"/>
      <c r="E33" s="70"/>
      <c r="F33" s="70"/>
      <c r="G33" s="71"/>
    </row>
    <row r="34" spans="2:7" x14ac:dyDescent="0.3">
      <c r="B34" s="72" t="s">
        <v>28</v>
      </c>
      <c r="C34" s="73">
        <v>12000</v>
      </c>
      <c r="D34" s="73">
        <v>11000</v>
      </c>
      <c r="E34" s="73">
        <v>10500</v>
      </c>
      <c r="F34" s="73">
        <v>9000</v>
      </c>
      <c r="G34" s="74">
        <v>7000</v>
      </c>
    </row>
    <row r="35" spans="2:7" x14ac:dyDescent="0.3">
      <c r="B35" s="72" t="s">
        <v>31</v>
      </c>
      <c r="C35" s="73">
        <v>850</v>
      </c>
      <c r="D35" s="73">
        <v>550</v>
      </c>
      <c r="E35" s="73">
        <v>400</v>
      </c>
      <c r="F35" s="73">
        <v>350</v>
      </c>
      <c r="G35" s="74">
        <v>200</v>
      </c>
    </row>
    <row r="36" spans="2:7" x14ac:dyDescent="0.3">
      <c r="B36" s="72" t="s">
        <v>29</v>
      </c>
      <c r="C36" s="75">
        <v>25</v>
      </c>
      <c r="D36" s="75">
        <v>25</v>
      </c>
      <c r="E36" s="75">
        <v>23</v>
      </c>
      <c r="F36" s="75">
        <v>22</v>
      </c>
      <c r="G36" s="76">
        <v>21</v>
      </c>
    </row>
    <row r="37" spans="2:7" x14ac:dyDescent="0.3">
      <c r="B37" s="72" t="s">
        <v>30</v>
      </c>
      <c r="C37" s="75">
        <v>10</v>
      </c>
      <c r="D37" s="75">
        <v>10</v>
      </c>
      <c r="E37" s="75">
        <v>12</v>
      </c>
      <c r="F37" s="75">
        <v>12</v>
      </c>
      <c r="G37" s="76">
        <v>12</v>
      </c>
    </row>
    <row r="38" spans="2:7" x14ac:dyDescent="0.3">
      <c r="B38" s="72" t="s">
        <v>37</v>
      </c>
      <c r="C38" s="77">
        <v>7.0000000000000007E-2</v>
      </c>
      <c r="D38" s="77">
        <v>7.0000000000000007E-2</v>
      </c>
      <c r="E38" s="77">
        <v>0.08</v>
      </c>
      <c r="F38" s="77">
        <v>0.06</v>
      </c>
      <c r="G38" s="78">
        <v>0.05</v>
      </c>
    </row>
    <row r="39" spans="2:7" x14ac:dyDescent="0.3">
      <c r="B39" s="72" t="s">
        <v>36</v>
      </c>
      <c r="C39" s="77">
        <v>0.03</v>
      </c>
      <c r="D39" s="77">
        <v>0.03</v>
      </c>
      <c r="E39" s="77">
        <v>0.04</v>
      </c>
      <c r="F39" s="77">
        <v>0.02</v>
      </c>
      <c r="G39" s="78">
        <v>0.02</v>
      </c>
    </row>
    <row r="40" spans="2:7" x14ac:dyDescent="0.3">
      <c r="B40" s="56"/>
      <c r="C40" s="79"/>
      <c r="D40" s="79"/>
      <c r="E40" s="79"/>
      <c r="F40" s="79"/>
      <c r="G40" s="80"/>
    </row>
    <row r="41" spans="2:7" x14ac:dyDescent="0.3">
      <c r="B41" s="56" t="s">
        <v>8</v>
      </c>
      <c r="C41" s="81"/>
      <c r="D41" s="81"/>
      <c r="E41" s="81"/>
      <c r="F41" s="81"/>
      <c r="G41" s="82"/>
    </row>
    <row r="42" spans="2:7" x14ac:dyDescent="0.3">
      <c r="B42" s="72" t="s">
        <v>9</v>
      </c>
      <c r="C42" s="83">
        <v>0.04</v>
      </c>
      <c r="D42" s="83">
        <v>0.03</v>
      </c>
      <c r="E42" s="83">
        <v>0.03</v>
      </c>
      <c r="F42" s="83">
        <v>0.03</v>
      </c>
      <c r="G42" s="84">
        <v>0.03</v>
      </c>
    </row>
    <row r="43" spans="2:7" x14ac:dyDescent="0.3">
      <c r="B43" s="72" t="s">
        <v>39</v>
      </c>
      <c r="C43" s="83">
        <v>0.02</v>
      </c>
      <c r="D43" s="83">
        <v>0.02</v>
      </c>
      <c r="E43" s="83">
        <v>1.4999999999999999E-2</v>
      </c>
      <c r="F43" s="83">
        <v>1.4999999999999999E-2</v>
      </c>
      <c r="G43" s="84">
        <v>1.4999999999999999E-2</v>
      </c>
    </row>
    <row r="44" spans="2:7" x14ac:dyDescent="0.3">
      <c r="B44" s="72" t="s">
        <v>40</v>
      </c>
      <c r="C44" s="83">
        <v>5.0000000000000001E-3</v>
      </c>
      <c r="D44" s="83">
        <v>5.0000000000000001E-3</v>
      </c>
      <c r="E44" s="83">
        <v>5.0000000000000001E-3</v>
      </c>
      <c r="F44" s="83">
        <v>5.0000000000000001E-3</v>
      </c>
      <c r="G44" s="84">
        <v>5.0000000000000001E-3</v>
      </c>
    </row>
    <row r="45" spans="2:7" x14ac:dyDescent="0.3">
      <c r="B45" s="56"/>
      <c r="C45" s="79"/>
      <c r="D45" s="79"/>
      <c r="E45" s="79"/>
      <c r="F45" s="79"/>
      <c r="G45" s="80"/>
    </row>
    <row r="46" spans="2:7" x14ac:dyDescent="0.3">
      <c r="B46" s="56" t="s">
        <v>14</v>
      </c>
      <c r="C46" s="79"/>
      <c r="D46" s="79"/>
      <c r="E46" s="79"/>
      <c r="F46" s="79"/>
      <c r="G46" s="80"/>
    </row>
    <row r="47" spans="2:7" x14ac:dyDescent="0.3">
      <c r="B47" s="72" t="s">
        <v>33</v>
      </c>
      <c r="C47" s="77">
        <v>0.26</v>
      </c>
      <c r="D47" s="77">
        <v>0.25</v>
      </c>
      <c r="E47" s="77">
        <v>0.24</v>
      </c>
      <c r="F47" s="77">
        <v>0.26</v>
      </c>
      <c r="G47" s="78">
        <v>0.26</v>
      </c>
    </row>
    <row r="48" spans="2:7" x14ac:dyDescent="0.3">
      <c r="B48" s="72" t="s">
        <v>32</v>
      </c>
      <c r="C48" s="77">
        <v>0.1</v>
      </c>
      <c r="D48" s="77">
        <v>7.0000000000000007E-2</v>
      </c>
      <c r="E48" s="77">
        <v>0.06</v>
      </c>
      <c r="F48" s="77">
        <v>0.08</v>
      </c>
      <c r="G48" s="78">
        <v>7.0000000000000007E-2</v>
      </c>
    </row>
    <row r="49" spans="2:7" x14ac:dyDescent="0.3">
      <c r="B49" s="72" t="s">
        <v>34</v>
      </c>
      <c r="C49" s="77">
        <v>7.0000000000000007E-2</v>
      </c>
      <c r="D49" s="77">
        <v>0.05</v>
      </c>
      <c r="E49" s="77">
        <v>0.04</v>
      </c>
      <c r="F49" s="77">
        <v>0.05</v>
      </c>
      <c r="G49" s="78">
        <v>0.05</v>
      </c>
    </row>
    <row r="50" spans="2:7" x14ac:dyDescent="0.3">
      <c r="B50" s="56"/>
      <c r="C50" s="77"/>
      <c r="D50" s="77"/>
      <c r="E50" s="77"/>
      <c r="F50" s="77"/>
      <c r="G50" s="78"/>
    </row>
    <row r="51" spans="2:7" x14ac:dyDescent="0.3">
      <c r="B51" s="85" t="s">
        <v>26</v>
      </c>
      <c r="C51" s="86">
        <v>0.19</v>
      </c>
      <c r="D51" s="86">
        <v>0.19</v>
      </c>
      <c r="E51" s="86">
        <v>0.19</v>
      </c>
      <c r="F51" s="86">
        <v>0.19</v>
      </c>
      <c r="G51" s="87">
        <v>0.19</v>
      </c>
    </row>
  </sheetData>
  <mergeCells count="1">
    <mergeCell ref="J3:Q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0A149-AFB2-447E-9EF6-8B2887007C59}">
  <sheetPr>
    <tabColor rgb="FF00B0F0"/>
  </sheetPr>
  <dimension ref="B2:H44"/>
  <sheetViews>
    <sheetView showGridLines="0" zoomScaleNormal="100" workbookViewId="0">
      <selection activeCell="C44" sqref="C44"/>
    </sheetView>
  </sheetViews>
  <sheetFormatPr defaultRowHeight="14.4" x14ac:dyDescent="0.3"/>
  <cols>
    <col min="2" max="2" width="26.77734375" bestFit="1" customWidth="1"/>
    <col min="3" max="3" width="11" bestFit="1" customWidth="1"/>
    <col min="4" max="4" width="11.6640625" bestFit="1" customWidth="1"/>
  </cols>
  <sheetData>
    <row r="2" spans="2:8" x14ac:dyDescent="0.3">
      <c r="B2" t="s">
        <v>4</v>
      </c>
    </row>
    <row r="3" spans="2:8" x14ac:dyDescent="0.3">
      <c r="B3" s="9" t="s">
        <v>2</v>
      </c>
      <c r="C3" s="9"/>
      <c r="D3" s="9"/>
      <c r="E3" s="9"/>
      <c r="F3" s="9"/>
      <c r="G3" s="9"/>
    </row>
    <row r="4" spans="2:8" x14ac:dyDescent="0.3">
      <c r="B4" s="10" t="s">
        <v>38</v>
      </c>
      <c r="C4" s="28">
        <v>44562</v>
      </c>
      <c r="D4" s="28">
        <v>44197</v>
      </c>
      <c r="E4" s="28">
        <v>43831</v>
      </c>
      <c r="F4" s="28">
        <v>43466</v>
      </c>
      <c r="G4" s="28">
        <v>43101</v>
      </c>
    </row>
    <row r="5" spans="2:8" x14ac:dyDescent="0.3">
      <c r="B5" s="11" t="s">
        <v>52</v>
      </c>
      <c r="C5" s="31"/>
      <c r="D5" s="31"/>
      <c r="E5" s="31"/>
      <c r="F5" s="31"/>
      <c r="G5" s="31"/>
    </row>
    <row r="6" spans="2:8" x14ac:dyDescent="0.3">
      <c r="B6" s="12" t="s">
        <v>53</v>
      </c>
      <c r="C6" s="35">
        <f>D6+'Statement of Cashflows'!C19</f>
        <v>493216.43833333335</v>
      </c>
      <c r="D6" s="35">
        <f>E6+'Statement of Cashflows'!D19</f>
        <v>378855.54666666669</v>
      </c>
      <c r="E6" s="35">
        <f>F6+'Statement of Cashflows'!E19</f>
        <v>242005.52000000002</v>
      </c>
      <c r="F6" s="35">
        <f>G6+'Statement of Cashflows'!F19</f>
        <v>132281.16333333333</v>
      </c>
      <c r="G6" s="35">
        <f>'Statement of Cashflows'!G19</f>
        <v>51112.666666666664</v>
      </c>
    </row>
    <row r="7" spans="2:8" x14ac:dyDescent="0.3">
      <c r="B7" s="12" t="s">
        <v>54</v>
      </c>
      <c r="C7" s="35">
        <f>C34*C36</f>
        <v>5553</v>
      </c>
      <c r="D7" s="35">
        <f>D34*D36</f>
        <v>7573.5</v>
      </c>
      <c r="E7" s="35">
        <f t="shared" ref="E7:G7" si="0">E34*E36</f>
        <v>8669.76</v>
      </c>
      <c r="F7" s="35">
        <f t="shared" si="0"/>
        <v>11161.439999999999</v>
      </c>
      <c r="G7" s="35">
        <f t="shared" si="0"/>
        <v>11115.36</v>
      </c>
    </row>
    <row r="8" spans="2:8" x14ac:dyDescent="0.3">
      <c r="B8" s="13" t="s">
        <v>55</v>
      </c>
      <c r="C8" s="36">
        <f>SUM(C6:C7)</f>
        <v>498769.43833333335</v>
      </c>
      <c r="D8" s="36">
        <f t="shared" ref="D8:G8" si="1">SUM(D6:D7)</f>
        <v>386429.04666666669</v>
      </c>
      <c r="E8" s="36">
        <f t="shared" si="1"/>
        <v>250675.28000000003</v>
      </c>
      <c r="F8" s="36">
        <f t="shared" si="1"/>
        <v>143442.60333333333</v>
      </c>
      <c r="G8" s="36">
        <f t="shared" si="1"/>
        <v>62228.026666666665</v>
      </c>
    </row>
    <row r="9" spans="2:8" x14ac:dyDescent="0.3">
      <c r="B9" s="11" t="s">
        <v>56</v>
      </c>
      <c r="C9" s="35"/>
      <c r="D9" s="35"/>
      <c r="E9" s="35"/>
      <c r="F9" s="35"/>
      <c r="G9" s="35"/>
    </row>
    <row r="10" spans="2:8" x14ac:dyDescent="0.3">
      <c r="B10" s="12" t="s">
        <v>57</v>
      </c>
      <c r="C10" s="35">
        <f>D10+'Fixed Assets'!D10</f>
        <v>28950</v>
      </c>
      <c r="D10" s="35">
        <f>E10+'Fixed Assets'!E10</f>
        <v>20950</v>
      </c>
      <c r="E10" s="35">
        <f>F10+'Fixed Assets'!F10</f>
        <v>20950</v>
      </c>
      <c r="F10" s="35">
        <f>G10+'Fixed Assets'!G10</f>
        <v>20950</v>
      </c>
      <c r="G10" s="35">
        <f>'Fixed Assets'!H10</f>
        <v>19700</v>
      </c>
    </row>
    <row r="11" spans="2:8" x14ac:dyDescent="0.3">
      <c r="B11" s="12" t="s">
        <v>58</v>
      </c>
      <c r="C11" s="44">
        <f>-'Fixed Assets'!D17</f>
        <v>-1916.6666666666667</v>
      </c>
      <c r="D11" s="44">
        <f>-'Fixed Assets'!E17</f>
        <v>-1916.6666666666667</v>
      </c>
      <c r="E11" s="44">
        <f>-'Fixed Assets'!F17</f>
        <v>-1916.6666666666667</v>
      </c>
      <c r="F11" s="44">
        <f>-'Fixed Assets'!G17</f>
        <v>-1916.6666666666667</v>
      </c>
      <c r="G11" s="44">
        <f>-'Fixed Assets'!H17</f>
        <v>-4166.666666666667</v>
      </c>
      <c r="H11" s="32"/>
    </row>
    <row r="12" spans="2:8" x14ac:dyDescent="0.3">
      <c r="B12" s="11" t="s">
        <v>59</v>
      </c>
      <c r="C12" s="35">
        <f>SUM(C10:C11)</f>
        <v>27033.333333333332</v>
      </c>
      <c r="D12" s="35">
        <f t="shared" ref="D12:G12" si="2">SUM(D10:D11)</f>
        <v>19033.333333333332</v>
      </c>
      <c r="E12" s="35">
        <f t="shared" si="2"/>
        <v>19033.333333333332</v>
      </c>
      <c r="F12" s="35">
        <f t="shared" si="2"/>
        <v>19033.333333333332</v>
      </c>
      <c r="G12" s="35">
        <f t="shared" si="2"/>
        <v>15533.333333333332</v>
      </c>
    </row>
    <row r="13" spans="2:8" x14ac:dyDescent="0.3">
      <c r="B13" s="33" t="s">
        <v>60</v>
      </c>
      <c r="C13" s="45">
        <f>C12</f>
        <v>27033.333333333332</v>
      </c>
      <c r="D13" s="45">
        <f t="shared" ref="D13:G13" si="3">D12</f>
        <v>19033.333333333332</v>
      </c>
      <c r="E13" s="45">
        <f t="shared" si="3"/>
        <v>19033.333333333332</v>
      </c>
      <c r="F13" s="45">
        <f t="shared" si="3"/>
        <v>19033.333333333332</v>
      </c>
      <c r="G13" s="45">
        <f t="shared" si="3"/>
        <v>15533.333333333332</v>
      </c>
    </row>
    <row r="14" spans="2:8" ht="15" thickBot="1" x14ac:dyDescent="0.35">
      <c r="B14" s="21" t="s">
        <v>61</v>
      </c>
      <c r="C14" s="46">
        <f>C8+C13</f>
        <v>525802.77166666673</v>
      </c>
      <c r="D14" s="46">
        <f t="shared" ref="D14:G14" si="4">D8+D13</f>
        <v>405462.38</v>
      </c>
      <c r="E14" s="46">
        <f t="shared" si="4"/>
        <v>269708.61333333334</v>
      </c>
      <c r="F14" s="46">
        <f t="shared" si="4"/>
        <v>162475.93666666668</v>
      </c>
      <c r="G14" s="46">
        <f t="shared" si="4"/>
        <v>77761.36</v>
      </c>
    </row>
    <row r="15" spans="2:8" x14ac:dyDescent="0.3">
      <c r="C15" s="35"/>
      <c r="D15" s="35"/>
      <c r="E15" s="35"/>
      <c r="F15" s="35"/>
      <c r="G15" s="35"/>
    </row>
    <row r="16" spans="2:8" x14ac:dyDescent="0.3">
      <c r="B16" s="11" t="s">
        <v>62</v>
      </c>
      <c r="C16" s="35"/>
      <c r="D16" s="35"/>
      <c r="E16" s="35"/>
      <c r="F16" s="35"/>
      <c r="G16" s="35"/>
    </row>
    <row r="17" spans="2:7" x14ac:dyDescent="0.3">
      <c r="B17" s="12" t="s">
        <v>63</v>
      </c>
      <c r="C17" s="35">
        <f>C35*C37</f>
        <v>11429.924999999999</v>
      </c>
      <c r="D17" s="35">
        <f>D35*D37</f>
        <v>8485.125</v>
      </c>
      <c r="E17" s="35">
        <f t="shared" ref="E17:G17" si="5">E35*E37</f>
        <v>4926</v>
      </c>
      <c r="F17" s="35">
        <f t="shared" si="5"/>
        <v>2527.5</v>
      </c>
      <c r="G17" s="35">
        <f t="shared" si="5"/>
        <v>1867.5</v>
      </c>
    </row>
    <row r="18" spans="2:7" x14ac:dyDescent="0.3">
      <c r="B18" s="12" t="s">
        <v>64</v>
      </c>
      <c r="C18" s="35">
        <f>C34*C38</f>
        <v>19435.500000000004</v>
      </c>
      <c r="D18" s="35">
        <f>D34*D38</f>
        <v>12622.5</v>
      </c>
      <c r="E18" s="35">
        <f t="shared" ref="E18:G18" si="6">E34*E38</f>
        <v>4334.88</v>
      </c>
      <c r="F18" s="35">
        <f t="shared" si="6"/>
        <v>3720.48</v>
      </c>
      <c r="G18" s="35">
        <f t="shared" si="6"/>
        <v>2778.84</v>
      </c>
    </row>
    <row r="19" spans="2:7" x14ac:dyDescent="0.3">
      <c r="B19" s="13" t="s">
        <v>65</v>
      </c>
      <c r="C19" s="36">
        <f>SUM(C17:C18)</f>
        <v>30865.425000000003</v>
      </c>
      <c r="D19" s="36">
        <f t="shared" ref="D19:G19" si="7">SUM(D17:D18)</f>
        <v>21107.625</v>
      </c>
      <c r="E19" s="36">
        <f t="shared" si="7"/>
        <v>9260.880000000001</v>
      </c>
      <c r="F19" s="36">
        <f t="shared" si="7"/>
        <v>6247.98</v>
      </c>
      <c r="G19" s="36">
        <f t="shared" si="7"/>
        <v>4646.34</v>
      </c>
    </row>
    <row r="20" spans="2:7" x14ac:dyDescent="0.3">
      <c r="B20" s="11" t="s">
        <v>66</v>
      </c>
      <c r="C20" s="35"/>
      <c r="D20" s="35"/>
      <c r="E20" s="35"/>
      <c r="F20" s="35"/>
      <c r="G20" s="35"/>
    </row>
    <row r="21" spans="2:7" x14ac:dyDescent="0.3">
      <c r="B21" s="12" t="s">
        <v>67</v>
      </c>
      <c r="C21" s="35">
        <f>D21+C41-C42</f>
        <v>60000</v>
      </c>
      <c r="D21" s="35">
        <f>E21+D41-D42</f>
        <v>45000</v>
      </c>
      <c r="E21" s="35">
        <f>F21+E41-E42</f>
        <v>25000</v>
      </c>
      <c r="F21" s="35">
        <f>G21+F41-F42</f>
        <v>12500</v>
      </c>
      <c r="G21" s="35">
        <f>G41-G42</f>
        <v>10000</v>
      </c>
    </row>
    <row r="22" spans="2:7" x14ac:dyDescent="0.3">
      <c r="B22" s="25" t="s">
        <v>68</v>
      </c>
      <c r="C22" s="45">
        <f>C21</f>
        <v>60000</v>
      </c>
      <c r="D22" s="45">
        <f t="shared" ref="D22:G22" si="8">D21</f>
        <v>45000</v>
      </c>
      <c r="E22" s="45">
        <f t="shared" si="8"/>
        <v>25000</v>
      </c>
      <c r="F22" s="45">
        <f t="shared" si="8"/>
        <v>12500</v>
      </c>
      <c r="G22" s="45">
        <f t="shared" si="8"/>
        <v>10000</v>
      </c>
    </row>
    <row r="23" spans="2:7" ht="15" thickBot="1" x14ac:dyDescent="0.35">
      <c r="B23" s="26" t="s">
        <v>69</v>
      </c>
      <c r="C23" s="46">
        <f>C19+C22</f>
        <v>90865.425000000003</v>
      </c>
      <c r="D23" s="46">
        <f t="shared" ref="D23:G23" si="9">D19+D22</f>
        <v>66107.625</v>
      </c>
      <c r="E23" s="46">
        <f t="shared" si="9"/>
        <v>34260.880000000005</v>
      </c>
      <c r="F23" s="46">
        <f t="shared" si="9"/>
        <v>18747.98</v>
      </c>
      <c r="G23" s="46">
        <f t="shared" si="9"/>
        <v>14646.34</v>
      </c>
    </row>
    <row r="24" spans="2:7" x14ac:dyDescent="0.3">
      <c r="B24" s="11" t="s">
        <v>70</v>
      </c>
      <c r="C24" s="35"/>
      <c r="D24" s="35"/>
      <c r="E24" s="35"/>
      <c r="F24" s="35"/>
      <c r="G24" s="35"/>
    </row>
    <row r="25" spans="2:7" x14ac:dyDescent="0.3">
      <c r="B25" s="12" t="s">
        <v>71</v>
      </c>
      <c r="C25" s="35">
        <v>5261</v>
      </c>
      <c r="D25" s="35">
        <v>7385</v>
      </c>
      <c r="E25" s="35">
        <v>7661</v>
      </c>
      <c r="F25" s="35">
        <v>10728</v>
      </c>
      <c r="G25" s="35">
        <v>6469</v>
      </c>
    </row>
    <row r="26" spans="2:7" x14ac:dyDescent="0.3">
      <c r="B26" s="12" t="s">
        <v>72</v>
      </c>
      <c r="C26" s="35">
        <f>D26+'Income Statement'!C27</f>
        <v>429676.37999999995</v>
      </c>
      <c r="D26" s="35">
        <f>E26+'Income Statement'!D27</f>
        <v>331969.45499999996</v>
      </c>
      <c r="E26" s="35">
        <f>F26+'Income Statement'!E27</f>
        <v>227786.58</v>
      </c>
      <c r="F26" s="35">
        <f>G26+'Income Statement'!F27</f>
        <v>133000.10999999999</v>
      </c>
      <c r="G26" s="35">
        <f>H26+'Income Statement'!G27</f>
        <v>56646</v>
      </c>
    </row>
    <row r="27" spans="2:7" x14ac:dyDescent="0.3">
      <c r="B27" s="92" t="s">
        <v>73</v>
      </c>
      <c r="C27" s="93">
        <f>SUM(C25:C26)</f>
        <v>434937.37999999995</v>
      </c>
      <c r="D27" s="93">
        <f t="shared" ref="D27:G27" si="10">SUM(D25:D26)</f>
        <v>339354.45499999996</v>
      </c>
      <c r="E27" s="93">
        <f t="shared" si="10"/>
        <v>235447.58</v>
      </c>
      <c r="F27" s="93">
        <f t="shared" si="10"/>
        <v>143728.10999999999</v>
      </c>
      <c r="G27" s="93">
        <f t="shared" si="10"/>
        <v>63115</v>
      </c>
    </row>
    <row r="28" spans="2:7" ht="15" thickBot="1" x14ac:dyDescent="0.35">
      <c r="B28" s="27" t="s">
        <v>74</v>
      </c>
      <c r="C28" s="37">
        <f>C27+C23</f>
        <v>525802.80499999993</v>
      </c>
      <c r="D28" s="37">
        <f t="shared" ref="D28:G28" si="11">D27+D23</f>
        <v>405462.07999999996</v>
      </c>
      <c r="E28" s="37">
        <f t="shared" si="11"/>
        <v>269708.45999999996</v>
      </c>
      <c r="F28" s="37">
        <f t="shared" si="11"/>
        <v>162476.09</v>
      </c>
      <c r="G28" s="37">
        <f t="shared" si="11"/>
        <v>77761.34</v>
      </c>
    </row>
    <row r="29" spans="2:7" x14ac:dyDescent="0.3">
      <c r="C29" s="35"/>
      <c r="D29" s="35"/>
      <c r="E29" s="35"/>
      <c r="F29" s="35"/>
      <c r="G29" s="35"/>
    </row>
    <row r="30" spans="2:7" x14ac:dyDescent="0.3">
      <c r="B30" s="11" t="s">
        <v>75</v>
      </c>
      <c r="C30" s="38">
        <f>C14-C28</f>
        <v>-3.333333320915699E-2</v>
      </c>
      <c r="D30" s="38">
        <f t="shared" ref="D30:G30" si="12">D14-D28</f>
        <v>0.30000000004656613</v>
      </c>
      <c r="E30" s="38">
        <f t="shared" si="12"/>
        <v>0.15333333337912336</v>
      </c>
      <c r="F30" s="38">
        <f t="shared" si="12"/>
        <v>-0.1533333333209157</v>
      </c>
      <c r="G30" s="38">
        <f t="shared" si="12"/>
        <v>2.0000000004074536E-2</v>
      </c>
    </row>
    <row r="33" spans="2:8" x14ac:dyDescent="0.3">
      <c r="B33" s="55" t="s">
        <v>25</v>
      </c>
      <c r="C33" s="90">
        <f>C4</f>
        <v>44562</v>
      </c>
      <c r="D33" s="90">
        <f t="shared" ref="D33:G33" si="13">D4</f>
        <v>44197</v>
      </c>
      <c r="E33" s="90">
        <f t="shared" si="13"/>
        <v>43831</v>
      </c>
      <c r="F33" s="90">
        <f t="shared" si="13"/>
        <v>43466</v>
      </c>
      <c r="G33" s="90">
        <f t="shared" si="13"/>
        <v>43101</v>
      </c>
      <c r="H33" s="49"/>
    </row>
    <row r="34" spans="2:8" x14ac:dyDescent="0.3">
      <c r="B34" s="56" t="s">
        <v>7</v>
      </c>
      <c r="C34" s="57">
        <f>'Income Statement'!C9</f>
        <v>277650</v>
      </c>
      <c r="D34" s="58">
        <f>'Income Statement'!D9</f>
        <v>252450</v>
      </c>
      <c r="E34" s="57">
        <f>'Income Statement'!E9</f>
        <v>216744</v>
      </c>
      <c r="F34" s="58">
        <f>'Income Statement'!F9</f>
        <v>186024</v>
      </c>
      <c r="G34" s="59">
        <f>'Income Statement'!G9</f>
        <v>138942</v>
      </c>
      <c r="H34" s="50"/>
    </row>
    <row r="35" spans="2:8" x14ac:dyDescent="0.3">
      <c r="B35" s="56" t="s">
        <v>76</v>
      </c>
      <c r="C35" s="57">
        <f>-'Income Statement'!C14</f>
        <v>20052.5</v>
      </c>
      <c r="D35" s="57">
        <f>-'Income Statement'!D14</f>
        <v>15427.5</v>
      </c>
      <c r="E35" s="57">
        <f>-'Income Statement'!E14</f>
        <v>12315</v>
      </c>
      <c r="F35" s="57">
        <f>-'Income Statement'!F14</f>
        <v>10110</v>
      </c>
      <c r="G35" s="59">
        <f>-'Income Statement'!G14</f>
        <v>7470</v>
      </c>
      <c r="H35" s="51"/>
    </row>
    <row r="36" spans="2:8" x14ac:dyDescent="0.3">
      <c r="B36" s="60" t="s">
        <v>81</v>
      </c>
      <c r="C36" s="61">
        <v>0.02</v>
      </c>
      <c r="D36" s="61">
        <v>0.03</v>
      </c>
      <c r="E36" s="61">
        <v>0.04</v>
      </c>
      <c r="F36" s="61">
        <v>0.06</v>
      </c>
      <c r="G36" s="62">
        <v>0.08</v>
      </c>
      <c r="H36" s="51"/>
    </row>
    <row r="37" spans="2:8" x14ac:dyDescent="0.3">
      <c r="B37" s="60" t="s">
        <v>83</v>
      </c>
      <c r="C37" s="61">
        <v>0.56999999999999995</v>
      </c>
      <c r="D37" s="61">
        <v>0.55000000000000004</v>
      </c>
      <c r="E37" s="61">
        <v>0.4</v>
      </c>
      <c r="F37" s="61">
        <v>0.25</v>
      </c>
      <c r="G37" s="62">
        <v>0.25</v>
      </c>
      <c r="H37" s="51"/>
    </row>
    <row r="38" spans="2:8" x14ac:dyDescent="0.3">
      <c r="B38" s="60" t="s">
        <v>82</v>
      </c>
      <c r="C38" s="61">
        <v>7.0000000000000007E-2</v>
      </c>
      <c r="D38" s="61">
        <v>0.05</v>
      </c>
      <c r="E38" s="61">
        <v>0.02</v>
      </c>
      <c r="F38" s="61">
        <v>0.02</v>
      </c>
      <c r="G38" s="62">
        <v>0.02</v>
      </c>
      <c r="H38" s="51"/>
    </row>
    <row r="39" spans="2:8" x14ac:dyDescent="0.3">
      <c r="B39" s="56"/>
      <c r="C39" s="63"/>
      <c r="D39" s="63"/>
      <c r="E39" s="63"/>
      <c r="F39" s="63"/>
      <c r="G39" s="64"/>
      <c r="H39" s="49"/>
    </row>
    <row r="40" spans="2:8" x14ac:dyDescent="0.3">
      <c r="B40" s="56" t="s">
        <v>67</v>
      </c>
      <c r="C40" s="63"/>
      <c r="D40" s="63"/>
      <c r="E40" s="63"/>
      <c r="F40" s="63"/>
      <c r="G40" s="64"/>
      <c r="H40" s="49"/>
    </row>
    <row r="41" spans="2:8" x14ac:dyDescent="0.3">
      <c r="B41" s="60" t="s">
        <v>77</v>
      </c>
      <c r="C41" s="57">
        <v>30000</v>
      </c>
      <c r="D41" s="57">
        <v>30000</v>
      </c>
      <c r="E41" s="57">
        <v>20000</v>
      </c>
      <c r="F41" s="57">
        <v>10000</v>
      </c>
      <c r="G41" s="59">
        <v>15000</v>
      </c>
      <c r="H41" s="52"/>
    </row>
    <row r="42" spans="2:8" x14ac:dyDescent="0.3">
      <c r="B42" s="60" t="s">
        <v>78</v>
      </c>
      <c r="C42" s="58">
        <v>15000</v>
      </c>
      <c r="D42" s="57">
        <v>10000</v>
      </c>
      <c r="E42" s="57">
        <v>7500</v>
      </c>
      <c r="F42" s="57">
        <v>7500</v>
      </c>
      <c r="G42" s="59">
        <v>5000</v>
      </c>
      <c r="H42" s="53"/>
    </row>
    <row r="43" spans="2:8" x14ac:dyDescent="0.3">
      <c r="B43" s="60" t="s">
        <v>79</v>
      </c>
      <c r="C43" s="65">
        <v>0.04</v>
      </c>
      <c r="D43" s="65">
        <v>0.06</v>
      </c>
      <c r="E43" s="65">
        <v>7.0000000000000007E-2</v>
      </c>
      <c r="F43" s="65">
        <v>7.0000000000000007E-2</v>
      </c>
      <c r="G43" s="66">
        <v>0.06</v>
      </c>
      <c r="H43" s="54"/>
    </row>
    <row r="44" spans="2:8" x14ac:dyDescent="0.3">
      <c r="B44" s="67" t="s">
        <v>80</v>
      </c>
      <c r="C44" s="68">
        <f>C21*C43</f>
        <v>2400</v>
      </c>
      <c r="D44" s="68">
        <f t="shared" ref="D44:G44" si="14">D21*D43</f>
        <v>2700</v>
      </c>
      <c r="E44" s="68">
        <f t="shared" si="14"/>
        <v>1750.0000000000002</v>
      </c>
      <c r="F44" s="68">
        <f t="shared" si="14"/>
        <v>875.00000000000011</v>
      </c>
      <c r="G44" s="69">
        <f t="shared" si="14"/>
        <v>600</v>
      </c>
      <c r="H44" s="5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F674-6B00-467B-8C97-855A3A949608}">
  <sheetPr>
    <tabColor rgb="FFFF0000"/>
  </sheetPr>
  <dimension ref="B2:G20"/>
  <sheetViews>
    <sheetView showGridLines="0" workbookViewId="0">
      <selection activeCell="E27" sqref="E27"/>
    </sheetView>
  </sheetViews>
  <sheetFormatPr defaultRowHeight="14.4" x14ac:dyDescent="0.3"/>
  <cols>
    <col min="2" max="2" width="30.6640625" bestFit="1" customWidth="1"/>
    <col min="3" max="5" width="9.21875" bestFit="1" customWidth="1"/>
    <col min="6" max="7" width="9" bestFit="1" customWidth="1"/>
  </cols>
  <sheetData>
    <row r="2" spans="2:7" x14ac:dyDescent="0.3">
      <c r="B2" t="s">
        <v>4</v>
      </c>
    </row>
    <row r="3" spans="2:7" x14ac:dyDescent="0.3">
      <c r="B3" s="9" t="s">
        <v>92</v>
      </c>
      <c r="C3" s="9"/>
      <c r="D3" s="9"/>
      <c r="E3" s="9"/>
      <c r="F3" s="9"/>
      <c r="G3" s="9"/>
    </row>
    <row r="4" spans="2:7" x14ac:dyDescent="0.3">
      <c r="B4" s="10" t="s">
        <v>38</v>
      </c>
      <c r="C4" s="29">
        <v>44562</v>
      </c>
      <c r="D4" s="29">
        <v>44197</v>
      </c>
      <c r="E4" s="29">
        <v>43831</v>
      </c>
      <c r="F4" s="29">
        <v>43466</v>
      </c>
      <c r="G4" s="29">
        <v>43101</v>
      </c>
    </row>
    <row r="5" spans="2:7" x14ac:dyDescent="0.3">
      <c r="B5" s="11" t="s">
        <v>22</v>
      </c>
      <c r="C5" s="38">
        <f>'Income Statement'!C27</f>
        <v>97706.924999999988</v>
      </c>
      <c r="D5" s="38">
        <f>'Income Statement'!D27</f>
        <v>104182.875</v>
      </c>
      <c r="E5" s="38">
        <f>'Income Statement'!E27</f>
        <v>94786.47</v>
      </c>
      <c r="F5" s="38">
        <f>'Income Statement'!F27</f>
        <v>76354.11</v>
      </c>
      <c r="G5" s="38">
        <f>'Income Statement'!G27</f>
        <v>56646</v>
      </c>
    </row>
    <row r="6" spans="2:7" x14ac:dyDescent="0.3">
      <c r="B6" s="11" t="s">
        <v>84</v>
      </c>
      <c r="C6" s="38"/>
      <c r="D6" s="38"/>
      <c r="E6" s="38"/>
      <c r="F6" s="38"/>
      <c r="G6" s="38"/>
    </row>
    <row r="7" spans="2:7" x14ac:dyDescent="0.3">
      <c r="B7" s="12" t="s">
        <v>45</v>
      </c>
      <c r="C7" s="38">
        <f>'Fixed Assets'!D17</f>
        <v>1916.6666666666667</v>
      </c>
      <c r="D7" s="38">
        <f>'Fixed Assets'!E17</f>
        <v>1916.6666666666667</v>
      </c>
      <c r="E7" s="38">
        <f>'Fixed Assets'!F17</f>
        <v>1916.6666666666667</v>
      </c>
      <c r="F7" s="38">
        <f>'Fixed Assets'!G17</f>
        <v>1916.6666666666667</v>
      </c>
      <c r="G7" s="38">
        <f>'Fixed Assets'!H17</f>
        <v>4166.666666666667</v>
      </c>
    </row>
    <row r="8" spans="2:7" x14ac:dyDescent="0.3">
      <c r="B8" s="12" t="s">
        <v>93</v>
      </c>
      <c r="C8" s="38">
        <f>-('Balance Sheet'!D7-'Balance Sheet'!C7)</f>
        <v>-2020.5</v>
      </c>
      <c r="D8" s="38">
        <f>-('Balance Sheet'!E7-'Balance Sheet'!D7)</f>
        <v>-1096.2600000000002</v>
      </c>
      <c r="E8" s="38">
        <f>-('Balance Sheet'!F7-'Balance Sheet'!E7)</f>
        <v>-2491.6799999999985</v>
      </c>
      <c r="F8" s="38">
        <f>-('Balance Sheet'!G7-'Balance Sheet'!F7)</f>
        <v>46.079999999998108</v>
      </c>
      <c r="G8" s="38"/>
    </row>
    <row r="9" spans="2:7" x14ac:dyDescent="0.3">
      <c r="B9" s="12" t="s">
        <v>94</v>
      </c>
      <c r="C9" s="38">
        <f>-('Balance Sheet'!D17-'Balance Sheet'!C17)</f>
        <v>2944.7999999999993</v>
      </c>
      <c r="D9" s="38">
        <f>-('Balance Sheet'!E17-'Balance Sheet'!D17)</f>
        <v>3559.125</v>
      </c>
      <c r="E9" s="38">
        <f>-('Balance Sheet'!F17-'Balance Sheet'!E17)</f>
        <v>2398.5</v>
      </c>
      <c r="F9" s="38">
        <f>-('Balance Sheet'!G17-'Balance Sheet'!F17)</f>
        <v>660</v>
      </c>
      <c r="G9" s="38"/>
    </row>
    <row r="10" spans="2:7" x14ac:dyDescent="0.3">
      <c r="B10" s="12" t="s">
        <v>95</v>
      </c>
      <c r="C10" s="38">
        <f>-('Balance Sheet'!D18-'Balance Sheet'!C18)</f>
        <v>6813.0000000000036</v>
      </c>
      <c r="D10" s="38">
        <f>-('Balance Sheet'!E18-'Balance Sheet'!D18)</f>
        <v>8287.619999999999</v>
      </c>
      <c r="E10" s="38">
        <f>-('Balance Sheet'!F18-'Balance Sheet'!E18)</f>
        <v>614.40000000000009</v>
      </c>
      <c r="F10" s="38">
        <f>-('Balance Sheet'!G18-'Balance Sheet'!F18)</f>
        <v>941.63999999999987</v>
      </c>
      <c r="G10" s="38"/>
    </row>
    <row r="11" spans="2:7" x14ac:dyDescent="0.3">
      <c r="B11" s="13" t="s">
        <v>85</v>
      </c>
      <c r="C11" s="39">
        <f>SUM(C7:C10)</f>
        <v>9653.9666666666708</v>
      </c>
      <c r="D11" s="39">
        <f t="shared" ref="D11:G11" si="0">SUM(D7:D10)</f>
        <v>12667.151666666665</v>
      </c>
      <c r="E11" s="39">
        <f t="shared" si="0"/>
        <v>2437.8866666666681</v>
      </c>
      <c r="F11" s="39">
        <f t="shared" si="0"/>
        <v>3564.386666666665</v>
      </c>
      <c r="G11" s="39">
        <f t="shared" si="0"/>
        <v>4166.666666666667</v>
      </c>
    </row>
    <row r="12" spans="2:7" x14ac:dyDescent="0.3">
      <c r="B12" s="11" t="s">
        <v>86</v>
      </c>
      <c r="C12" s="38"/>
      <c r="D12" s="38"/>
      <c r="E12" s="38"/>
      <c r="F12" s="38"/>
      <c r="G12" s="38"/>
    </row>
    <row r="13" spans="2:7" x14ac:dyDescent="0.3">
      <c r="B13" s="34" t="s">
        <v>43</v>
      </c>
      <c r="C13" s="40">
        <f>('Fixed Assets'!D10)</f>
        <v>8000</v>
      </c>
      <c r="D13" s="40">
        <f>('Fixed Assets'!E10)</f>
        <v>0</v>
      </c>
      <c r="E13" s="40">
        <f>('Fixed Assets'!F10)</f>
        <v>0</v>
      </c>
      <c r="F13" s="40">
        <f>('Fixed Assets'!G10)</f>
        <v>1250</v>
      </c>
      <c r="G13" s="40">
        <f>('Fixed Assets'!H10)</f>
        <v>19700</v>
      </c>
    </row>
    <row r="14" spans="2:7" x14ac:dyDescent="0.3">
      <c r="B14" s="24" t="s">
        <v>87</v>
      </c>
      <c r="C14" s="41">
        <f t="shared" ref="C14:F14" si="1">C13</f>
        <v>8000</v>
      </c>
      <c r="D14" s="41">
        <f t="shared" si="1"/>
        <v>0</v>
      </c>
      <c r="E14" s="41">
        <f t="shared" si="1"/>
        <v>0</v>
      </c>
      <c r="F14" s="41">
        <f t="shared" si="1"/>
        <v>1250</v>
      </c>
      <c r="G14" s="41">
        <f>G13</f>
        <v>19700</v>
      </c>
    </row>
    <row r="15" spans="2:7" x14ac:dyDescent="0.3">
      <c r="B15" s="11" t="s">
        <v>88</v>
      </c>
      <c r="C15" s="38"/>
      <c r="D15" s="38"/>
      <c r="E15" s="38"/>
      <c r="F15" s="38"/>
      <c r="G15" s="38"/>
    </row>
    <row r="16" spans="2:7" x14ac:dyDescent="0.3">
      <c r="B16" s="12" t="s">
        <v>78</v>
      </c>
      <c r="C16" s="38">
        <f>-('Balance Sheet'!C42)</f>
        <v>-15000</v>
      </c>
      <c r="D16" s="38">
        <f>-('Balance Sheet'!D42)</f>
        <v>-10000</v>
      </c>
      <c r="E16" s="38">
        <f>-('Balance Sheet'!E42)</f>
        <v>-7500</v>
      </c>
      <c r="F16" s="38">
        <f>-('Balance Sheet'!F42)</f>
        <v>-7500</v>
      </c>
      <c r="G16" s="38">
        <f>-('Balance Sheet'!G42)</f>
        <v>-5000</v>
      </c>
    </row>
    <row r="17" spans="2:7" x14ac:dyDescent="0.3">
      <c r="B17" s="12" t="s">
        <v>89</v>
      </c>
      <c r="C17" s="38">
        <f>'Balance Sheet'!C41</f>
        <v>30000</v>
      </c>
      <c r="D17" s="38">
        <f>'Balance Sheet'!D41</f>
        <v>30000</v>
      </c>
      <c r="E17" s="38">
        <f>'Balance Sheet'!E41</f>
        <v>20000</v>
      </c>
      <c r="F17" s="38">
        <f>'Balance Sheet'!F41</f>
        <v>10000</v>
      </c>
      <c r="G17" s="38">
        <f>'Balance Sheet'!G41</f>
        <v>15000</v>
      </c>
    </row>
    <row r="18" spans="2:7" x14ac:dyDescent="0.3">
      <c r="B18" s="25" t="s">
        <v>90</v>
      </c>
      <c r="C18" s="42">
        <f t="shared" ref="C18:F18" si="2">SUM(C16:C17)</f>
        <v>15000</v>
      </c>
      <c r="D18" s="42">
        <f t="shared" si="2"/>
        <v>20000</v>
      </c>
      <c r="E18" s="42">
        <f t="shared" si="2"/>
        <v>12500</v>
      </c>
      <c r="F18" s="42">
        <f t="shared" si="2"/>
        <v>2500</v>
      </c>
      <c r="G18" s="42">
        <f>SUM(G16:G17)</f>
        <v>10000</v>
      </c>
    </row>
    <row r="19" spans="2:7" ht="15" thickBot="1" x14ac:dyDescent="0.35">
      <c r="B19" s="21" t="s">
        <v>91</v>
      </c>
      <c r="C19" s="43">
        <f t="shared" ref="C19:F19" si="3">C5+C11-C14+C18</f>
        <v>114360.89166666666</v>
      </c>
      <c r="D19" s="43">
        <f t="shared" si="3"/>
        <v>136850.02666666667</v>
      </c>
      <c r="E19" s="43">
        <f t="shared" si="3"/>
        <v>109724.35666666667</v>
      </c>
      <c r="F19" s="43">
        <f t="shared" si="3"/>
        <v>81168.496666666659</v>
      </c>
      <c r="G19" s="43">
        <f>G5+G11-G14+G18</f>
        <v>51112.666666666664</v>
      </c>
    </row>
    <row r="20" spans="2:7" x14ac:dyDescent="0.3">
      <c r="C20" s="22"/>
      <c r="D20" s="22"/>
      <c r="E20" s="22"/>
      <c r="F20" s="22"/>
      <c r="G20" s="2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3D62-A954-413C-AC49-808F697EC4F0}">
  <dimension ref="B2:H17"/>
  <sheetViews>
    <sheetView showGridLines="0" workbookViewId="0">
      <selection activeCell="D13" sqref="D13"/>
    </sheetView>
  </sheetViews>
  <sheetFormatPr defaultRowHeight="14.4" x14ac:dyDescent="0.3"/>
  <cols>
    <col min="2" max="2" width="26.77734375" bestFit="1" customWidth="1"/>
    <col min="3" max="3" width="14.77734375" bestFit="1" customWidth="1"/>
  </cols>
  <sheetData>
    <row r="2" spans="2:8" x14ac:dyDescent="0.3">
      <c r="B2" t="s">
        <v>4</v>
      </c>
    </row>
    <row r="3" spans="2:8" x14ac:dyDescent="0.3">
      <c r="B3" s="9" t="s">
        <v>41</v>
      </c>
      <c r="C3" s="9"/>
      <c r="D3" s="9"/>
      <c r="E3" s="9"/>
      <c r="F3" s="9"/>
      <c r="G3" s="9"/>
      <c r="H3" s="9"/>
    </row>
    <row r="4" spans="2:8" x14ac:dyDescent="0.3">
      <c r="B4" s="10" t="s">
        <v>38</v>
      </c>
      <c r="C4" s="9" t="s">
        <v>42</v>
      </c>
      <c r="D4" s="30">
        <v>44562</v>
      </c>
      <c r="E4" s="29">
        <v>44197</v>
      </c>
      <c r="F4" s="30">
        <v>43831</v>
      </c>
      <c r="G4" s="29">
        <v>43466</v>
      </c>
      <c r="H4" s="30">
        <v>43101</v>
      </c>
    </row>
    <row r="5" spans="2:8" x14ac:dyDescent="0.3">
      <c r="B5" s="11" t="s">
        <v>43</v>
      </c>
      <c r="D5" s="47"/>
      <c r="E5" s="47"/>
      <c r="F5" s="47"/>
      <c r="G5" s="47"/>
      <c r="H5" s="47"/>
    </row>
    <row r="6" spans="2:8" x14ac:dyDescent="0.3">
      <c r="B6" s="20" t="s">
        <v>47</v>
      </c>
      <c r="C6" s="23">
        <v>4</v>
      </c>
      <c r="D6" s="47">
        <v>5000</v>
      </c>
      <c r="E6" s="47"/>
      <c r="F6" s="47"/>
      <c r="G6" s="47"/>
      <c r="H6" s="47">
        <v>14000</v>
      </c>
    </row>
    <row r="7" spans="2:8" x14ac:dyDescent="0.3">
      <c r="B7" s="20" t="s">
        <v>48</v>
      </c>
      <c r="C7" s="23">
        <v>7</v>
      </c>
      <c r="D7" s="47">
        <v>1750</v>
      </c>
      <c r="E7" s="47"/>
      <c r="F7" s="47"/>
      <c r="G7" s="47"/>
      <c r="H7" s="47">
        <v>5700</v>
      </c>
    </row>
    <row r="8" spans="2:8" x14ac:dyDescent="0.3">
      <c r="B8" s="20" t="s">
        <v>50</v>
      </c>
      <c r="C8" s="23">
        <v>3</v>
      </c>
      <c r="D8" s="47">
        <v>750</v>
      </c>
      <c r="E8" s="47"/>
      <c r="F8" s="47"/>
      <c r="G8" s="47">
        <v>750</v>
      </c>
      <c r="H8" s="47"/>
    </row>
    <row r="9" spans="2:8" x14ac:dyDescent="0.3">
      <c r="B9" s="20" t="s">
        <v>49</v>
      </c>
      <c r="C9" s="23">
        <v>3</v>
      </c>
      <c r="D9" s="47">
        <v>500</v>
      </c>
      <c r="E9" s="47"/>
      <c r="F9" s="47"/>
      <c r="G9" s="47">
        <v>500</v>
      </c>
      <c r="H9" s="47"/>
    </row>
    <row r="10" spans="2:8" ht="15" thickBot="1" x14ac:dyDescent="0.35">
      <c r="B10" s="21" t="s">
        <v>44</v>
      </c>
      <c r="C10" s="21"/>
      <c r="D10" s="48">
        <f>SUM(D6:D9)</f>
        <v>8000</v>
      </c>
      <c r="E10" s="48">
        <f t="shared" ref="E10:H10" si="0">SUM(E6:E9)</f>
        <v>0</v>
      </c>
      <c r="F10" s="48">
        <f t="shared" si="0"/>
        <v>0</v>
      </c>
      <c r="G10" s="48">
        <f t="shared" si="0"/>
        <v>1250</v>
      </c>
      <c r="H10" s="48">
        <f t="shared" si="0"/>
        <v>19700</v>
      </c>
    </row>
    <row r="11" spans="2:8" x14ac:dyDescent="0.3">
      <c r="D11" s="47"/>
      <c r="E11" s="47"/>
      <c r="F11" s="47"/>
      <c r="G11" s="47"/>
      <c r="H11" s="47"/>
    </row>
    <row r="12" spans="2:8" x14ac:dyDescent="0.3">
      <c r="B12" s="1" t="s">
        <v>45</v>
      </c>
      <c r="D12" s="47"/>
      <c r="E12" s="47"/>
      <c r="F12" s="47"/>
      <c r="G12" s="47"/>
      <c r="H12" s="47"/>
    </row>
    <row r="13" spans="2:8" x14ac:dyDescent="0.3">
      <c r="B13" s="12" t="str">
        <f>B6</f>
        <v>Computer Equipment</v>
      </c>
      <c r="D13" s="47">
        <f>D$6/C$6</f>
        <v>1250</v>
      </c>
      <c r="E13" s="47">
        <f>D$6/C$6</f>
        <v>1250</v>
      </c>
      <c r="F13" s="47">
        <f>D$6/C$6</f>
        <v>1250</v>
      </c>
      <c r="G13" s="47">
        <f>D$6/C$6</f>
        <v>1250</v>
      </c>
      <c r="H13" s="47">
        <f>H$6/C$6</f>
        <v>3500</v>
      </c>
    </row>
    <row r="14" spans="2:8" x14ac:dyDescent="0.3">
      <c r="B14" s="12" t="str">
        <f>B7</f>
        <v>Office Furniture</v>
      </c>
      <c r="D14" s="47">
        <f>D$7/C$7</f>
        <v>250</v>
      </c>
      <c r="E14" s="47">
        <f>D$7/C$7</f>
        <v>250</v>
      </c>
      <c r="F14" s="47">
        <f>D$7/C7</f>
        <v>250</v>
      </c>
      <c r="G14" s="47">
        <f>D$7/C$7</f>
        <v>250</v>
      </c>
      <c r="H14" s="47">
        <f>D$7/C$7</f>
        <v>250</v>
      </c>
    </row>
    <row r="15" spans="2:8" x14ac:dyDescent="0.3">
      <c r="B15" s="12" t="str">
        <f>B8</f>
        <v>Copyrights</v>
      </c>
      <c r="D15" s="47">
        <f>D$8/C$8</f>
        <v>250</v>
      </c>
      <c r="E15" s="47">
        <f>D$8/C$8</f>
        <v>250</v>
      </c>
      <c r="F15" s="47">
        <f>D$8/C$8</f>
        <v>250</v>
      </c>
      <c r="G15" s="47">
        <f>G$8/C$8</f>
        <v>250</v>
      </c>
      <c r="H15" s="47">
        <f>G$8/C$8</f>
        <v>250</v>
      </c>
    </row>
    <row r="16" spans="2:8" x14ac:dyDescent="0.3">
      <c r="B16" s="12" t="str">
        <f t="shared" ref="B16" si="1">B9</f>
        <v>Computer Software</v>
      </c>
      <c r="D16" s="47">
        <f>D$9/C$9</f>
        <v>166.66666666666666</v>
      </c>
      <c r="E16" s="47">
        <f>D$9/C$9</f>
        <v>166.66666666666666</v>
      </c>
      <c r="F16" s="47">
        <f>D$9/C$9</f>
        <v>166.66666666666666</v>
      </c>
      <c r="G16" s="47">
        <f>G$9/C$9</f>
        <v>166.66666666666666</v>
      </c>
      <c r="H16" s="47">
        <f>G$9/C$9</f>
        <v>166.66666666666666</v>
      </c>
    </row>
    <row r="17" spans="2:8" ht="15" thickBot="1" x14ac:dyDescent="0.35">
      <c r="B17" s="21" t="s">
        <v>46</v>
      </c>
      <c r="C17" s="21"/>
      <c r="D17" s="48">
        <f>SUM(D13:D16)</f>
        <v>1916.6666666666667</v>
      </c>
      <c r="E17" s="48">
        <f t="shared" ref="E17:H17" si="2">SUM(E13:E16)</f>
        <v>1916.6666666666667</v>
      </c>
      <c r="F17" s="48">
        <f t="shared" si="2"/>
        <v>1916.6666666666667</v>
      </c>
      <c r="G17" s="48">
        <f t="shared" si="2"/>
        <v>1916.6666666666667</v>
      </c>
      <c r="H17" s="48">
        <f t="shared" si="2"/>
        <v>4166.666666666667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Income Statement</vt:lpstr>
      <vt:lpstr>Balance Sheet</vt:lpstr>
      <vt:lpstr>Statement of Cashflows</vt:lpstr>
      <vt:lpstr>Fixed 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Husniyor Suvanov</dc:creator>
  <cp:lastModifiedBy>Husniyor Suvanov</cp:lastModifiedBy>
  <dcterms:created xsi:type="dcterms:W3CDTF">2015-06-05T18:17:20Z</dcterms:created>
  <dcterms:modified xsi:type="dcterms:W3CDTF">2022-05-09T17:56:30Z</dcterms:modified>
</cp:coreProperties>
</file>