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1 - ITC 6 months" sheetId="1" r:id="rId4"/>
    <sheet state="visible" name="Team 2 - 3M" sheetId="2" r:id="rId5"/>
    <sheet state="visible" name="Team 3 - SAMSUNG" sheetId="3" r:id="rId6"/>
    <sheet state="visible" name="Team 4 - BOSCH" sheetId="4" r:id="rId7"/>
    <sheet state="visible" name="Team 5 - Alpha-Beta" sheetId="5" r:id="rId8"/>
    <sheet state="visible" name="Team 6 - BRITANNIA" sheetId="6" r:id="rId9"/>
    <sheet state="visible" name="Team 7 - AMAZON" sheetId="7" r:id="rId10"/>
    <sheet state="visible" name="Team 8 - YESBANK" sheetId="8" r:id="rId11"/>
    <sheet state="visible" name="Team 9 - NFLX" sheetId="9" r:id="rId12"/>
  </sheets>
  <definedNames/>
  <calcPr/>
  <extLst>
    <ext uri="GoogleSheetsCustomDataVersion1">
      <go:sheetsCustomData xmlns:go="http://customooxmlschemas.google.com/" r:id="rId13" roundtripDataSignature="AMtx7miPjVDF6fWCEEQ0j5SValrNWeVW+Q=="/>
    </ext>
  </extLst>
</workbook>
</file>

<file path=xl/sharedStrings.xml><?xml version="1.0" encoding="utf-8"?>
<sst xmlns="http://schemas.openxmlformats.org/spreadsheetml/2006/main" count="205" uniqueCount="181">
  <si>
    <t>Enter Stock Name below:</t>
  </si>
  <si>
    <t>Start Date</t>
  </si>
  <si>
    <t>End Date</t>
  </si>
  <si>
    <t>*Note: Changepct -The percentage change in price since the previous trading day's close</t>
  </si>
  <si>
    <t>ITC</t>
  </si>
  <si>
    <t>Date</t>
  </si>
  <si>
    <t>Price</t>
  </si>
  <si>
    <t>Open</t>
  </si>
  <si>
    <t>High</t>
  </si>
  <si>
    <t>Low</t>
  </si>
  <si>
    <t>Volume</t>
  </si>
  <si>
    <t>changepct(%)</t>
  </si>
  <si>
    <t>35.84M</t>
  </si>
  <si>
    <t>24.58M</t>
  </si>
  <si>
    <t>24.55M</t>
  </si>
  <si>
    <t>53.24M</t>
  </si>
  <si>
    <t>39.01M</t>
  </si>
  <si>
    <t>58.38M</t>
  </si>
  <si>
    <t>25.32M</t>
  </si>
  <si>
    <t>20.14M</t>
  </si>
  <si>
    <t>20.80M</t>
  </si>
  <si>
    <t>14.95M</t>
  </si>
  <si>
    <t>20.02M</t>
  </si>
  <si>
    <t>21.39M</t>
  </si>
  <si>
    <t>18.10M</t>
  </si>
  <si>
    <t>25.31M</t>
  </si>
  <si>
    <t>24.25M</t>
  </si>
  <si>
    <t>65.59M</t>
  </si>
  <si>
    <t>17.71M</t>
  </si>
  <si>
    <t>30.30M</t>
  </si>
  <si>
    <t>42.63M</t>
  </si>
  <si>
    <t>28.12M</t>
  </si>
  <si>
    <t>32.64M</t>
  </si>
  <si>
    <t>58.44M</t>
  </si>
  <si>
    <t>62.51M</t>
  </si>
  <si>
    <t>52.57M</t>
  </si>
  <si>
    <t>51.35M</t>
  </si>
  <si>
    <t>62.00M</t>
  </si>
  <si>
    <t>89.75M</t>
  </si>
  <si>
    <t>50.25M</t>
  </si>
  <si>
    <t>47.66M</t>
  </si>
  <si>
    <t>33.26M</t>
  </si>
  <si>
    <t>61.59M</t>
  </si>
  <si>
    <t>52.04M</t>
  </si>
  <si>
    <t>27.96M</t>
  </si>
  <si>
    <t>21.80M</t>
  </si>
  <si>
    <t>26.76M</t>
  </si>
  <si>
    <t>20.03M</t>
  </si>
  <si>
    <t>27.66M</t>
  </si>
  <si>
    <t>17.95M</t>
  </si>
  <si>
    <t>18.56M</t>
  </si>
  <si>
    <t>41.22M</t>
  </si>
  <si>
    <t>91.50M</t>
  </si>
  <si>
    <t>71.96M</t>
  </si>
  <si>
    <t>75.58M</t>
  </si>
  <si>
    <t>54.65M</t>
  </si>
  <si>
    <t>26.55M</t>
  </si>
  <si>
    <t>31.40M</t>
  </si>
  <si>
    <t>30.53M</t>
  </si>
  <si>
    <t>28.89M</t>
  </si>
  <si>
    <t>24.03M</t>
  </si>
  <si>
    <t>27.64M</t>
  </si>
  <si>
    <t>24.46M</t>
  </si>
  <si>
    <t>22.56M</t>
  </si>
  <si>
    <t>19.85M</t>
  </si>
  <si>
    <t>27.20M</t>
  </si>
  <si>
    <t>39.91M</t>
  </si>
  <si>
    <t>19.56M</t>
  </si>
  <si>
    <t>14.63M</t>
  </si>
  <si>
    <t>22.00M</t>
  </si>
  <si>
    <t>18.98M</t>
  </si>
  <si>
    <t>22.63M</t>
  </si>
  <si>
    <t>28.51M</t>
  </si>
  <si>
    <t>16.65M</t>
  </si>
  <si>
    <t>16.32M</t>
  </si>
  <si>
    <t>14.83M</t>
  </si>
  <si>
    <t>19.29M</t>
  </si>
  <si>
    <t>22.65M</t>
  </si>
  <si>
    <t>60.19M</t>
  </si>
  <si>
    <t>31.49M</t>
  </si>
  <si>
    <t>32.57M</t>
  </si>
  <si>
    <t>28.01M</t>
  </si>
  <si>
    <t>18.92M</t>
  </si>
  <si>
    <t>14.88M</t>
  </si>
  <si>
    <t>22.14M</t>
  </si>
  <si>
    <t>23.78M</t>
  </si>
  <si>
    <t>18.48M</t>
  </si>
  <si>
    <t>20.30M</t>
  </si>
  <si>
    <t>16.19M</t>
  </si>
  <si>
    <t>18.77M</t>
  </si>
  <si>
    <t>21.28M</t>
  </si>
  <si>
    <t>31.28M</t>
  </si>
  <si>
    <t>34.71M</t>
  </si>
  <si>
    <t>37.90M</t>
  </si>
  <si>
    <t>39.32M</t>
  </si>
  <si>
    <t>44.30M</t>
  </si>
  <si>
    <t>18.46M</t>
  </si>
  <si>
    <t>10.39M</t>
  </si>
  <si>
    <t>20.47M</t>
  </si>
  <si>
    <t>14.58M</t>
  </si>
  <si>
    <t>6.84M</t>
  </si>
  <si>
    <t>6.80M</t>
  </si>
  <si>
    <t>6.12M</t>
  </si>
  <si>
    <t>7.65M</t>
  </si>
  <si>
    <t>9.57M</t>
  </si>
  <si>
    <t>8.02M</t>
  </si>
  <si>
    <t>7.39M</t>
  </si>
  <si>
    <t>9.37M</t>
  </si>
  <si>
    <t>5.48M</t>
  </si>
  <si>
    <t>11.84M</t>
  </si>
  <si>
    <t>12.24M</t>
  </si>
  <si>
    <t>9.97M</t>
  </si>
  <si>
    <t>9.45M</t>
  </si>
  <si>
    <t>7.04M</t>
  </si>
  <si>
    <t>8.42M</t>
  </si>
  <si>
    <t>7.64M</t>
  </si>
  <si>
    <t>9.28M</t>
  </si>
  <si>
    <t>8.40M</t>
  </si>
  <si>
    <t>4.21M</t>
  </si>
  <si>
    <t>32.63M</t>
  </si>
  <si>
    <t>17.27M</t>
  </si>
  <si>
    <t>17.87M</t>
  </si>
  <si>
    <t>15.31M</t>
  </si>
  <si>
    <t>16.59M</t>
  </si>
  <si>
    <t>15.59M</t>
  </si>
  <si>
    <t>9.05M</t>
  </si>
  <si>
    <t>20.93M</t>
  </si>
  <si>
    <t>15.56M</t>
  </si>
  <si>
    <t>13.73M</t>
  </si>
  <si>
    <t>9.15M</t>
  </si>
  <si>
    <t>9.93M</t>
  </si>
  <si>
    <t>29.80M</t>
  </si>
  <si>
    <t>9.62M</t>
  </si>
  <si>
    <t>17.13M</t>
  </si>
  <si>
    <t>27.39M</t>
  </si>
  <si>
    <t>21.25M</t>
  </si>
  <si>
    <t>35.77M</t>
  </si>
  <si>
    <t>79.76M</t>
  </si>
  <si>
    <t>42.27M</t>
  </si>
  <si>
    <t>28.75M</t>
  </si>
  <si>
    <t>22.70M</t>
  </si>
  <si>
    <t>21.29M</t>
  </si>
  <si>
    <t>55.14M</t>
  </si>
  <si>
    <t>16.47M</t>
  </si>
  <si>
    <t>20.91M</t>
  </si>
  <si>
    <t>17.89M</t>
  </si>
  <si>
    <t>48.77M</t>
  </si>
  <si>
    <t>17.19M</t>
  </si>
  <si>
    <t>13.27M</t>
  </si>
  <si>
    <t>30.17M</t>
  </si>
  <si>
    <t>21.46M</t>
  </si>
  <si>
    <t>17.80M</t>
  </si>
  <si>
    <t>13.09M</t>
  </si>
  <si>
    <t>18.05M</t>
  </si>
  <si>
    <t>32.97M</t>
  </si>
  <si>
    <t>25.16M</t>
  </si>
  <si>
    <t>23.33M</t>
  </si>
  <si>
    <t>26.67M</t>
  </si>
  <si>
    <t>27.08M</t>
  </si>
  <si>
    <t>49.09M</t>
  </si>
  <si>
    <t>17.74M</t>
  </si>
  <si>
    <t>42.64M</t>
  </si>
  <si>
    <t>37.56M</t>
  </si>
  <si>
    <t>36.12M</t>
  </si>
  <si>
    <t>62.87M</t>
  </si>
  <si>
    <t>18.14M</t>
  </si>
  <si>
    <t>MMM</t>
  </si>
  <si>
    <t>KRX</t>
  </si>
  <si>
    <t>BSE</t>
  </si>
  <si>
    <t>Alpha</t>
  </si>
  <si>
    <t>Beta</t>
  </si>
  <si>
    <t>Alpha Unit Price</t>
  </si>
  <si>
    <t>Beta Unit Price</t>
  </si>
  <si>
    <t>Share A</t>
  </si>
  <si>
    <t>Share B</t>
  </si>
  <si>
    <t>Twitter A</t>
  </si>
  <si>
    <t>Twitter B</t>
  </si>
  <si>
    <t>BRITANNIA</t>
  </si>
  <si>
    <t>AMZN</t>
  </si>
  <si>
    <t>YESBANK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</si>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</sst>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&quot;-&quot;yyyy"/>
    <numFmt numFmtId="165" formatCode="dd/MM/yyyy"/>
    <numFmt numFmtId="166" formatCode="m/d/yyyy h:mm:ss"/>
    <numFmt numFmtId="167" formatCode="mm\-dd\-yyyy"/>
  </numFmts>
  <fonts count="7">
    <font>
      <sz val="10.0"/>
      <color rgb="FF000000"/>
      <name val="Arial"/>
    </font>
    <font>
      <color theme="1"/>
      <name val="Arial"/>
    </font>
    <font>
      <u/>
      <color theme="1"/>
      <name val="Arial"/>
    </font>
    <font>
      <color theme="1"/>
      <name val="-apple-system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165" xfId="0" applyAlignment="1" applyFont="1" applyNumberFormat="1">
      <alignment horizontal="left" shrinkToFit="0" wrapText="0"/>
    </xf>
    <xf borderId="0" fillId="0" fontId="3" numFmtId="0" xfId="0" applyAlignment="1" applyFont="1">
      <alignment horizontal="right" shrinkToFit="0" wrapText="0"/>
    </xf>
    <xf borderId="0" fillId="0" fontId="3" numFmtId="10" xfId="0" applyAlignment="1" applyFont="1" applyNumberFormat="1">
      <alignment horizontal="right" shrinkToFit="0" wrapText="0"/>
    </xf>
    <xf borderId="0" fillId="0" fontId="1" numFmtId="165" xfId="0" applyAlignment="1" applyFont="1" applyNumberFormat="1">
      <alignment horizontal="left" shrinkToFit="0" wrapText="0"/>
    </xf>
    <xf borderId="0" fillId="0" fontId="1" numFmtId="166" xfId="0" applyFont="1" applyNumberFormat="1"/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2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  <c r="F1" s="1" t="s">
        <v>3</v>
      </c>
    </row>
    <row r="2" ht="15.75" customHeight="1">
      <c r="A2" s="1" t="s">
        <v>4</v>
      </c>
      <c r="C2" s="2">
        <v>43831.0</v>
      </c>
      <c r="D2" s="2">
        <v>44073.0</v>
      </c>
    </row>
    <row r="3" ht="15.75" customHeight="1"/>
    <row r="4" ht="15.75" customHeight="1">
      <c r="A4" s="3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5" t="s">
        <v>11</v>
      </c>
    </row>
    <row r="5" ht="15.75" customHeight="1">
      <c r="A5" s="6">
        <v>43980.0</v>
      </c>
      <c r="B5" s="7">
        <v>197.35</v>
      </c>
      <c r="C5" s="7">
        <v>190.45</v>
      </c>
      <c r="D5" s="7">
        <v>198.0</v>
      </c>
      <c r="E5" s="7">
        <v>189.0</v>
      </c>
      <c r="F5" s="7" t="s">
        <v>12</v>
      </c>
      <c r="G5" s="8">
        <v>0.0351</v>
      </c>
    </row>
    <row r="6" ht="15.75" customHeight="1">
      <c r="A6" s="6">
        <v>43979.0</v>
      </c>
      <c r="B6" s="7">
        <v>190.65</v>
      </c>
      <c r="C6" s="7">
        <v>192.3</v>
      </c>
      <c r="D6" s="7">
        <v>192.9</v>
      </c>
      <c r="E6" s="7">
        <v>189.0</v>
      </c>
      <c r="F6" s="7" t="s">
        <v>13</v>
      </c>
      <c r="G6" s="8">
        <v>-0.0078</v>
      </c>
    </row>
    <row r="7" ht="15.75" customHeight="1">
      <c r="A7" s="6">
        <v>43978.0</v>
      </c>
      <c r="B7" s="7">
        <v>192.15</v>
      </c>
      <c r="C7" s="7">
        <v>192.5</v>
      </c>
      <c r="D7" s="7">
        <v>193.9</v>
      </c>
      <c r="E7" s="7">
        <v>186.9</v>
      </c>
      <c r="F7" s="7" t="s">
        <v>14</v>
      </c>
      <c r="G7" s="8">
        <v>0.0023</v>
      </c>
    </row>
    <row r="8" ht="15.75" customHeight="1">
      <c r="A8" s="6">
        <v>43977.0</v>
      </c>
      <c r="B8" s="7">
        <v>191.7</v>
      </c>
      <c r="C8" s="7">
        <v>190.0</v>
      </c>
      <c r="D8" s="7">
        <v>194.95</v>
      </c>
      <c r="E8" s="7">
        <v>187.8</v>
      </c>
      <c r="F8" s="7" t="s">
        <v>15</v>
      </c>
      <c r="G8" s="8">
        <v>0.0287</v>
      </c>
    </row>
    <row r="9" ht="15.75" customHeight="1">
      <c r="A9" s="6">
        <v>43973.0</v>
      </c>
      <c r="B9" s="7">
        <v>186.35</v>
      </c>
      <c r="C9" s="7">
        <v>188.0</v>
      </c>
      <c r="D9" s="7">
        <v>191.9</v>
      </c>
      <c r="E9" s="7">
        <v>184.6</v>
      </c>
      <c r="F9" s="7" t="s">
        <v>16</v>
      </c>
      <c r="G9" s="8">
        <v>-0.0138</v>
      </c>
    </row>
    <row r="10" ht="15.75" customHeight="1">
      <c r="A10" s="6">
        <v>43972.0</v>
      </c>
      <c r="B10" s="7">
        <v>188.95</v>
      </c>
      <c r="C10" s="7">
        <v>175.6</v>
      </c>
      <c r="D10" s="7">
        <v>190.45</v>
      </c>
      <c r="E10" s="7">
        <v>172.65</v>
      </c>
      <c r="F10" s="7" t="s">
        <v>17</v>
      </c>
      <c r="G10" s="8">
        <v>0.0751</v>
      </c>
    </row>
    <row r="11" ht="15.75" customHeight="1">
      <c r="A11" s="6">
        <v>43971.0</v>
      </c>
      <c r="B11" s="7">
        <v>175.75</v>
      </c>
      <c r="C11" s="7">
        <v>171.95</v>
      </c>
      <c r="D11" s="7">
        <v>177.0</v>
      </c>
      <c r="E11" s="7">
        <v>171.0</v>
      </c>
      <c r="F11" s="7" t="s">
        <v>18</v>
      </c>
      <c r="G11" s="8">
        <v>0.0293</v>
      </c>
    </row>
    <row r="12" ht="15.75" customHeight="1">
      <c r="A12" s="6">
        <v>43970.0</v>
      </c>
      <c r="B12" s="7">
        <v>170.75</v>
      </c>
      <c r="C12" s="7">
        <v>166.5</v>
      </c>
      <c r="D12" s="7">
        <v>171.65</v>
      </c>
      <c r="E12" s="7">
        <v>165.1</v>
      </c>
      <c r="F12" s="7" t="s">
        <v>19</v>
      </c>
      <c r="G12" s="8">
        <v>0.0364</v>
      </c>
    </row>
    <row r="13" ht="15.75" customHeight="1">
      <c r="A13" s="6">
        <v>43969.0</v>
      </c>
      <c r="B13" s="7">
        <v>164.75</v>
      </c>
      <c r="C13" s="7">
        <v>166.0</v>
      </c>
      <c r="D13" s="7">
        <v>167.3</v>
      </c>
      <c r="E13" s="7">
        <v>163.15</v>
      </c>
      <c r="F13" s="7" t="s">
        <v>20</v>
      </c>
      <c r="G13" s="8">
        <v>6.0E-4</v>
      </c>
    </row>
    <row r="14" ht="15.75" customHeight="1">
      <c r="A14" s="6">
        <v>43966.0</v>
      </c>
      <c r="B14" s="7">
        <v>164.65</v>
      </c>
      <c r="C14" s="7">
        <v>162.2</v>
      </c>
      <c r="D14" s="7">
        <v>165.5</v>
      </c>
      <c r="E14" s="7">
        <v>161.15</v>
      </c>
      <c r="F14" s="7" t="s">
        <v>21</v>
      </c>
      <c r="G14" s="8">
        <v>0.0052</v>
      </c>
    </row>
    <row r="15" ht="15.75" customHeight="1">
      <c r="A15" s="6">
        <v>43965.0</v>
      </c>
      <c r="B15" s="7">
        <v>163.8</v>
      </c>
      <c r="C15" s="7">
        <v>164.5</v>
      </c>
      <c r="D15" s="7">
        <v>168.25</v>
      </c>
      <c r="E15" s="7">
        <v>161.95</v>
      </c>
      <c r="F15" s="7" t="s">
        <v>21</v>
      </c>
      <c r="G15" s="8">
        <v>-0.0097</v>
      </c>
    </row>
    <row r="16" ht="15.75" customHeight="1">
      <c r="A16" s="6">
        <v>43964.0</v>
      </c>
      <c r="B16" s="7">
        <v>165.4</v>
      </c>
      <c r="C16" s="7">
        <v>173.4</v>
      </c>
      <c r="D16" s="7">
        <v>173.6</v>
      </c>
      <c r="E16" s="7">
        <v>164.5</v>
      </c>
      <c r="F16" s="7" t="s">
        <v>22</v>
      </c>
      <c r="G16" s="8">
        <v>0.0021</v>
      </c>
    </row>
    <row r="17" ht="15.75" customHeight="1">
      <c r="A17" s="6">
        <v>43963.0</v>
      </c>
      <c r="B17" s="7">
        <v>165.05</v>
      </c>
      <c r="C17" s="7">
        <v>158.45</v>
      </c>
      <c r="D17" s="7">
        <v>165.9</v>
      </c>
      <c r="E17" s="7">
        <v>157.5</v>
      </c>
      <c r="F17" s="7" t="s">
        <v>23</v>
      </c>
      <c r="G17" s="8">
        <v>0.0417</v>
      </c>
    </row>
    <row r="18" ht="15.75" customHeight="1">
      <c r="A18" s="6">
        <v>43962.0</v>
      </c>
      <c r="B18" s="7">
        <v>158.45</v>
      </c>
      <c r="C18" s="7">
        <v>160.0</v>
      </c>
      <c r="D18" s="7">
        <v>163.5</v>
      </c>
      <c r="E18" s="7">
        <v>158.0</v>
      </c>
      <c r="F18" s="7" t="s">
        <v>24</v>
      </c>
      <c r="G18" s="8">
        <v>0.0013</v>
      </c>
    </row>
    <row r="19" ht="15.75" customHeight="1">
      <c r="A19" s="6">
        <v>43959.0</v>
      </c>
      <c r="B19" s="7">
        <v>158.25</v>
      </c>
      <c r="C19" s="7">
        <v>163.95</v>
      </c>
      <c r="D19" s="7">
        <v>164.15</v>
      </c>
      <c r="E19" s="7">
        <v>157.1</v>
      </c>
      <c r="F19" s="7" t="s">
        <v>25</v>
      </c>
      <c r="G19" s="8">
        <v>-0.0171</v>
      </c>
    </row>
    <row r="20" ht="15.75" customHeight="1">
      <c r="A20" s="6">
        <v>43958.0</v>
      </c>
      <c r="B20" s="7">
        <v>161.0</v>
      </c>
      <c r="C20" s="7">
        <v>164.0</v>
      </c>
      <c r="D20" s="7">
        <v>165.85</v>
      </c>
      <c r="E20" s="7">
        <v>160.5</v>
      </c>
      <c r="F20" s="7" t="s">
        <v>26</v>
      </c>
      <c r="G20" s="8">
        <v>-0.0177</v>
      </c>
    </row>
    <row r="21" ht="15.75" customHeight="1">
      <c r="A21" s="6">
        <v>43957.0</v>
      </c>
      <c r="B21" s="7">
        <v>163.9</v>
      </c>
      <c r="C21" s="7">
        <v>171.4</v>
      </c>
      <c r="D21" s="7">
        <v>171.4</v>
      </c>
      <c r="E21" s="7">
        <v>160.5</v>
      </c>
      <c r="F21" s="7" t="s">
        <v>27</v>
      </c>
      <c r="G21" s="8">
        <v>-0.0575</v>
      </c>
    </row>
    <row r="22" ht="15.75" customHeight="1">
      <c r="A22" s="6">
        <v>43956.0</v>
      </c>
      <c r="B22" s="7">
        <v>173.9</v>
      </c>
      <c r="C22" s="7">
        <v>175.0</v>
      </c>
      <c r="D22" s="7">
        <v>177.45</v>
      </c>
      <c r="E22" s="7">
        <v>172.0</v>
      </c>
      <c r="F22" s="7" t="s">
        <v>28</v>
      </c>
      <c r="G22" s="8">
        <v>-9.0E-4</v>
      </c>
    </row>
    <row r="23" ht="15.75" customHeight="1">
      <c r="A23" s="6">
        <v>43955.0</v>
      </c>
      <c r="B23" s="7">
        <v>174.05</v>
      </c>
      <c r="C23" s="7">
        <v>181.75</v>
      </c>
      <c r="D23" s="7">
        <v>181.75</v>
      </c>
      <c r="E23" s="7">
        <v>170.65</v>
      </c>
      <c r="F23" s="7" t="s">
        <v>29</v>
      </c>
      <c r="G23" s="8">
        <v>-0.0439</v>
      </c>
    </row>
    <row r="24" ht="15.75" customHeight="1">
      <c r="A24" s="6">
        <v>43921.0</v>
      </c>
      <c r="B24" s="7">
        <v>171.7</v>
      </c>
      <c r="C24" s="7">
        <v>164.0</v>
      </c>
      <c r="D24" s="7">
        <v>173.85</v>
      </c>
      <c r="E24" s="7">
        <v>161.55</v>
      </c>
      <c r="F24" s="7" t="s">
        <v>30</v>
      </c>
      <c r="G24" s="8">
        <v>0.0785</v>
      </c>
    </row>
    <row r="25" ht="15.75" customHeight="1">
      <c r="A25" s="6">
        <v>43920.0</v>
      </c>
      <c r="B25" s="7">
        <v>159.2</v>
      </c>
      <c r="C25" s="7">
        <v>156.05</v>
      </c>
      <c r="D25" s="7">
        <v>164.9</v>
      </c>
      <c r="E25" s="7">
        <v>156.05</v>
      </c>
      <c r="F25" s="7" t="s">
        <v>31</v>
      </c>
      <c r="G25" s="8">
        <v>-0.0245</v>
      </c>
    </row>
    <row r="26" ht="15.75" customHeight="1">
      <c r="A26" s="6">
        <v>43917.0</v>
      </c>
      <c r="B26" s="7">
        <v>163.2</v>
      </c>
      <c r="C26" s="7">
        <v>162.0</v>
      </c>
      <c r="D26" s="7">
        <v>166.0</v>
      </c>
      <c r="E26" s="7">
        <v>155.0</v>
      </c>
      <c r="F26" s="7" t="s">
        <v>32</v>
      </c>
      <c r="G26" s="8">
        <v>0.0435</v>
      </c>
    </row>
    <row r="27" ht="15.75" customHeight="1">
      <c r="A27" s="6">
        <v>43916.0</v>
      </c>
      <c r="B27" s="7">
        <v>156.4</v>
      </c>
      <c r="C27" s="7">
        <v>150.0</v>
      </c>
      <c r="D27" s="7">
        <v>159.4</v>
      </c>
      <c r="E27" s="7">
        <v>143.25</v>
      </c>
      <c r="F27" s="7" t="s">
        <v>33</v>
      </c>
      <c r="G27" s="8">
        <v>0.0614</v>
      </c>
    </row>
    <row r="28" ht="15.75" customHeight="1">
      <c r="A28" s="6">
        <v>43915.0</v>
      </c>
      <c r="B28" s="7">
        <v>147.35</v>
      </c>
      <c r="C28" s="7">
        <v>151.0</v>
      </c>
      <c r="D28" s="7">
        <v>152.0</v>
      </c>
      <c r="E28" s="7">
        <v>139.0</v>
      </c>
      <c r="F28" s="7" t="s">
        <v>34</v>
      </c>
      <c r="G28" s="8">
        <v>-0.0157</v>
      </c>
    </row>
    <row r="29" ht="15.75" customHeight="1">
      <c r="A29" s="6">
        <v>43914.0</v>
      </c>
      <c r="B29" s="7">
        <v>149.7</v>
      </c>
      <c r="C29" s="7">
        <v>162.95</v>
      </c>
      <c r="D29" s="7">
        <v>163.7</v>
      </c>
      <c r="E29" s="7">
        <v>147.4</v>
      </c>
      <c r="F29" s="7" t="s">
        <v>35</v>
      </c>
      <c r="G29" s="8">
        <v>-0.0298</v>
      </c>
    </row>
    <row r="30" ht="15.75" customHeight="1">
      <c r="A30" s="6">
        <v>43913.0</v>
      </c>
      <c r="B30" s="7">
        <v>154.3</v>
      </c>
      <c r="C30" s="7">
        <v>158.0</v>
      </c>
      <c r="D30" s="7">
        <v>162.0</v>
      </c>
      <c r="E30" s="7">
        <v>149.2</v>
      </c>
      <c r="F30" s="7" t="s">
        <v>36</v>
      </c>
      <c r="G30" s="8">
        <v>-0.1208</v>
      </c>
    </row>
    <row r="31" ht="15.75" customHeight="1">
      <c r="A31" s="6">
        <v>43910.0</v>
      </c>
      <c r="B31" s="7">
        <v>175.5</v>
      </c>
      <c r="C31" s="7">
        <v>165.1</v>
      </c>
      <c r="D31" s="7">
        <v>176.5</v>
      </c>
      <c r="E31" s="7">
        <v>165.1</v>
      </c>
      <c r="F31" s="7" t="s">
        <v>37</v>
      </c>
      <c r="G31" s="8">
        <v>0.0843</v>
      </c>
    </row>
    <row r="32" ht="15.75" customHeight="1">
      <c r="A32" s="6">
        <v>43909.0</v>
      </c>
      <c r="B32" s="7">
        <v>161.85</v>
      </c>
      <c r="C32" s="7">
        <v>150.7</v>
      </c>
      <c r="D32" s="7">
        <v>163.55</v>
      </c>
      <c r="E32" s="7">
        <v>144.75</v>
      </c>
      <c r="F32" s="7" t="s">
        <v>38</v>
      </c>
      <c r="G32" s="8">
        <v>0.074</v>
      </c>
    </row>
    <row r="33" ht="15.75" customHeight="1">
      <c r="A33" s="6">
        <v>43908.0</v>
      </c>
      <c r="B33" s="7">
        <v>150.7</v>
      </c>
      <c r="C33" s="7">
        <v>152.1</v>
      </c>
      <c r="D33" s="7">
        <v>154.65</v>
      </c>
      <c r="E33" s="7">
        <v>147.35</v>
      </c>
      <c r="F33" s="7" t="s">
        <v>39</v>
      </c>
      <c r="G33" s="8">
        <v>0.0104</v>
      </c>
    </row>
    <row r="34" ht="15.75" customHeight="1">
      <c r="A34" s="6">
        <v>43907.0</v>
      </c>
      <c r="B34" s="7">
        <v>149.15</v>
      </c>
      <c r="C34" s="7">
        <v>148.0</v>
      </c>
      <c r="D34" s="7">
        <v>155.8</v>
      </c>
      <c r="E34" s="7">
        <v>146.05</v>
      </c>
      <c r="F34" s="7" t="s">
        <v>40</v>
      </c>
      <c r="G34" s="8">
        <v>0.0129</v>
      </c>
    </row>
    <row r="35" ht="15.75" customHeight="1">
      <c r="A35" s="6">
        <v>43906.0</v>
      </c>
      <c r="B35" s="7">
        <v>147.25</v>
      </c>
      <c r="C35" s="7">
        <v>158.0</v>
      </c>
      <c r="D35" s="7">
        <v>158.1</v>
      </c>
      <c r="E35" s="7">
        <v>145.25</v>
      </c>
      <c r="F35" s="7" t="s">
        <v>41</v>
      </c>
      <c r="G35" s="8">
        <v>-0.0924</v>
      </c>
    </row>
    <row r="36" ht="15.75" customHeight="1">
      <c r="A36" s="6">
        <v>43903.0</v>
      </c>
      <c r="B36" s="7">
        <v>162.25</v>
      </c>
      <c r="C36" s="7">
        <v>150.0</v>
      </c>
      <c r="D36" s="7">
        <v>164.0</v>
      </c>
      <c r="E36" s="7">
        <v>134.6</v>
      </c>
      <c r="F36" s="7" t="s">
        <v>42</v>
      </c>
      <c r="G36" s="8">
        <v>0.0414</v>
      </c>
    </row>
    <row r="37" ht="15.75" customHeight="1">
      <c r="A37" s="6">
        <v>43902.0</v>
      </c>
      <c r="B37" s="7">
        <v>155.8</v>
      </c>
      <c r="C37" s="7">
        <v>169.0</v>
      </c>
      <c r="D37" s="7">
        <v>169.15</v>
      </c>
      <c r="E37" s="7">
        <v>150.55</v>
      </c>
      <c r="F37" s="7" t="s">
        <v>43</v>
      </c>
      <c r="G37" s="8">
        <v>-0.113</v>
      </c>
    </row>
    <row r="38" ht="15.75" customHeight="1">
      <c r="A38" s="6">
        <v>43901.0</v>
      </c>
      <c r="B38" s="7">
        <v>175.65</v>
      </c>
      <c r="C38" s="7">
        <v>174.0</v>
      </c>
      <c r="D38" s="7">
        <v>176.75</v>
      </c>
      <c r="E38" s="7">
        <v>172.35</v>
      </c>
      <c r="F38" s="7" t="s">
        <v>44</v>
      </c>
      <c r="G38" s="8">
        <v>-0.0087</v>
      </c>
    </row>
    <row r="39" ht="15.75" customHeight="1">
      <c r="A39" s="6">
        <v>43899.0</v>
      </c>
      <c r="B39" s="7">
        <v>177.2</v>
      </c>
      <c r="C39" s="7">
        <v>179.0</v>
      </c>
      <c r="D39" s="7">
        <v>179.0</v>
      </c>
      <c r="E39" s="7">
        <v>174.5</v>
      </c>
      <c r="F39" s="7" t="s">
        <v>45</v>
      </c>
      <c r="G39" s="8">
        <v>-0.025</v>
      </c>
    </row>
    <row r="40" ht="15.75" customHeight="1">
      <c r="A40" s="6">
        <v>43896.0</v>
      </c>
      <c r="B40" s="7">
        <v>181.75</v>
      </c>
      <c r="C40" s="7">
        <v>184.85</v>
      </c>
      <c r="D40" s="7">
        <v>184.85</v>
      </c>
      <c r="E40" s="7">
        <v>179.75</v>
      </c>
      <c r="F40" s="7" t="s">
        <v>46</v>
      </c>
      <c r="G40" s="8">
        <v>-0.0335</v>
      </c>
    </row>
    <row r="41" ht="15.75" customHeight="1">
      <c r="A41" s="6">
        <v>43895.0</v>
      </c>
      <c r="B41" s="7">
        <v>188.05</v>
      </c>
      <c r="C41" s="7">
        <v>187.55</v>
      </c>
      <c r="D41" s="7">
        <v>191.2</v>
      </c>
      <c r="E41" s="7">
        <v>186.55</v>
      </c>
      <c r="F41" s="7" t="s">
        <v>47</v>
      </c>
      <c r="G41" s="8">
        <v>0.0029</v>
      </c>
    </row>
    <row r="42" ht="15.75" customHeight="1">
      <c r="A42" s="6">
        <v>43894.0</v>
      </c>
      <c r="B42" s="7">
        <v>187.5</v>
      </c>
      <c r="C42" s="7">
        <v>194.95</v>
      </c>
      <c r="D42" s="7">
        <v>195.55</v>
      </c>
      <c r="E42" s="7">
        <v>186.55</v>
      </c>
      <c r="F42" s="7" t="s">
        <v>48</v>
      </c>
      <c r="G42" s="8">
        <v>-0.0328</v>
      </c>
    </row>
    <row r="43" ht="15.75" customHeight="1">
      <c r="A43" s="6">
        <v>43893.0</v>
      </c>
      <c r="B43" s="7">
        <v>193.85</v>
      </c>
      <c r="C43" s="7">
        <v>197.0</v>
      </c>
      <c r="D43" s="7">
        <v>197.45</v>
      </c>
      <c r="E43" s="7">
        <v>192.55</v>
      </c>
      <c r="F43" s="7" t="s">
        <v>49</v>
      </c>
      <c r="G43" s="8">
        <v>-0.0074</v>
      </c>
    </row>
    <row r="44" ht="15.75" customHeight="1">
      <c r="A44" s="6">
        <v>43892.0</v>
      </c>
      <c r="B44" s="7">
        <v>195.3</v>
      </c>
      <c r="C44" s="7">
        <v>199.5</v>
      </c>
      <c r="D44" s="7">
        <v>203.45</v>
      </c>
      <c r="E44" s="7">
        <v>193.65</v>
      </c>
      <c r="F44" s="7" t="s">
        <v>50</v>
      </c>
      <c r="G44" s="8">
        <v>-0.0114</v>
      </c>
    </row>
    <row r="45" ht="15.75" customHeight="1">
      <c r="A45" s="6">
        <v>44012.0</v>
      </c>
      <c r="B45" s="7">
        <v>194.65</v>
      </c>
      <c r="C45" s="7">
        <v>199.4</v>
      </c>
      <c r="D45" s="7">
        <v>199.4</v>
      </c>
      <c r="E45" s="7">
        <v>194.0</v>
      </c>
      <c r="F45" s="7" t="s">
        <v>51</v>
      </c>
      <c r="G45" s="8">
        <v>-0.0132</v>
      </c>
    </row>
    <row r="46" ht="15.75" customHeight="1">
      <c r="A46" s="6">
        <v>44011.0</v>
      </c>
      <c r="B46" s="7">
        <v>197.25</v>
      </c>
      <c r="C46" s="7">
        <v>202.5</v>
      </c>
      <c r="D46" s="7">
        <v>203.0</v>
      </c>
      <c r="E46" s="7">
        <v>196.2</v>
      </c>
      <c r="F46" s="7" t="s">
        <v>52</v>
      </c>
      <c r="G46" s="8">
        <v>0.0105</v>
      </c>
    </row>
    <row r="47" ht="15.75" customHeight="1">
      <c r="A47" s="9">
        <v>44008.0</v>
      </c>
      <c r="B47" s="7">
        <v>195.2</v>
      </c>
      <c r="C47" s="7">
        <v>206.0</v>
      </c>
      <c r="D47" s="7">
        <v>209.4</v>
      </c>
      <c r="E47" s="7">
        <v>193.3</v>
      </c>
      <c r="F47" s="7" t="s">
        <v>53</v>
      </c>
      <c r="G47" s="8">
        <v>-0.0341</v>
      </c>
    </row>
    <row r="48" ht="15.75" customHeight="1">
      <c r="A48" s="6">
        <v>44007.0</v>
      </c>
      <c r="B48" s="7">
        <v>202.1</v>
      </c>
      <c r="C48" s="7">
        <v>192.25</v>
      </c>
      <c r="D48" s="7">
        <v>203.5</v>
      </c>
      <c r="E48" s="7">
        <v>191.65</v>
      </c>
      <c r="F48" s="7" t="s">
        <v>54</v>
      </c>
      <c r="G48" s="8">
        <v>0.0534</v>
      </c>
    </row>
    <row r="49" ht="15.75" customHeight="1">
      <c r="A49" s="6">
        <v>44006.0</v>
      </c>
      <c r="B49" s="7">
        <v>191.85</v>
      </c>
      <c r="C49" s="7">
        <v>187.4</v>
      </c>
      <c r="D49" s="7">
        <v>194.7</v>
      </c>
      <c r="E49" s="7">
        <v>186.15</v>
      </c>
      <c r="F49" s="7" t="s">
        <v>55</v>
      </c>
      <c r="G49" s="8">
        <v>0.0323</v>
      </c>
    </row>
    <row r="50" ht="15.75" customHeight="1">
      <c r="A50" s="6">
        <v>44005.0</v>
      </c>
      <c r="B50" s="7">
        <v>185.85</v>
      </c>
      <c r="C50" s="7">
        <v>185.4</v>
      </c>
      <c r="D50" s="7">
        <v>187.5</v>
      </c>
      <c r="E50" s="7">
        <v>184.75</v>
      </c>
      <c r="F50" s="7" t="s">
        <v>56</v>
      </c>
      <c r="G50" s="8">
        <v>0.0046</v>
      </c>
    </row>
    <row r="51" ht="15.75" customHeight="1">
      <c r="A51" s="6">
        <v>44004.0</v>
      </c>
      <c r="B51" s="7">
        <v>185.0</v>
      </c>
      <c r="C51" s="7">
        <v>186.5</v>
      </c>
      <c r="D51" s="7">
        <v>187.5</v>
      </c>
      <c r="E51" s="7">
        <v>183.15</v>
      </c>
      <c r="F51" s="7" t="s">
        <v>57</v>
      </c>
      <c r="G51" s="8">
        <v>0.0052</v>
      </c>
    </row>
    <row r="52" ht="15.75" customHeight="1">
      <c r="A52" s="6">
        <v>44001.0</v>
      </c>
      <c r="B52" s="7">
        <v>184.05</v>
      </c>
      <c r="C52" s="7">
        <v>187.1</v>
      </c>
      <c r="D52" s="7">
        <v>187.95</v>
      </c>
      <c r="E52" s="7">
        <v>183.6</v>
      </c>
      <c r="F52" s="7" t="s">
        <v>58</v>
      </c>
      <c r="G52" s="8">
        <v>-0.0137</v>
      </c>
    </row>
    <row r="53" ht="15.75" customHeight="1">
      <c r="A53" s="6">
        <v>44000.0</v>
      </c>
      <c r="B53" s="7">
        <v>186.6</v>
      </c>
      <c r="C53" s="7">
        <v>181.2</v>
      </c>
      <c r="D53" s="7">
        <v>187.5</v>
      </c>
      <c r="E53" s="7">
        <v>180.7</v>
      </c>
      <c r="F53" s="7" t="s">
        <v>59</v>
      </c>
      <c r="G53" s="8">
        <v>0.0298</v>
      </c>
    </row>
    <row r="54" ht="15.75" customHeight="1">
      <c r="A54" s="6">
        <v>43999.0</v>
      </c>
      <c r="B54" s="7">
        <v>181.2</v>
      </c>
      <c r="C54" s="7">
        <v>184.0</v>
      </c>
      <c r="D54" s="7">
        <v>185.0</v>
      </c>
      <c r="E54" s="7">
        <v>180.7</v>
      </c>
      <c r="F54" s="7" t="s">
        <v>60</v>
      </c>
      <c r="G54" s="8">
        <v>-0.0205</v>
      </c>
    </row>
    <row r="55" ht="15.75" customHeight="1">
      <c r="A55" s="6">
        <v>43998.0</v>
      </c>
      <c r="B55" s="7">
        <v>185.0</v>
      </c>
      <c r="C55" s="7">
        <v>190.8</v>
      </c>
      <c r="D55" s="7">
        <v>190.95</v>
      </c>
      <c r="E55" s="7">
        <v>181.9</v>
      </c>
      <c r="F55" s="7" t="s">
        <v>61</v>
      </c>
      <c r="G55" s="8">
        <v>-0.0118</v>
      </c>
    </row>
    <row r="56" ht="15.75" customHeight="1">
      <c r="A56" s="6">
        <v>43997.0</v>
      </c>
      <c r="B56" s="7">
        <v>187.2</v>
      </c>
      <c r="C56" s="7">
        <v>193.9</v>
      </c>
      <c r="D56" s="7">
        <v>193.95</v>
      </c>
      <c r="E56" s="7">
        <v>186.3</v>
      </c>
      <c r="F56" s="7" t="s">
        <v>62</v>
      </c>
      <c r="G56" s="8">
        <v>-0.0346</v>
      </c>
    </row>
    <row r="57" ht="15.75" customHeight="1">
      <c r="A57" s="6">
        <v>43994.0</v>
      </c>
      <c r="B57" s="7">
        <v>193.9</v>
      </c>
      <c r="C57" s="7">
        <v>188.95</v>
      </c>
      <c r="D57" s="7">
        <v>195.2</v>
      </c>
      <c r="E57" s="7">
        <v>187.85</v>
      </c>
      <c r="F57" s="7" t="s">
        <v>63</v>
      </c>
      <c r="G57" s="8">
        <v>-0.0018</v>
      </c>
    </row>
    <row r="58" ht="15.75" customHeight="1">
      <c r="A58" s="6">
        <v>43993.0</v>
      </c>
      <c r="B58" s="7">
        <v>194.25</v>
      </c>
      <c r="C58" s="7">
        <v>200.0</v>
      </c>
      <c r="D58" s="7">
        <v>201.25</v>
      </c>
      <c r="E58" s="7">
        <v>193.6</v>
      </c>
      <c r="F58" s="7" t="s">
        <v>64</v>
      </c>
      <c r="G58" s="8">
        <v>-0.0241</v>
      </c>
    </row>
    <row r="59" ht="15.75" customHeight="1">
      <c r="A59" s="6">
        <v>43992.0</v>
      </c>
      <c r="B59" s="7">
        <v>199.05</v>
      </c>
      <c r="C59" s="7">
        <v>199.45</v>
      </c>
      <c r="D59" s="7">
        <v>203.15</v>
      </c>
      <c r="E59" s="7">
        <v>198.3</v>
      </c>
      <c r="F59" s="7" t="s">
        <v>65</v>
      </c>
      <c r="G59" s="8">
        <v>0.0028</v>
      </c>
    </row>
    <row r="60" ht="15.75" customHeight="1">
      <c r="A60" s="6">
        <v>43991.0</v>
      </c>
      <c r="B60" s="7">
        <v>198.5</v>
      </c>
      <c r="C60" s="7">
        <v>198.25</v>
      </c>
      <c r="D60" s="7">
        <v>206.2</v>
      </c>
      <c r="E60" s="7">
        <v>197.65</v>
      </c>
      <c r="F60" s="7" t="s">
        <v>66</v>
      </c>
      <c r="G60" s="8">
        <v>0.0043</v>
      </c>
    </row>
    <row r="61" ht="15.75" customHeight="1">
      <c r="A61" s="6">
        <v>43990.0</v>
      </c>
      <c r="B61" s="7">
        <v>197.65</v>
      </c>
      <c r="C61" s="7">
        <v>202.9</v>
      </c>
      <c r="D61" s="7">
        <v>203.65</v>
      </c>
      <c r="E61" s="7">
        <v>197.0</v>
      </c>
      <c r="F61" s="7" t="s">
        <v>67</v>
      </c>
      <c r="G61" s="8">
        <v>-0.0118</v>
      </c>
    </row>
    <row r="62" ht="15.75" customHeight="1">
      <c r="A62" s="6">
        <v>43987.0</v>
      </c>
      <c r="B62" s="7">
        <v>200.0</v>
      </c>
      <c r="C62" s="7">
        <v>201.8</v>
      </c>
      <c r="D62" s="7">
        <v>202.0</v>
      </c>
      <c r="E62" s="7">
        <v>198.65</v>
      </c>
      <c r="F62" s="7" t="s">
        <v>68</v>
      </c>
      <c r="G62" s="8">
        <v>-7.0E-4</v>
      </c>
    </row>
    <row r="63" ht="15.75" customHeight="1">
      <c r="A63" s="6">
        <v>43986.0</v>
      </c>
      <c r="B63" s="7">
        <v>200.15</v>
      </c>
      <c r="C63" s="7">
        <v>197.75</v>
      </c>
      <c r="D63" s="7">
        <v>202.5</v>
      </c>
      <c r="E63" s="7">
        <v>195.0</v>
      </c>
      <c r="F63" s="7" t="s">
        <v>69</v>
      </c>
      <c r="G63" s="8">
        <v>0.0175</v>
      </c>
    </row>
    <row r="64" ht="15.75" customHeight="1">
      <c r="A64" s="6">
        <v>43985.0</v>
      </c>
      <c r="B64" s="7">
        <v>196.7</v>
      </c>
      <c r="C64" s="7">
        <v>200.0</v>
      </c>
      <c r="D64" s="7">
        <v>200.9</v>
      </c>
      <c r="E64" s="7">
        <v>195.6</v>
      </c>
      <c r="F64" s="7" t="s">
        <v>70</v>
      </c>
      <c r="G64" s="8">
        <v>-0.0028</v>
      </c>
    </row>
    <row r="65" ht="15.75" customHeight="1">
      <c r="A65" s="6">
        <v>43984.0</v>
      </c>
      <c r="B65" s="7">
        <v>197.25</v>
      </c>
      <c r="C65" s="7">
        <v>201.9</v>
      </c>
      <c r="D65" s="7">
        <v>201.9</v>
      </c>
      <c r="E65" s="7">
        <v>196.7</v>
      </c>
      <c r="F65" s="7" t="s">
        <v>71</v>
      </c>
      <c r="G65" s="8">
        <v>-0.0165</v>
      </c>
    </row>
    <row r="66" ht="15.75" customHeight="1">
      <c r="A66" s="6">
        <v>43983.0</v>
      </c>
      <c r="B66" s="7">
        <v>200.55</v>
      </c>
      <c r="C66" s="7">
        <v>201.0</v>
      </c>
      <c r="D66" s="7">
        <v>205.25</v>
      </c>
      <c r="E66" s="7">
        <v>199.0</v>
      </c>
      <c r="F66" s="7" t="s">
        <v>72</v>
      </c>
      <c r="G66" s="8">
        <v>0.0162</v>
      </c>
    </row>
    <row r="67" ht="15.75" customHeight="1">
      <c r="A67" s="6">
        <v>44043.0</v>
      </c>
      <c r="B67" s="7">
        <v>194.15</v>
      </c>
      <c r="C67" s="7">
        <v>193.5</v>
      </c>
      <c r="D67" s="7">
        <v>196.95</v>
      </c>
      <c r="E67" s="7">
        <v>193.5</v>
      </c>
      <c r="F67" s="7" t="s">
        <v>73</v>
      </c>
      <c r="G67" s="8">
        <v>0.0041</v>
      </c>
    </row>
    <row r="68" ht="15.75" customHeight="1">
      <c r="A68" s="6">
        <v>44042.0</v>
      </c>
      <c r="B68" s="7">
        <v>193.35</v>
      </c>
      <c r="C68" s="7">
        <v>198.4</v>
      </c>
      <c r="D68" s="7">
        <v>198.4</v>
      </c>
      <c r="E68" s="7">
        <v>192.5</v>
      </c>
      <c r="F68" s="7" t="s">
        <v>74</v>
      </c>
      <c r="G68" s="8">
        <v>-0.017</v>
      </c>
    </row>
    <row r="69" ht="15.75" customHeight="1">
      <c r="A69" s="6">
        <v>44041.0</v>
      </c>
      <c r="B69" s="7">
        <v>196.7</v>
      </c>
      <c r="C69" s="7">
        <v>193.45</v>
      </c>
      <c r="D69" s="7">
        <v>198.2</v>
      </c>
      <c r="E69" s="7">
        <v>193.4</v>
      </c>
      <c r="F69" s="7" t="s">
        <v>75</v>
      </c>
      <c r="G69" s="8">
        <v>0.0067</v>
      </c>
    </row>
    <row r="70" ht="15.75" customHeight="1">
      <c r="A70" s="6">
        <v>44040.0</v>
      </c>
      <c r="B70" s="7">
        <v>195.4</v>
      </c>
      <c r="C70" s="7">
        <v>197.0</v>
      </c>
      <c r="D70" s="7">
        <v>198.65</v>
      </c>
      <c r="E70" s="7">
        <v>195.05</v>
      </c>
      <c r="F70" s="7" t="s">
        <v>76</v>
      </c>
      <c r="G70" s="8">
        <v>-0.0051</v>
      </c>
    </row>
    <row r="71" ht="15.75" customHeight="1">
      <c r="A71" s="6">
        <v>44039.0</v>
      </c>
      <c r="B71" s="7">
        <v>196.4</v>
      </c>
      <c r="C71" s="7">
        <v>200.5</v>
      </c>
      <c r="D71" s="7">
        <v>200.5</v>
      </c>
      <c r="E71" s="7">
        <v>195.15</v>
      </c>
      <c r="F71" s="7" t="s">
        <v>77</v>
      </c>
      <c r="G71" s="8">
        <v>-0.016</v>
      </c>
    </row>
    <row r="72" ht="15.75" customHeight="1">
      <c r="A72" s="9">
        <v>44036.0</v>
      </c>
      <c r="B72" s="7">
        <v>199.6</v>
      </c>
      <c r="C72" s="7">
        <v>201.0</v>
      </c>
      <c r="D72" s="7">
        <v>201.7</v>
      </c>
      <c r="E72" s="7">
        <v>197.3</v>
      </c>
      <c r="F72" s="7" t="s">
        <v>78</v>
      </c>
      <c r="G72" s="8">
        <v>-0.0055</v>
      </c>
    </row>
    <row r="73" ht="15.75" customHeight="1">
      <c r="A73" s="6">
        <v>44035.0</v>
      </c>
      <c r="B73" s="7">
        <v>200.7</v>
      </c>
      <c r="C73" s="7">
        <v>197.65</v>
      </c>
      <c r="D73" s="7">
        <v>201.5</v>
      </c>
      <c r="E73" s="7">
        <v>196.8</v>
      </c>
      <c r="F73" s="7" t="s">
        <v>79</v>
      </c>
      <c r="G73" s="8">
        <v>0.0211</v>
      </c>
    </row>
    <row r="74" ht="15.75" customHeight="1">
      <c r="A74" s="6">
        <v>44034.0</v>
      </c>
      <c r="B74" s="7">
        <v>196.55</v>
      </c>
      <c r="C74" s="7">
        <v>193.0</v>
      </c>
      <c r="D74" s="7">
        <v>197.9</v>
      </c>
      <c r="E74" s="7">
        <v>192.5</v>
      </c>
      <c r="F74" s="7" t="s">
        <v>80</v>
      </c>
      <c r="G74" s="8">
        <v>0.0224</v>
      </c>
    </row>
    <row r="75" ht="15.75" customHeight="1">
      <c r="A75" s="6">
        <v>44033.0</v>
      </c>
      <c r="B75" s="7">
        <v>192.25</v>
      </c>
      <c r="C75" s="7">
        <v>192.1</v>
      </c>
      <c r="D75" s="7">
        <v>194.2</v>
      </c>
      <c r="E75" s="7">
        <v>191.5</v>
      </c>
      <c r="F75" s="7" t="s">
        <v>81</v>
      </c>
      <c r="G75" s="8">
        <v>-0.0023</v>
      </c>
    </row>
    <row r="76" ht="15.75" customHeight="1">
      <c r="A76" s="6">
        <v>44032.0</v>
      </c>
      <c r="B76" s="7">
        <v>192.7</v>
      </c>
      <c r="C76" s="7">
        <v>195.0</v>
      </c>
      <c r="D76" s="7">
        <v>195.35</v>
      </c>
      <c r="E76" s="7">
        <v>192.35</v>
      </c>
      <c r="F76" s="7" t="s">
        <v>82</v>
      </c>
      <c r="G76" s="8">
        <v>-0.007</v>
      </c>
    </row>
    <row r="77" ht="15.75" customHeight="1">
      <c r="A77" s="6">
        <v>44029.0</v>
      </c>
      <c r="B77" s="7">
        <v>194.05</v>
      </c>
      <c r="C77" s="7">
        <v>193.3</v>
      </c>
      <c r="D77" s="7">
        <v>195.4</v>
      </c>
      <c r="E77" s="7">
        <v>193.0</v>
      </c>
      <c r="F77" s="7" t="s">
        <v>83</v>
      </c>
      <c r="G77" s="8">
        <v>0.001</v>
      </c>
    </row>
    <row r="78" ht="15.75" customHeight="1">
      <c r="A78" s="6">
        <v>44028.0</v>
      </c>
      <c r="B78" s="7">
        <v>193.85</v>
      </c>
      <c r="C78" s="7">
        <v>198.7</v>
      </c>
      <c r="D78" s="7">
        <v>198.85</v>
      </c>
      <c r="E78" s="7">
        <v>192.0</v>
      </c>
      <c r="F78" s="7" t="s">
        <v>84</v>
      </c>
      <c r="G78" s="8">
        <v>-0.0244</v>
      </c>
    </row>
    <row r="79" ht="15.75" customHeight="1">
      <c r="A79" s="6">
        <v>44027.0</v>
      </c>
      <c r="B79" s="7">
        <v>198.7</v>
      </c>
      <c r="C79" s="7">
        <v>196.35</v>
      </c>
      <c r="D79" s="7">
        <v>200.0</v>
      </c>
      <c r="E79" s="7">
        <v>194.5</v>
      </c>
      <c r="F79" s="7" t="s">
        <v>85</v>
      </c>
      <c r="G79" s="8">
        <v>0.0143</v>
      </c>
    </row>
    <row r="80" ht="15.75" customHeight="1">
      <c r="A80" s="6">
        <v>44026.0</v>
      </c>
      <c r="B80" s="7">
        <v>195.9</v>
      </c>
      <c r="C80" s="7">
        <v>197.4</v>
      </c>
      <c r="D80" s="7">
        <v>199.5</v>
      </c>
      <c r="E80" s="7">
        <v>192.75</v>
      </c>
      <c r="F80" s="7" t="s">
        <v>86</v>
      </c>
      <c r="G80" s="8">
        <v>-0.0084</v>
      </c>
    </row>
    <row r="81" ht="15.75" customHeight="1">
      <c r="A81" s="6">
        <v>44025.0</v>
      </c>
      <c r="B81" s="7">
        <v>197.55</v>
      </c>
      <c r="C81" s="7">
        <v>195.9</v>
      </c>
      <c r="D81" s="7">
        <v>198.75</v>
      </c>
      <c r="E81" s="7">
        <v>195.1</v>
      </c>
      <c r="F81" s="7" t="s">
        <v>87</v>
      </c>
      <c r="G81" s="8">
        <v>0.0165</v>
      </c>
    </row>
    <row r="82" ht="15.75" customHeight="1">
      <c r="A82" s="6">
        <v>44022.0</v>
      </c>
      <c r="B82" s="7">
        <v>194.35</v>
      </c>
      <c r="C82" s="7">
        <v>195.15</v>
      </c>
      <c r="D82" s="7">
        <v>196.5</v>
      </c>
      <c r="E82" s="7">
        <v>194.0</v>
      </c>
      <c r="F82" s="7" t="s">
        <v>88</v>
      </c>
      <c r="G82" s="8">
        <v>-0.0056</v>
      </c>
    </row>
    <row r="83" ht="15.75" customHeight="1">
      <c r="A83" s="6">
        <v>44021.0</v>
      </c>
      <c r="B83" s="7">
        <v>195.45</v>
      </c>
      <c r="C83" s="7">
        <v>196.9</v>
      </c>
      <c r="D83" s="7">
        <v>197.0</v>
      </c>
      <c r="E83" s="7">
        <v>194.15</v>
      </c>
      <c r="F83" s="7" t="s">
        <v>89</v>
      </c>
      <c r="G83" s="8">
        <v>-0.0043</v>
      </c>
    </row>
    <row r="84" ht="15.75" customHeight="1">
      <c r="A84" s="6">
        <v>44020.0</v>
      </c>
      <c r="B84" s="7">
        <v>196.3</v>
      </c>
      <c r="C84" s="7">
        <v>194.25</v>
      </c>
      <c r="D84" s="7">
        <v>197.95</v>
      </c>
      <c r="E84" s="7">
        <v>194.25</v>
      </c>
      <c r="F84" s="7" t="s">
        <v>90</v>
      </c>
      <c r="G84" s="8">
        <v>0.0106</v>
      </c>
    </row>
    <row r="85" ht="15.75" customHeight="1">
      <c r="A85" s="6">
        <v>44019.0</v>
      </c>
      <c r="B85" s="7">
        <v>194.25</v>
      </c>
      <c r="C85" s="7">
        <v>200.0</v>
      </c>
      <c r="D85" s="7">
        <v>200.5</v>
      </c>
      <c r="E85" s="7">
        <v>194.0</v>
      </c>
      <c r="F85" s="7" t="s">
        <v>91</v>
      </c>
      <c r="G85" s="8">
        <v>-0.0278</v>
      </c>
    </row>
    <row r="86" ht="15.75" customHeight="1">
      <c r="A86" s="9">
        <v>44018.0</v>
      </c>
      <c r="B86" s="7">
        <v>199.8</v>
      </c>
      <c r="C86" s="7">
        <v>200.35</v>
      </c>
      <c r="D86" s="7">
        <v>201.95</v>
      </c>
      <c r="E86" s="7">
        <v>198.95</v>
      </c>
      <c r="F86" s="7" t="s">
        <v>92</v>
      </c>
      <c r="G86" s="8">
        <v>-0.0373</v>
      </c>
    </row>
    <row r="87" ht="15.75" customHeight="1">
      <c r="A87" s="6">
        <v>44015.0</v>
      </c>
      <c r="B87" s="7">
        <v>207.55</v>
      </c>
      <c r="C87" s="7">
        <v>208.0</v>
      </c>
      <c r="D87" s="7">
        <v>208.5</v>
      </c>
      <c r="E87" s="7">
        <v>206.0</v>
      </c>
      <c r="F87" s="7" t="s">
        <v>93</v>
      </c>
      <c r="G87" s="8">
        <v>0.0083</v>
      </c>
    </row>
    <row r="88" ht="15.75" customHeight="1">
      <c r="A88" s="6">
        <v>44014.0</v>
      </c>
      <c r="B88" s="7">
        <v>205.85</v>
      </c>
      <c r="C88" s="7">
        <v>204.45</v>
      </c>
      <c r="D88" s="7">
        <v>206.75</v>
      </c>
      <c r="E88" s="7">
        <v>202.55</v>
      </c>
      <c r="F88" s="7" t="s">
        <v>94</v>
      </c>
      <c r="G88" s="8">
        <v>0.0145</v>
      </c>
    </row>
    <row r="89" ht="15.75" customHeight="1">
      <c r="A89" s="6">
        <v>44013.0</v>
      </c>
      <c r="B89" s="7">
        <v>202.9</v>
      </c>
      <c r="C89" s="7">
        <v>194.65</v>
      </c>
      <c r="D89" s="7">
        <v>203.85</v>
      </c>
      <c r="E89" s="7">
        <v>194.65</v>
      </c>
      <c r="F89" s="7" t="s">
        <v>95</v>
      </c>
      <c r="G89" s="8">
        <v>0.0424</v>
      </c>
    </row>
    <row r="90" ht="15.75" customHeight="1">
      <c r="A90" s="9">
        <v>43861.0</v>
      </c>
      <c r="B90" s="7">
        <v>235.15</v>
      </c>
      <c r="C90" s="7">
        <v>235.75</v>
      </c>
      <c r="D90" s="7">
        <v>238.4</v>
      </c>
      <c r="E90" s="7">
        <v>234.05</v>
      </c>
      <c r="F90" s="7" t="s">
        <v>96</v>
      </c>
      <c r="G90" s="8">
        <v>0.0047</v>
      </c>
    </row>
    <row r="91" ht="15.75" customHeight="1">
      <c r="A91" s="6">
        <v>43860.0</v>
      </c>
      <c r="B91" s="7">
        <v>234.05</v>
      </c>
      <c r="C91" s="7">
        <v>236.95</v>
      </c>
      <c r="D91" s="7">
        <v>237.0</v>
      </c>
      <c r="E91" s="7">
        <v>233.0</v>
      </c>
      <c r="F91" s="7" t="s">
        <v>97</v>
      </c>
      <c r="G91" s="8">
        <v>-0.011</v>
      </c>
    </row>
    <row r="92" ht="15.75" customHeight="1">
      <c r="A92" s="6">
        <v>43859.0</v>
      </c>
      <c r="B92" s="7">
        <v>236.65</v>
      </c>
      <c r="C92" s="7">
        <v>231.5</v>
      </c>
      <c r="D92" s="7">
        <v>237.65</v>
      </c>
      <c r="E92" s="7">
        <v>231.15</v>
      </c>
      <c r="F92" s="7" t="s">
        <v>98</v>
      </c>
      <c r="G92" s="8">
        <v>0.0256</v>
      </c>
    </row>
    <row r="93" ht="15.75" customHeight="1">
      <c r="A93" s="6">
        <v>43858.0</v>
      </c>
      <c r="B93" s="7">
        <v>230.75</v>
      </c>
      <c r="C93" s="7">
        <v>234.75</v>
      </c>
      <c r="D93" s="7">
        <v>235.9</v>
      </c>
      <c r="E93" s="7">
        <v>230.5</v>
      </c>
      <c r="F93" s="7" t="s">
        <v>99</v>
      </c>
      <c r="G93" s="8">
        <v>-0.0164</v>
      </c>
    </row>
    <row r="94" ht="15.75" customHeight="1">
      <c r="A94" s="6">
        <v>43857.0</v>
      </c>
      <c r="B94" s="7">
        <v>234.6</v>
      </c>
      <c r="C94" s="7">
        <v>237.0</v>
      </c>
      <c r="D94" s="7">
        <v>237.4</v>
      </c>
      <c r="E94" s="7">
        <v>234.3</v>
      </c>
      <c r="F94" s="7" t="s">
        <v>100</v>
      </c>
      <c r="G94" s="8">
        <v>-0.0149</v>
      </c>
    </row>
    <row r="95" ht="15.75" customHeight="1">
      <c r="A95" s="6">
        <v>43854.0</v>
      </c>
      <c r="B95" s="7">
        <v>238.15</v>
      </c>
      <c r="C95" s="7">
        <v>237.4</v>
      </c>
      <c r="D95" s="7">
        <v>239.1</v>
      </c>
      <c r="E95" s="7">
        <v>237.0</v>
      </c>
      <c r="F95" s="7" t="s">
        <v>101</v>
      </c>
      <c r="G95" s="8">
        <v>0.0011</v>
      </c>
    </row>
    <row r="96" ht="15.75" customHeight="1">
      <c r="A96" s="6">
        <v>43853.0</v>
      </c>
      <c r="B96" s="7">
        <v>237.9</v>
      </c>
      <c r="C96" s="7">
        <v>238.1</v>
      </c>
      <c r="D96" s="7">
        <v>238.75</v>
      </c>
      <c r="E96" s="7">
        <v>236.9</v>
      </c>
      <c r="F96" s="7" t="s">
        <v>102</v>
      </c>
      <c r="G96" s="8">
        <v>-6.0E-4</v>
      </c>
    </row>
    <row r="97" ht="15.75" customHeight="1">
      <c r="A97" s="6">
        <v>43852.0</v>
      </c>
      <c r="B97" s="7">
        <v>238.05</v>
      </c>
      <c r="C97" s="7">
        <v>239.6</v>
      </c>
      <c r="D97" s="7">
        <v>239.6</v>
      </c>
      <c r="E97" s="7">
        <v>237.1</v>
      </c>
      <c r="F97" s="7" t="s">
        <v>103</v>
      </c>
      <c r="G97" s="8">
        <v>-0.0017</v>
      </c>
    </row>
    <row r="98" ht="15.75" customHeight="1">
      <c r="A98" s="6">
        <v>43851.0</v>
      </c>
      <c r="B98" s="7">
        <v>238.45</v>
      </c>
      <c r="C98" s="7">
        <v>241.45</v>
      </c>
      <c r="D98" s="7">
        <v>241.45</v>
      </c>
      <c r="E98" s="7">
        <v>238.0</v>
      </c>
      <c r="F98" s="7" t="s">
        <v>104</v>
      </c>
      <c r="G98" s="8">
        <v>-0.0143</v>
      </c>
    </row>
    <row r="99" ht="15.75" customHeight="1">
      <c r="A99" s="6">
        <v>43850.0</v>
      </c>
      <c r="B99" s="7">
        <v>241.9</v>
      </c>
      <c r="C99" s="7">
        <v>240.05</v>
      </c>
      <c r="D99" s="7">
        <v>243.25</v>
      </c>
      <c r="E99" s="7">
        <v>240.05</v>
      </c>
      <c r="F99" s="7" t="s">
        <v>105</v>
      </c>
      <c r="G99" s="8">
        <v>0.0081</v>
      </c>
    </row>
    <row r="100" ht="15.75" customHeight="1">
      <c r="A100" s="6">
        <v>43847.0</v>
      </c>
      <c r="B100" s="7">
        <v>239.95</v>
      </c>
      <c r="C100" s="7">
        <v>240.75</v>
      </c>
      <c r="D100" s="7">
        <v>242.1</v>
      </c>
      <c r="E100" s="7">
        <v>239.4</v>
      </c>
      <c r="F100" s="7" t="s">
        <v>106</v>
      </c>
      <c r="G100" s="8">
        <v>-0.0033</v>
      </c>
    </row>
    <row r="101" ht="15.75" customHeight="1">
      <c r="A101" s="6">
        <v>43846.0</v>
      </c>
      <c r="B101" s="7">
        <v>240.75</v>
      </c>
      <c r="C101" s="7">
        <v>242.5</v>
      </c>
      <c r="D101" s="7">
        <v>243.9</v>
      </c>
      <c r="E101" s="7">
        <v>240.1</v>
      </c>
      <c r="F101" s="7" t="s">
        <v>107</v>
      </c>
      <c r="G101" s="8">
        <v>-0.0068</v>
      </c>
    </row>
    <row r="102" ht="15.75" customHeight="1">
      <c r="A102" s="6">
        <v>43845.0</v>
      </c>
      <c r="B102" s="7">
        <v>242.4</v>
      </c>
      <c r="C102" s="7">
        <v>242.55</v>
      </c>
      <c r="D102" s="7">
        <v>243.0</v>
      </c>
      <c r="E102" s="7">
        <v>241.1</v>
      </c>
      <c r="F102" s="7" t="s">
        <v>108</v>
      </c>
      <c r="G102" s="8">
        <v>-0.0035</v>
      </c>
    </row>
    <row r="103" ht="15.75" customHeight="1">
      <c r="A103" s="6">
        <v>43844.0</v>
      </c>
      <c r="B103" s="7">
        <v>243.25</v>
      </c>
      <c r="C103" s="7">
        <v>240.25</v>
      </c>
      <c r="D103" s="7">
        <v>243.8</v>
      </c>
      <c r="E103" s="7">
        <v>238.3</v>
      </c>
      <c r="F103" s="7" t="s">
        <v>109</v>
      </c>
      <c r="G103" s="8">
        <v>0.0167</v>
      </c>
    </row>
    <row r="104" ht="15.75" customHeight="1">
      <c r="A104" s="6">
        <v>43843.0</v>
      </c>
      <c r="B104" s="7">
        <v>239.25</v>
      </c>
      <c r="C104" s="7">
        <v>238.5</v>
      </c>
      <c r="D104" s="7">
        <v>240.5</v>
      </c>
      <c r="E104" s="7">
        <v>238.25</v>
      </c>
      <c r="F104" s="7" t="s">
        <v>110</v>
      </c>
      <c r="G104" s="8">
        <v>0.0053</v>
      </c>
    </row>
    <row r="105" ht="15.75" customHeight="1">
      <c r="A105" s="6">
        <v>43840.0</v>
      </c>
      <c r="B105" s="7">
        <v>238.0</v>
      </c>
      <c r="C105" s="7">
        <v>237.6</v>
      </c>
      <c r="D105" s="7">
        <v>238.75</v>
      </c>
      <c r="E105" s="7">
        <v>236.8</v>
      </c>
      <c r="F105" s="7" t="s">
        <v>111</v>
      </c>
      <c r="G105" s="8">
        <v>0.0093</v>
      </c>
    </row>
    <row r="106" ht="15.75" customHeight="1">
      <c r="A106" s="6">
        <v>43839.0</v>
      </c>
      <c r="B106" s="7">
        <v>235.8</v>
      </c>
      <c r="C106" s="7">
        <v>235.6</v>
      </c>
      <c r="D106" s="7">
        <v>236.6</v>
      </c>
      <c r="E106" s="7">
        <v>235.05</v>
      </c>
      <c r="F106" s="7" t="s">
        <v>112</v>
      </c>
      <c r="G106" s="8">
        <v>0.0068</v>
      </c>
    </row>
    <row r="107" ht="15.75" customHeight="1">
      <c r="A107" s="6">
        <v>43838.0</v>
      </c>
      <c r="B107" s="7">
        <v>234.2</v>
      </c>
      <c r="C107" s="7">
        <v>234.0</v>
      </c>
      <c r="D107" s="7">
        <v>235.8</v>
      </c>
      <c r="E107" s="7">
        <v>233.25</v>
      </c>
      <c r="F107" s="7" t="s">
        <v>113</v>
      </c>
      <c r="G107" s="8">
        <v>-0.0049</v>
      </c>
    </row>
    <row r="108" ht="15.75" customHeight="1">
      <c r="A108" s="6">
        <v>43837.0</v>
      </c>
      <c r="B108" s="7">
        <v>235.35</v>
      </c>
      <c r="C108" s="7">
        <v>236.05</v>
      </c>
      <c r="D108" s="7">
        <v>237.9</v>
      </c>
      <c r="E108" s="7">
        <v>234.6</v>
      </c>
      <c r="F108" s="7" t="s">
        <v>114</v>
      </c>
      <c r="G108" s="8">
        <v>0.0011</v>
      </c>
    </row>
    <row r="109" ht="15.75" customHeight="1">
      <c r="A109" s="6">
        <v>43836.0</v>
      </c>
      <c r="B109" s="7">
        <v>235.1</v>
      </c>
      <c r="C109" s="7">
        <v>237.5</v>
      </c>
      <c r="D109" s="7">
        <v>238.3</v>
      </c>
      <c r="E109" s="7">
        <v>235.0</v>
      </c>
      <c r="F109" s="7" t="s">
        <v>115</v>
      </c>
      <c r="G109" s="8">
        <v>-0.0143</v>
      </c>
    </row>
    <row r="110" ht="15.75" customHeight="1">
      <c r="A110" s="6">
        <v>43833.0</v>
      </c>
      <c r="B110" s="7">
        <v>238.5</v>
      </c>
      <c r="C110" s="7">
        <v>241.0</v>
      </c>
      <c r="D110" s="7">
        <v>241.0</v>
      </c>
      <c r="E110" s="7">
        <v>238.0</v>
      </c>
      <c r="F110" s="7" t="s">
        <v>116</v>
      </c>
      <c r="G110" s="8">
        <v>-0.0056</v>
      </c>
    </row>
    <row r="111" ht="15.75" customHeight="1">
      <c r="A111" s="6">
        <v>43832.0</v>
      </c>
      <c r="B111" s="7">
        <v>239.85</v>
      </c>
      <c r="C111" s="7">
        <v>238.2</v>
      </c>
      <c r="D111" s="7">
        <v>240.95</v>
      </c>
      <c r="E111" s="7">
        <v>238.1</v>
      </c>
      <c r="F111" s="7" t="s">
        <v>117</v>
      </c>
      <c r="G111" s="8">
        <v>0.0073</v>
      </c>
    </row>
    <row r="112" ht="15.75" customHeight="1">
      <c r="A112" s="6">
        <v>43831.0</v>
      </c>
      <c r="B112" s="7">
        <v>238.1</v>
      </c>
      <c r="C112" s="7">
        <v>238.6</v>
      </c>
      <c r="D112" s="7">
        <v>238.6</v>
      </c>
      <c r="E112" s="7">
        <v>237.1</v>
      </c>
      <c r="F112" s="7" t="s">
        <v>118</v>
      </c>
      <c r="G112" s="8">
        <v>0.0017</v>
      </c>
    </row>
    <row r="113" ht="15.75" customHeight="1">
      <c r="A113" s="6">
        <v>43889.0</v>
      </c>
      <c r="B113" s="7">
        <v>197.55</v>
      </c>
      <c r="C113" s="7">
        <v>195.0</v>
      </c>
      <c r="D113" s="7">
        <v>199.9</v>
      </c>
      <c r="E113" s="7">
        <v>192.05</v>
      </c>
      <c r="F113" s="7" t="s">
        <v>119</v>
      </c>
      <c r="G113" s="8">
        <v>0.0</v>
      </c>
    </row>
    <row r="114" ht="15.75" customHeight="1">
      <c r="A114" s="6">
        <v>43888.0</v>
      </c>
      <c r="B114" s="7">
        <v>197.55</v>
      </c>
      <c r="C114" s="7">
        <v>198.4</v>
      </c>
      <c r="D114" s="7">
        <v>199.15</v>
      </c>
      <c r="E114" s="7">
        <v>195.9</v>
      </c>
      <c r="F114" s="7" t="s">
        <v>120</v>
      </c>
      <c r="G114" s="8">
        <v>-0.0053</v>
      </c>
    </row>
    <row r="115" ht="15.75" customHeight="1">
      <c r="A115" s="6">
        <v>43887.0</v>
      </c>
      <c r="B115" s="7">
        <v>198.6</v>
      </c>
      <c r="C115" s="7">
        <v>200.65</v>
      </c>
      <c r="D115" s="7">
        <v>201.95</v>
      </c>
      <c r="E115" s="7">
        <v>196.3</v>
      </c>
      <c r="F115" s="7" t="s">
        <v>121</v>
      </c>
      <c r="G115" s="8">
        <v>-0.0159</v>
      </c>
    </row>
    <row r="116" ht="15.75" customHeight="1">
      <c r="A116" s="6">
        <v>43886.0</v>
      </c>
      <c r="B116" s="7">
        <v>201.8</v>
      </c>
      <c r="C116" s="7">
        <v>203.8</v>
      </c>
      <c r="D116" s="7">
        <v>205.4</v>
      </c>
      <c r="E116" s="7">
        <v>201.5</v>
      </c>
      <c r="F116" s="7" t="s">
        <v>122</v>
      </c>
      <c r="G116" s="8">
        <v>-0.0059</v>
      </c>
    </row>
    <row r="117" ht="15.75" customHeight="1">
      <c r="A117" s="6">
        <v>43885.0</v>
      </c>
      <c r="B117" s="7">
        <v>203.0</v>
      </c>
      <c r="C117" s="7">
        <v>207.0</v>
      </c>
      <c r="D117" s="7">
        <v>207.45</v>
      </c>
      <c r="E117" s="7">
        <v>201.8</v>
      </c>
      <c r="F117" s="7" t="s">
        <v>123</v>
      </c>
      <c r="G117" s="8">
        <v>-0.0215</v>
      </c>
    </row>
    <row r="118" ht="15.75" customHeight="1">
      <c r="A118" s="6">
        <v>43881.0</v>
      </c>
      <c r="B118" s="7">
        <v>207.45</v>
      </c>
      <c r="C118" s="7">
        <v>207.0</v>
      </c>
      <c r="D118" s="7">
        <v>208.55</v>
      </c>
      <c r="E118" s="7">
        <v>205.45</v>
      </c>
      <c r="F118" s="7" t="s">
        <v>124</v>
      </c>
      <c r="G118" s="8">
        <v>0.0036</v>
      </c>
    </row>
    <row r="119" ht="15.75" customHeight="1">
      <c r="A119" s="6">
        <v>43880.0</v>
      </c>
      <c r="B119" s="7">
        <v>206.7</v>
      </c>
      <c r="C119" s="7">
        <v>205.25</v>
      </c>
      <c r="D119" s="7">
        <v>207.15</v>
      </c>
      <c r="E119" s="7">
        <v>203.85</v>
      </c>
      <c r="F119" s="7" t="s">
        <v>125</v>
      </c>
      <c r="G119" s="8">
        <v>0.014</v>
      </c>
    </row>
    <row r="120" ht="15.75" customHeight="1">
      <c r="A120" s="6">
        <v>43879.0</v>
      </c>
      <c r="B120" s="7">
        <v>203.85</v>
      </c>
      <c r="C120" s="7">
        <v>204.55</v>
      </c>
      <c r="D120" s="7">
        <v>204.6</v>
      </c>
      <c r="E120" s="7">
        <v>200.5</v>
      </c>
      <c r="F120" s="7" t="s">
        <v>126</v>
      </c>
      <c r="G120" s="8">
        <v>-0.0046</v>
      </c>
    </row>
    <row r="121" ht="15.75" customHeight="1">
      <c r="A121" s="6">
        <v>43878.0</v>
      </c>
      <c r="B121" s="7">
        <v>204.8</v>
      </c>
      <c r="C121" s="7">
        <v>208.0</v>
      </c>
      <c r="D121" s="7">
        <v>208.65</v>
      </c>
      <c r="E121" s="7">
        <v>204.0</v>
      </c>
      <c r="F121" s="7" t="s">
        <v>127</v>
      </c>
      <c r="G121" s="8">
        <v>-0.014</v>
      </c>
    </row>
    <row r="122" ht="15.75" customHeight="1">
      <c r="A122" s="6">
        <v>43875.0</v>
      </c>
      <c r="B122" s="7">
        <v>207.7</v>
      </c>
      <c r="C122" s="7">
        <v>212.25</v>
      </c>
      <c r="D122" s="7">
        <v>212.9</v>
      </c>
      <c r="E122" s="7">
        <v>206.8</v>
      </c>
      <c r="F122" s="7" t="s">
        <v>128</v>
      </c>
      <c r="G122" s="8">
        <v>-0.0198</v>
      </c>
    </row>
    <row r="123" ht="15.75" customHeight="1">
      <c r="A123" s="6">
        <v>43874.0</v>
      </c>
      <c r="B123" s="7">
        <v>211.9</v>
      </c>
      <c r="C123" s="7">
        <v>213.05</v>
      </c>
      <c r="D123" s="7">
        <v>213.45</v>
      </c>
      <c r="E123" s="7">
        <v>211.2</v>
      </c>
      <c r="F123" s="7" t="s">
        <v>129</v>
      </c>
      <c r="G123" s="8">
        <v>-0.0054</v>
      </c>
    </row>
    <row r="124" ht="15.75" customHeight="1">
      <c r="A124" s="6">
        <v>43873.0</v>
      </c>
      <c r="B124" s="7">
        <v>213.05</v>
      </c>
      <c r="C124" s="7">
        <v>213.4</v>
      </c>
      <c r="D124" s="7">
        <v>214.8</v>
      </c>
      <c r="E124" s="7">
        <v>211.8</v>
      </c>
      <c r="F124" s="7" t="s">
        <v>130</v>
      </c>
      <c r="G124" s="8">
        <v>0.0021</v>
      </c>
    </row>
    <row r="125" ht="15.75" customHeight="1">
      <c r="A125" s="6">
        <v>43872.0</v>
      </c>
      <c r="B125" s="7">
        <v>212.6</v>
      </c>
      <c r="C125" s="7">
        <v>216.5</v>
      </c>
      <c r="D125" s="7">
        <v>216.95</v>
      </c>
      <c r="E125" s="7">
        <v>211.8</v>
      </c>
      <c r="F125" s="7" t="s">
        <v>131</v>
      </c>
      <c r="G125" s="8">
        <v>0.0097</v>
      </c>
    </row>
    <row r="126" ht="15.75" customHeight="1">
      <c r="A126" s="6">
        <v>43871.0</v>
      </c>
      <c r="B126" s="7">
        <v>210.55</v>
      </c>
      <c r="C126" s="7">
        <v>214.0</v>
      </c>
      <c r="D126" s="7">
        <v>214.05</v>
      </c>
      <c r="E126" s="7">
        <v>210.05</v>
      </c>
      <c r="F126" s="7" t="s">
        <v>132</v>
      </c>
      <c r="G126" s="8">
        <v>-0.0134</v>
      </c>
    </row>
    <row r="127" ht="15.75" customHeight="1">
      <c r="A127" s="6">
        <v>43868.0</v>
      </c>
      <c r="B127" s="7">
        <v>213.4</v>
      </c>
      <c r="C127" s="7">
        <v>213.8</v>
      </c>
      <c r="D127" s="7">
        <v>215.7</v>
      </c>
      <c r="E127" s="7">
        <v>212.75</v>
      </c>
      <c r="F127" s="7" t="s">
        <v>133</v>
      </c>
      <c r="G127" s="8">
        <v>-7.0E-4</v>
      </c>
    </row>
    <row r="128" ht="15.75" customHeight="1">
      <c r="A128" s="6">
        <v>43867.0</v>
      </c>
      <c r="B128" s="7">
        <v>213.55</v>
      </c>
      <c r="C128" s="7">
        <v>218.0</v>
      </c>
      <c r="D128" s="7">
        <v>219.9</v>
      </c>
      <c r="E128" s="7">
        <v>211.8</v>
      </c>
      <c r="F128" s="7" t="s">
        <v>134</v>
      </c>
      <c r="G128" s="8">
        <v>-0.0134</v>
      </c>
    </row>
    <row r="129" ht="15.75" customHeight="1">
      <c r="A129" s="6">
        <v>43866.0</v>
      </c>
      <c r="B129" s="7">
        <v>216.45</v>
      </c>
      <c r="C129" s="7">
        <v>216.3</v>
      </c>
      <c r="D129" s="7">
        <v>217.5</v>
      </c>
      <c r="E129" s="7">
        <v>211.5</v>
      </c>
      <c r="F129" s="7" t="s">
        <v>135</v>
      </c>
      <c r="G129" s="8">
        <v>0.0037</v>
      </c>
    </row>
    <row r="130" ht="15.75" customHeight="1">
      <c r="A130" s="6">
        <v>43865.0</v>
      </c>
      <c r="B130" s="7">
        <v>215.65</v>
      </c>
      <c r="C130" s="7">
        <v>210.8</v>
      </c>
      <c r="D130" s="7">
        <v>217.6</v>
      </c>
      <c r="E130" s="7">
        <v>209.15</v>
      </c>
      <c r="F130" s="7" t="s">
        <v>136</v>
      </c>
      <c r="G130" s="8">
        <v>0.0388</v>
      </c>
    </row>
    <row r="131" ht="15.75" customHeight="1">
      <c r="A131" s="6">
        <v>43864.0</v>
      </c>
      <c r="B131" s="7">
        <v>207.6</v>
      </c>
      <c r="C131" s="7">
        <v>215.0</v>
      </c>
      <c r="D131" s="7">
        <v>216.9</v>
      </c>
      <c r="E131" s="7">
        <v>205.0</v>
      </c>
      <c r="F131" s="7" t="s">
        <v>137</v>
      </c>
      <c r="G131" s="8">
        <v>-0.0521</v>
      </c>
    </row>
    <row r="132" ht="15.75" customHeight="1">
      <c r="A132" s="6">
        <v>43862.0</v>
      </c>
      <c r="B132" s="7">
        <v>219.0</v>
      </c>
      <c r="C132" s="7">
        <v>236.6</v>
      </c>
      <c r="D132" s="7">
        <v>239.1</v>
      </c>
      <c r="E132" s="7">
        <v>215.65</v>
      </c>
      <c r="F132" s="7" t="s">
        <v>138</v>
      </c>
      <c r="G132" s="8">
        <v>-0.0687</v>
      </c>
    </row>
    <row r="133" ht="15.75" customHeight="1">
      <c r="A133" s="6">
        <v>44057.0</v>
      </c>
      <c r="B133" s="7">
        <v>196.4</v>
      </c>
      <c r="C133" s="7">
        <v>201.6</v>
      </c>
      <c r="D133" s="7">
        <v>203.35</v>
      </c>
      <c r="E133" s="7">
        <v>195.5</v>
      </c>
      <c r="F133" s="7" t="s">
        <v>139</v>
      </c>
      <c r="G133" s="8">
        <v>-0.0251</v>
      </c>
    </row>
    <row r="134" ht="15.75" customHeight="1">
      <c r="A134" s="6">
        <v>44056.0</v>
      </c>
      <c r="B134" s="7">
        <v>201.45</v>
      </c>
      <c r="C134" s="7">
        <v>203.5</v>
      </c>
      <c r="D134" s="7">
        <v>204.2</v>
      </c>
      <c r="E134" s="7">
        <v>197.1</v>
      </c>
      <c r="F134" s="7" t="s">
        <v>140</v>
      </c>
      <c r="G134" s="8">
        <v>-0.0135</v>
      </c>
    </row>
    <row r="135" ht="15.75" customHeight="1">
      <c r="A135" s="6">
        <v>44055.0</v>
      </c>
      <c r="B135" s="7">
        <v>204.2</v>
      </c>
      <c r="C135" s="7">
        <v>202.5</v>
      </c>
      <c r="D135" s="7">
        <v>204.9</v>
      </c>
      <c r="E135" s="7">
        <v>200.4</v>
      </c>
      <c r="F135" s="7" t="s">
        <v>141</v>
      </c>
      <c r="G135" s="8">
        <v>0.0057</v>
      </c>
    </row>
    <row r="136" ht="15.75" customHeight="1">
      <c r="A136" s="6">
        <v>44054.0</v>
      </c>
      <c r="B136" s="7">
        <v>203.05</v>
      </c>
      <c r="C136" s="7">
        <v>200.0</v>
      </c>
      <c r="D136" s="7">
        <v>207.7</v>
      </c>
      <c r="E136" s="7">
        <v>200.0</v>
      </c>
      <c r="F136" s="7" t="s">
        <v>142</v>
      </c>
      <c r="G136" s="8">
        <v>0.0211</v>
      </c>
    </row>
    <row r="137" ht="15.75" customHeight="1">
      <c r="A137" s="6">
        <v>44053.0</v>
      </c>
      <c r="B137" s="7">
        <v>198.85</v>
      </c>
      <c r="C137" s="7">
        <v>196.4</v>
      </c>
      <c r="D137" s="7">
        <v>199.65</v>
      </c>
      <c r="E137" s="7">
        <v>196.4</v>
      </c>
      <c r="F137" s="7" t="s">
        <v>143</v>
      </c>
      <c r="G137" s="8">
        <v>0.0143</v>
      </c>
    </row>
    <row r="138" ht="15.75" customHeight="1">
      <c r="A138" s="6">
        <v>44050.0</v>
      </c>
      <c r="B138" s="7">
        <v>196.05</v>
      </c>
      <c r="C138" s="7">
        <v>195.5</v>
      </c>
      <c r="D138" s="7">
        <v>197.0</v>
      </c>
      <c r="E138" s="7">
        <v>194.15</v>
      </c>
      <c r="F138" s="7" t="s">
        <v>144</v>
      </c>
      <c r="G138" s="8">
        <v>0.0036</v>
      </c>
    </row>
    <row r="139" ht="15.75" customHeight="1">
      <c r="A139" s="6">
        <v>44049.0</v>
      </c>
      <c r="B139" s="7">
        <v>195.35</v>
      </c>
      <c r="C139" s="7">
        <v>194.2</v>
      </c>
      <c r="D139" s="7">
        <v>195.6</v>
      </c>
      <c r="E139" s="7">
        <v>193.1</v>
      </c>
      <c r="F139" s="7" t="s">
        <v>145</v>
      </c>
      <c r="G139" s="8">
        <v>0.0132</v>
      </c>
    </row>
    <row r="140" ht="15.75" customHeight="1">
      <c r="A140" s="6">
        <v>44048.0</v>
      </c>
      <c r="B140" s="7">
        <v>192.8</v>
      </c>
      <c r="C140" s="7">
        <v>194.5</v>
      </c>
      <c r="D140" s="7">
        <v>194.6</v>
      </c>
      <c r="E140" s="7">
        <v>191.7</v>
      </c>
      <c r="F140" s="7" t="s">
        <v>146</v>
      </c>
      <c r="G140" s="8">
        <v>-0.0044</v>
      </c>
    </row>
    <row r="141" ht="15.75" customHeight="1">
      <c r="A141" s="6">
        <v>44047.0</v>
      </c>
      <c r="B141" s="7">
        <v>193.65</v>
      </c>
      <c r="C141" s="7">
        <v>192.6</v>
      </c>
      <c r="D141" s="7">
        <v>195.8</v>
      </c>
      <c r="E141" s="7">
        <v>192.6</v>
      </c>
      <c r="F141" s="7" t="s">
        <v>147</v>
      </c>
      <c r="G141" s="8">
        <v>0.0055</v>
      </c>
    </row>
    <row r="142" ht="15.75" customHeight="1">
      <c r="A142" s="6">
        <v>44046.0</v>
      </c>
      <c r="B142" s="7">
        <v>192.6</v>
      </c>
      <c r="C142" s="7">
        <v>194.0</v>
      </c>
      <c r="D142" s="7">
        <v>194.0</v>
      </c>
      <c r="E142" s="7">
        <v>191.9</v>
      </c>
      <c r="F142" s="7" t="s">
        <v>148</v>
      </c>
      <c r="G142" s="8">
        <v>-0.008</v>
      </c>
    </row>
    <row r="143" ht="15.75" customHeight="1">
      <c r="A143" s="6">
        <v>43951.0</v>
      </c>
      <c r="B143" s="7">
        <v>182.05</v>
      </c>
      <c r="C143" s="7">
        <v>184.9</v>
      </c>
      <c r="D143" s="7">
        <v>184.9</v>
      </c>
      <c r="E143" s="7">
        <v>180.45</v>
      </c>
      <c r="F143" s="7" t="s">
        <v>149</v>
      </c>
      <c r="G143" s="8">
        <v>-5.0E-4</v>
      </c>
    </row>
    <row r="144" ht="15.75" customHeight="1">
      <c r="A144" s="6">
        <v>43950.0</v>
      </c>
      <c r="B144" s="7">
        <v>182.15</v>
      </c>
      <c r="C144" s="7">
        <v>180.5</v>
      </c>
      <c r="D144" s="7">
        <v>182.9</v>
      </c>
      <c r="E144" s="7">
        <v>179.65</v>
      </c>
      <c r="F144" s="7" t="s">
        <v>150</v>
      </c>
      <c r="G144" s="8">
        <v>0.015</v>
      </c>
    </row>
    <row r="145" ht="15.75" customHeight="1">
      <c r="A145" s="6">
        <v>43949.0</v>
      </c>
      <c r="B145" s="7">
        <v>179.45</v>
      </c>
      <c r="C145" s="7">
        <v>180.0</v>
      </c>
      <c r="D145" s="7">
        <v>180.8</v>
      </c>
      <c r="E145" s="7">
        <v>178.05</v>
      </c>
      <c r="F145" s="7" t="s">
        <v>151</v>
      </c>
      <c r="G145" s="8">
        <v>-0.0022</v>
      </c>
    </row>
    <row r="146" ht="15.75" customHeight="1">
      <c r="A146" s="6">
        <v>43948.0</v>
      </c>
      <c r="B146" s="7">
        <v>179.85</v>
      </c>
      <c r="C146" s="7">
        <v>180.25</v>
      </c>
      <c r="D146" s="7">
        <v>182.3</v>
      </c>
      <c r="E146" s="7">
        <v>179.3</v>
      </c>
      <c r="F146" s="7" t="s">
        <v>152</v>
      </c>
      <c r="G146" s="8">
        <v>-0.0011</v>
      </c>
    </row>
    <row r="147" ht="15.75" customHeight="1">
      <c r="A147" s="6">
        <v>43945.0</v>
      </c>
      <c r="B147" s="7">
        <v>180.05</v>
      </c>
      <c r="C147" s="7">
        <v>181.0</v>
      </c>
      <c r="D147" s="7">
        <v>182.8</v>
      </c>
      <c r="E147" s="7">
        <v>179.3</v>
      </c>
      <c r="F147" s="7" t="s">
        <v>153</v>
      </c>
      <c r="G147" s="8">
        <v>-0.0028</v>
      </c>
    </row>
    <row r="148" ht="15.75" customHeight="1">
      <c r="A148" s="6">
        <v>43944.0</v>
      </c>
      <c r="B148" s="7">
        <v>180.55</v>
      </c>
      <c r="C148" s="7">
        <v>182.95</v>
      </c>
      <c r="D148" s="7">
        <v>184.0</v>
      </c>
      <c r="E148" s="7">
        <v>179.65</v>
      </c>
      <c r="F148" s="7" t="s">
        <v>154</v>
      </c>
      <c r="G148" s="8">
        <v>-0.0093</v>
      </c>
    </row>
    <row r="149" ht="15.75" customHeight="1">
      <c r="A149" s="6">
        <v>43943.0</v>
      </c>
      <c r="B149" s="7">
        <v>182.25</v>
      </c>
      <c r="C149" s="7">
        <v>179.0</v>
      </c>
      <c r="D149" s="7">
        <v>183.55</v>
      </c>
      <c r="E149" s="7">
        <v>176.0</v>
      </c>
      <c r="F149" s="7" t="s">
        <v>155</v>
      </c>
      <c r="G149" s="8">
        <v>0.0148</v>
      </c>
    </row>
    <row r="150" ht="15.75" customHeight="1">
      <c r="A150" s="6">
        <v>43942.0</v>
      </c>
      <c r="B150" s="7">
        <v>179.6</v>
      </c>
      <c r="C150" s="7">
        <v>178.0</v>
      </c>
      <c r="D150" s="7">
        <v>184.3</v>
      </c>
      <c r="E150" s="7">
        <v>176.05</v>
      </c>
      <c r="F150" s="7" t="s">
        <v>156</v>
      </c>
      <c r="G150" s="8">
        <v>-0.0061</v>
      </c>
    </row>
    <row r="151" ht="15.75" customHeight="1">
      <c r="A151" s="6">
        <v>43941.0</v>
      </c>
      <c r="B151" s="7">
        <v>180.7</v>
      </c>
      <c r="C151" s="7">
        <v>189.95</v>
      </c>
      <c r="D151" s="7">
        <v>189.95</v>
      </c>
      <c r="E151" s="7">
        <v>179.5</v>
      </c>
      <c r="F151" s="7" t="s">
        <v>136</v>
      </c>
      <c r="G151" s="8">
        <v>-0.0393</v>
      </c>
    </row>
    <row r="152" ht="15.75" customHeight="1">
      <c r="A152" s="6">
        <v>43938.0</v>
      </c>
      <c r="B152" s="7">
        <v>188.1</v>
      </c>
      <c r="C152" s="7">
        <v>190.45</v>
      </c>
      <c r="D152" s="7">
        <v>191.4</v>
      </c>
      <c r="E152" s="7">
        <v>186.95</v>
      </c>
      <c r="F152" s="7" t="s">
        <v>157</v>
      </c>
      <c r="G152" s="8">
        <v>0.0094</v>
      </c>
    </row>
    <row r="153" ht="15.75" customHeight="1">
      <c r="A153" s="6">
        <v>43937.0</v>
      </c>
      <c r="B153" s="7">
        <v>186.35</v>
      </c>
      <c r="C153" s="7">
        <v>189.65</v>
      </c>
      <c r="D153" s="7">
        <v>191.2</v>
      </c>
      <c r="E153" s="7">
        <v>185.45</v>
      </c>
      <c r="F153" s="7" t="s">
        <v>158</v>
      </c>
      <c r="G153" s="8">
        <v>-0.0158</v>
      </c>
    </row>
    <row r="154" ht="15.75" customHeight="1">
      <c r="A154" s="6">
        <v>43936.0</v>
      </c>
      <c r="B154" s="7">
        <v>189.35</v>
      </c>
      <c r="C154" s="7">
        <v>184.05</v>
      </c>
      <c r="D154" s="7">
        <v>193.75</v>
      </c>
      <c r="E154" s="7">
        <v>182.7</v>
      </c>
      <c r="F154" s="7" t="s">
        <v>159</v>
      </c>
      <c r="G154" s="8">
        <v>0.0427</v>
      </c>
    </row>
    <row r="155" ht="15.75" customHeight="1">
      <c r="A155" s="6">
        <v>43934.0</v>
      </c>
      <c r="B155" s="7">
        <v>181.6</v>
      </c>
      <c r="C155" s="7">
        <v>184.5</v>
      </c>
      <c r="D155" s="7">
        <v>186.65</v>
      </c>
      <c r="E155" s="7">
        <v>181.05</v>
      </c>
      <c r="F155" s="7" t="s">
        <v>160</v>
      </c>
      <c r="G155" s="8">
        <v>-0.0197</v>
      </c>
    </row>
    <row r="156" ht="15.75" customHeight="1">
      <c r="A156" s="6">
        <v>43930.0</v>
      </c>
      <c r="B156" s="7">
        <v>185.25</v>
      </c>
      <c r="C156" s="7">
        <v>184.0</v>
      </c>
      <c r="D156" s="7">
        <v>186.25</v>
      </c>
      <c r="E156" s="7">
        <v>180.0</v>
      </c>
      <c r="F156" s="7" t="s">
        <v>161</v>
      </c>
      <c r="G156" s="8">
        <v>0.0369</v>
      </c>
    </row>
    <row r="157" ht="15.75" customHeight="1">
      <c r="A157" s="6">
        <v>43929.0</v>
      </c>
      <c r="B157" s="7">
        <v>178.65</v>
      </c>
      <c r="C157" s="7">
        <v>180.85</v>
      </c>
      <c r="D157" s="7">
        <v>184.0</v>
      </c>
      <c r="E157" s="7">
        <v>176.65</v>
      </c>
      <c r="F157" s="7" t="s">
        <v>162</v>
      </c>
      <c r="G157" s="8">
        <v>-0.016</v>
      </c>
    </row>
    <row r="158" ht="15.75" customHeight="1">
      <c r="A158" s="6">
        <v>43928.0</v>
      </c>
      <c r="B158" s="7">
        <v>181.55</v>
      </c>
      <c r="C158" s="7">
        <v>185.7</v>
      </c>
      <c r="D158" s="7">
        <v>185.7</v>
      </c>
      <c r="E158" s="7">
        <v>173.65</v>
      </c>
      <c r="F158" s="7" t="s">
        <v>163</v>
      </c>
      <c r="G158" s="8">
        <v>0.0205</v>
      </c>
    </row>
    <row r="159" ht="15.75" customHeight="1">
      <c r="A159" s="6">
        <v>43924.0</v>
      </c>
      <c r="B159" s="7">
        <v>177.9</v>
      </c>
      <c r="C159" s="7">
        <v>167.9</v>
      </c>
      <c r="D159" s="7">
        <v>182.75</v>
      </c>
      <c r="E159" s="7">
        <v>167.0</v>
      </c>
      <c r="F159" s="7" t="s">
        <v>164</v>
      </c>
      <c r="G159" s="8">
        <v>0.0691</v>
      </c>
    </row>
    <row r="160" ht="15.75" customHeight="1">
      <c r="A160" s="6">
        <v>43922.0</v>
      </c>
      <c r="B160" s="7">
        <v>166.4</v>
      </c>
      <c r="C160" s="7">
        <v>171.7</v>
      </c>
      <c r="D160" s="7">
        <v>172.75</v>
      </c>
      <c r="E160" s="7">
        <v>164.55</v>
      </c>
      <c r="F160" s="7" t="s">
        <v>165</v>
      </c>
      <c r="G160" s="8">
        <v>-0.0309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" t="s">
        <v>166</v>
      </c>
      <c r="C2" s="2">
        <v>43831.0</v>
      </c>
      <c r="D2" s="2">
        <v>44059.0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IFERROR(__xludf.DUMMYFUNCTION("""COMPUTED_VALUE"""),43832.66666666667)</f>
        <v>43832.66667</v>
      </c>
      <c r="B6" s="1">
        <f>IFERROR(__xludf.DUMMYFUNCTION("""COMPUTED_VALUE"""),177.68)</f>
        <v>177.68</v>
      </c>
      <c r="C6" s="1">
        <f>IFERROR(__xludf.DUMMYFUNCTION("""COMPUTED_VALUE"""),180.01)</f>
        <v>180.01</v>
      </c>
      <c r="D6" s="1">
        <f>IFERROR(__xludf.DUMMYFUNCTION("""COMPUTED_VALUE"""),177.14)</f>
        <v>177.14</v>
      </c>
      <c r="E6" s="1">
        <f>IFERROR(__xludf.DUMMYFUNCTION("""COMPUTED_VALUE"""),180.0)</f>
        <v>180</v>
      </c>
      <c r="F6" s="1">
        <f>IFERROR(__xludf.DUMMYFUNCTION("""COMPUTED_VALUE"""),3448335.0)</f>
        <v>3448335</v>
      </c>
    </row>
    <row r="7" ht="15.75" customHeight="1">
      <c r="A7" s="10">
        <f>IFERROR(__xludf.DUMMYFUNCTION("""COMPUTED_VALUE"""),43833.66666666667)</f>
        <v>43833.66667</v>
      </c>
      <c r="B7" s="1">
        <f>IFERROR(__xludf.DUMMYFUNCTION("""COMPUTED_VALUE"""),177.02)</f>
        <v>177.02</v>
      </c>
      <c r="C7" s="1">
        <f>IFERROR(__xludf.DUMMYFUNCTION("""COMPUTED_VALUE"""),178.66)</f>
        <v>178.66</v>
      </c>
      <c r="D7" s="1">
        <f>IFERROR(__xludf.DUMMYFUNCTION("""COMPUTED_VALUE"""),175.63)</f>
        <v>175.63</v>
      </c>
      <c r="E7" s="1">
        <f>IFERROR(__xludf.DUMMYFUNCTION("""COMPUTED_VALUE"""),178.45)</f>
        <v>178.45</v>
      </c>
      <c r="F7" s="1">
        <f>IFERROR(__xludf.DUMMYFUNCTION("""COMPUTED_VALUE"""),2467310.0)</f>
        <v>2467310</v>
      </c>
    </row>
    <row r="8" ht="15.75" customHeight="1">
      <c r="A8" s="10">
        <f>IFERROR(__xludf.DUMMYFUNCTION("""COMPUTED_VALUE"""),43836.66666666667)</f>
        <v>43836.66667</v>
      </c>
      <c r="B8" s="1">
        <f>IFERROR(__xludf.DUMMYFUNCTION("""COMPUTED_VALUE"""),177.15)</f>
        <v>177.15</v>
      </c>
      <c r="C8" s="1">
        <f>IFERROR(__xludf.DUMMYFUNCTION("""COMPUTED_VALUE"""),178.71)</f>
        <v>178.71</v>
      </c>
      <c r="D8" s="1">
        <f>IFERROR(__xludf.DUMMYFUNCTION("""COMPUTED_VALUE"""),176.35)</f>
        <v>176.35</v>
      </c>
      <c r="E8" s="1">
        <f>IFERROR(__xludf.DUMMYFUNCTION("""COMPUTED_VALUE"""),178.62)</f>
        <v>178.62</v>
      </c>
      <c r="F8" s="1">
        <f>IFERROR(__xludf.DUMMYFUNCTION("""COMPUTED_VALUE"""),1997981.0)</f>
        <v>1997981</v>
      </c>
    </row>
    <row r="9" ht="15.75" customHeight="1">
      <c r="A9" s="10">
        <f>IFERROR(__xludf.DUMMYFUNCTION("""COMPUTED_VALUE"""),43837.66666666667)</f>
        <v>43837.66667</v>
      </c>
      <c r="B9" s="1">
        <f>IFERROR(__xludf.DUMMYFUNCTION("""COMPUTED_VALUE"""),178.28)</f>
        <v>178.28</v>
      </c>
      <c r="C9" s="1">
        <f>IFERROR(__xludf.DUMMYFUNCTION("""COMPUTED_VALUE"""),178.51)</f>
        <v>178.51</v>
      </c>
      <c r="D9" s="1">
        <f>IFERROR(__xludf.DUMMYFUNCTION("""COMPUTED_VALUE"""),176.82)</f>
        <v>176.82</v>
      </c>
      <c r="E9" s="1">
        <f>IFERROR(__xludf.DUMMYFUNCTION("""COMPUTED_VALUE"""),177.9)</f>
        <v>177.9</v>
      </c>
      <c r="F9" s="1">
        <f>IFERROR(__xludf.DUMMYFUNCTION("""COMPUTED_VALUE"""),2176615.0)</f>
        <v>2176615</v>
      </c>
    </row>
    <row r="10" ht="15.75" customHeight="1">
      <c r="A10" s="10">
        <f>IFERROR(__xludf.DUMMYFUNCTION("""COMPUTED_VALUE"""),43838.66666666667)</f>
        <v>43838.66667</v>
      </c>
      <c r="B10" s="1">
        <f>IFERROR(__xludf.DUMMYFUNCTION("""COMPUTED_VALUE"""),178.0)</f>
        <v>178</v>
      </c>
      <c r="C10" s="1">
        <f>IFERROR(__xludf.DUMMYFUNCTION("""COMPUTED_VALUE"""),181.5)</f>
        <v>181.5</v>
      </c>
      <c r="D10" s="1">
        <f>IFERROR(__xludf.DUMMYFUNCTION("""COMPUTED_VALUE"""),177.65)</f>
        <v>177.65</v>
      </c>
      <c r="E10" s="1">
        <f>IFERROR(__xludf.DUMMYFUNCTION("""COMPUTED_VALUE"""),180.63)</f>
        <v>180.63</v>
      </c>
      <c r="F10" s="1">
        <f>IFERROR(__xludf.DUMMYFUNCTION("""COMPUTED_VALUE"""),2758339.0)</f>
        <v>2758339</v>
      </c>
    </row>
    <row r="11" ht="15.75" customHeight="1">
      <c r="A11" s="10">
        <f>IFERROR(__xludf.DUMMYFUNCTION("""COMPUTED_VALUE"""),43839.66666666667)</f>
        <v>43839.66667</v>
      </c>
      <c r="B11" s="1">
        <f>IFERROR(__xludf.DUMMYFUNCTION("""COMPUTED_VALUE"""),181.51)</f>
        <v>181.51</v>
      </c>
      <c r="C11" s="1">
        <f>IFERROR(__xludf.DUMMYFUNCTION("""COMPUTED_VALUE"""),181.59)</f>
        <v>181.59</v>
      </c>
      <c r="D11" s="1">
        <f>IFERROR(__xludf.DUMMYFUNCTION("""COMPUTED_VALUE"""),179.76)</f>
        <v>179.76</v>
      </c>
      <c r="E11" s="1">
        <f>IFERROR(__xludf.DUMMYFUNCTION("""COMPUTED_VALUE"""),181.2)</f>
        <v>181.2</v>
      </c>
      <c r="F11" s="1">
        <f>IFERROR(__xludf.DUMMYFUNCTION("""COMPUTED_VALUE"""),2746346.0)</f>
        <v>2746346</v>
      </c>
    </row>
    <row r="12" ht="15.75" customHeight="1">
      <c r="A12" s="10">
        <f>IFERROR(__xludf.DUMMYFUNCTION("""COMPUTED_VALUE"""),43840.66666666667)</f>
        <v>43840.66667</v>
      </c>
      <c r="B12" s="1">
        <f>IFERROR(__xludf.DUMMYFUNCTION("""COMPUTED_VALUE"""),181.61)</f>
        <v>181.61</v>
      </c>
      <c r="C12" s="1">
        <f>IFERROR(__xludf.DUMMYFUNCTION("""COMPUTED_VALUE"""),182.18)</f>
        <v>182.18</v>
      </c>
      <c r="D12" s="1">
        <f>IFERROR(__xludf.DUMMYFUNCTION("""COMPUTED_VALUE"""),180.14)</f>
        <v>180.14</v>
      </c>
      <c r="E12" s="1">
        <f>IFERROR(__xludf.DUMMYFUNCTION("""COMPUTED_VALUE"""),180.47)</f>
        <v>180.47</v>
      </c>
      <c r="F12" s="1">
        <f>IFERROR(__xludf.DUMMYFUNCTION("""COMPUTED_VALUE"""),2103818.0)</f>
        <v>2103818</v>
      </c>
    </row>
    <row r="13" ht="15.75" customHeight="1">
      <c r="A13" s="10">
        <f>IFERROR(__xludf.DUMMYFUNCTION("""COMPUTED_VALUE"""),43843.66666666667)</f>
        <v>43843.66667</v>
      </c>
      <c r="B13" s="1">
        <f>IFERROR(__xludf.DUMMYFUNCTION("""COMPUTED_VALUE"""),180.94)</f>
        <v>180.94</v>
      </c>
      <c r="C13" s="1">
        <f>IFERROR(__xludf.DUMMYFUNCTION("""COMPUTED_VALUE"""),182.23)</f>
        <v>182.23</v>
      </c>
      <c r="D13" s="1">
        <f>IFERROR(__xludf.DUMMYFUNCTION("""COMPUTED_VALUE"""),180.36)</f>
        <v>180.36</v>
      </c>
      <c r="E13" s="1">
        <f>IFERROR(__xludf.DUMMYFUNCTION("""COMPUTED_VALUE"""),180.92)</f>
        <v>180.92</v>
      </c>
      <c r="F13" s="1">
        <f>IFERROR(__xludf.DUMMYFUNCTION("""COMPUTED_VALUE"""),2091209.0)</f>
        <v>2091209</v>
      </c>
    </row>
    <row r="14" ht="15.75" customHeight="1">
      <c r="A14" s="10">
        <f>IFERROR(__xludf.DUMMYFUNCTION("""COMPUTED_VALUE"""),43844.66666666667)</f>
        <v>43844.66667</v>
      </c>
      <c r="B14" s="1">
        <f>IFERROR(__xludf.DUMMYFUNCTION("""COMPUTED_VALUE"""),180.92)</f>
        <v>180.92</v>
      </c>
      <c r="C14" s="1">
        <f>IFERROR(__xludf.DUMMYFUNCTION("""COMPUTED_VALUE"""),182.55)</f>
        <v>182.55</v>
      </c>
      <c r="D14" s="1">
        <f>IFERROR(__xludf.DUMMYFUNCTION("""COMPUTED_VALUE"""),180.21)</f>
        <v>180.21</v>
      </c>
      <c r="E14" s="1">
        <f>IFERROR(__xludf.DUMMYFUNCTION("""COMPUTED_VALUE"""),181.37)</f>
        <v>181.37</v>
      </c>
      <c r="F14" s="1">
        <f>IFERROR(__xludf.DUMMYFUNCTION("""COMPUTED_VALUE"""),2911327.0)</f>
        <v>2911327</v>
      </c>
    </row>
    <row r="15" ht="15.75" customHeight="1">
      <c r="A15" s="10">
        <f>IFERROR(__xludf.DUMMYFUNCTION("""COMPUTED_VALUE"""),43845.66666666667)</f>
        <v>43845.66667</v>
      </c>
      <c r="B15" s="1">
        <f>IFERROR(__xludf.DUMMYFUNCTION("""COMPUTED_VALUE"""),181.42)</f>
        <v>181.42</v>
      </c>
      <c r="C15" s="1">
        <f>IFERROR(__xludf.DUMMYFUNCTION("""COMPUTED_VALUE"""),181.86)</f>
        <v>181.86</v>
      </c>
      <c r="D15" s="1">
        <f>IFERROR(__xludf.DUMMYFUNCTION("""COMPUTED_VALUE"""),179.18)</f>
        <v>179.18</v>
      </c>
      <c r="E15" s="1">
        <f>IFERROR(__xludf.DUMMYFUNCTION("""COMPUTED_VALUE"""),179.78)</f>
        <v>179.78</v>
      </c>
      <c r="F15" s="1">
        <f>IFERROR(__xludf.DUMMYFUNCTION("""COMPUTED_VALUE"""),2482218.0)</f>
        <v>2482218</v>
      </c>
    </row>
    <row r="16" ht="15.75" customHeight="1">
      <c r="A16" s="10">
        <f>IFERROR(__xludf.DUMMYFUNCTION("""COMPUTED_VALUE"""),43846.66666666667)</f>
        <v>43846.66667</v>
      </c>
      <c r="B16" s="1">
        <f>IFERROR(__xludf.DUMMYFUNCTION("""COMPUTED_VALUE"""),180.68)</f>
        <v>180.68</v>
      </c>
      <c r="C16" s="1">
        <f>IFERROR(__xludf.DUMMYFUNCTION("""COMPUTED_VALUE"""),181.2)</f>
        <v>181.2</v>
      </c>
      <c r="D16" s="1">
        <f>IFERROR(__xludf.DUMMYFUNCTION("""COMPUTED_VALUE"""),179.69)</f>
        <v>179.69</v>
      </c>
      <c r="E16" s="1">
        <f>IFERROR(__xludf.DUMMYFUNCTION("""COMPUTED_VALUE"""),181.01)</f>
        <v>181.01</v>
      </c>
      <c r="F16" s="1">
        <f>IFERROR(__xludf.DUMMYFUNCTION("""COMPUTED_VALUE"""),2149924.0)</f>
        <v>2149924</v>
      </c>
    </row>
    <row r="17" ht="15.75" customHeight="1">
      <c r="A17" s="10">
        <f>IFERROR(__xludf.DUMMYFUNCTION("""COMPUTED_VALUE"""),43847.66666666667)</f>
        <v>43847.66667</v>
      </c>
      <c r="B17" s="1">
        <f>IFERROR(__xludf.DUMMYFUNCTION("""COMPUTED_VALUE"""),181.0)</f>
        <v>181</v>
      </c>
      <c r="C17" s="1">
        <f>IFERROR(__xludf.DUMMYFUNCTION("""COMPUTED_VALUE"""),182.15)</f>
        <v>182.15</v>
      </c>
      <c r="D17" s="1">
        <f>IFERROR(__xludf.DUMMYFUNCTION("""COMPUTED_VALUE"""),180.7)</f>
        <v>180.7</v>
      </c>
      <c r="E17" s="1">
        <f>IFERROR(__xludf.DUMMYFUNCTION("""COMPUTED_VALUE"""),181.35)</f>
        <v>181.35</v>
      </c>
      <c r="F17" s="1">
        <f>IFERROR(__xludf.DUMMYFUNCTION("""COMPUTED_VALUE"""),3690110.0)</f>
        <v>3690110</v>
      </c>
    </row>
    <row r="18" ht="15.75" customHeight="1">
      <c r="A18" s="10">
        <f>IFERROR(__xludf.DUMMYFUNCTION("""COMPUTED_VALUE"""),43851.66666666667)</f>
        <v>43851.66667</v>
      </c>
      <c r="B18" s="1">
        <f>IFERROR(__xludf.DUMMYFUNCTION("""COMPUTED_VALUE"""),181.85)</f>
        <v>181.85</v>
      </c>
      <c r="C18" s="1">
        <f>IFERROR(__xludf.DUMMYFUNCTION("""COMPUTED_VALUE"""),181.91)</f>
        <v>181.91</v>
      </c>
      <c r="D18" s="1">
        <f>IFERROR(__xludf.DUMMYFUNCTION("""COMPUTED_VALUE"""),178.63)</f>
        <v>178.63</v>
      </c>
      <c r="E18" s="1">
        <f>IFERROR(__xludf.DUMMYFUNCTION("""COMPUTED_VALUE"""),179.39)</f>
        <v>179.39</v>
      </c>
      <c r="F18" s="1">
        <f>IFERROR(__xludf.DUMMYFUNCTION("""COMPUTED_VALUE"""),3368041.0)</f>
        <v>3368041</v>
      </c>
    </row>
    <row r="19" ht="15.75" customHeight="1">
      <c r="A19" s="10">
        <f>IFERROR(__xludf.DUMMYFUNCTION("""COMPUTED_VALUE"""),43852.66666666667)</f>
        <v>43852.66667</v>
      </c>
      <c r="B19" s="1">
        <f>IFERROR(__xludf.DUMMYFUNCTION("""COMPUTED_VALUE"""),179.51)</f>
        <v>179.51</v>
      </c>
      <c r="C19" s="1">
        <f>IFERROR(__xludf.DUMMYFUNCTION("""COMPUTED_VALUE"""),180.57)</f>
        <v>180.57</v>
      </c>
      <c r="D19" s="1">
        <f>IFERROR(__xludf.DUMMYFUNCTION("""COMPUTED_VALUE"""),177.88)</f>
        <v>177.88</v>
      </c>
      <c r="E19" s="1">
        <f>IFERROR(__xludf.DUMMYFUNCTION("""COMPUTED_VALUE"""),178.03)</f>
        <v>178.03</v>
      </c>
      <c r="F19" s="1">
        <f>IFERROR(__xludf.DUMMYFUNCTION("""COMPUTED_VALUE"""),2420200.0)</f>
        <v>2420200</v>
      </c>
    </row>
    <row r="20" ht="15.75" customHeight="1">
      <c r="A20" s="10">
        <f>IFERROR(__xludf.DUMMYFUNCTION("""COMPUTED_VALUE"""),43853.66666666667)</f>
        <v>43853.66667</v>
      </c>
      <c r="B20" s="1">
        <f>IFERROR(__xludf.DUMMYFUNCTION("""COMPUTED_VALUE"""),177.07)</f>
        <v>177.07</v>
      </c>
      <c r="C20" s="1">
        <f>IFERROR(__xludf.DUMMYFUNCTION("""COMPUTED_VALUE"""),178.44)</f>
        <v>178.44</v>
      </c>
      <c r="D20" s="1">
        <f>IFERROR(__xludf.DUMMYFUNCTION("""COMPUTED_VALUE"""),176.39)</f>
        <v>176.39</v>
      </c>
      <c r="E20" s="1">
        <f>IFERROR(__xludf.DUMMYFUNCTION("""COMPUTED_VALUE"""),177.74)</f>
        <v>177.74</v>
      </c>
      <c r="F20" s="1">
        <f>IFERROR(__xludf.DUMMYFUNCTION("""COMPUTED_VALUE"""),2358443.0)</f>
        <v>2358443</v>
      </c>
    </row>
    <row r="21" ht="15.75" customHeight="1">
      <c r="A21" s="10">
        <f>IFERROR(__xludf.DUMMYFUNCTION("""COMPUTED_VALUE"""),43854.66666666667)</f>
        <v>43854.66667</v>
      </c>
      <c r="B21" s="1">
        <f>IFERROR(__xludf.DUMMYFUNCTION("""COMPUTED_VALUE"""),178.49)</f>
        <v>178.49</v>
      </c>
      <c r="C21" s="1">
        <f>IFERROR(__xludf.DUMMYFUNCTION("""COMPUTED_VALUE"""),179.81)</f>
        <v>179.81</v>
      </c>
      <c r="D21" s="1">
        <f>IFERROR(__xludf.DUMMYFUNCTION("""COMPUTED_VALUE"""),177.53)</f>
        <v>177.53</v>
      </c>
      <c r="E21" s="1">
        <f>IFERROR(__xludf.DUMMYFUNCTION("""COMPUTED_VALUE"""),178.15)</f>
        <v>178.15</v>
      </c>
      <c r="F21" s="1">
        <f>IFERROR(__xludf.DUMMYFUNCTION("""COMPUTED_VALUE"""),2643095.0)</f>
        <v>2643095</v>
      </c>
    </row>
    <row r="22" ht="15.75" customHeight="1">
      <c r="A22" s="10">
        <f>IFERROR(__xludf.DUMMYFUNCTION("""COMPUTED_VALUE"""),43857.66666666667)</f>
        <v>43857.66667</v>
      </c>
      <c r="B22" s="1">
        <f>IFERROR(__xludf.DUMMYFUNCTION("""COMPUTED_VALUE"""),179.86)</f>
        <v>179.86</v>
      </c>
      <c r="C22" s="1">
        <f>IFERROR(__xludf.DUMMYFUNCTION("""COMPUTED_VALUE"""),180.59)</f>
        <v>180.59</v>
      </c>
      <c r="D22" s="1">
        <f>IFERROR(__xludf.DUMMYFUNCTION("""COMPUTED_VALUE"""),175.54)</f>
        <v>175.54</v>
      </c>
      <c r="E22" s="1">
        <f>IFERROR(__xludf.DUMMYFUNCTION("""COMPUTED_VALUE"""),175.63)</f>
        <v>175.63</v>
      </c>
      <c r="F22" s="1">
        <f>IFERROR(__xludf.DUMMYFUNCTION("""COMPUTED_VALUE"""),4361414.0)</f>
        <v>4361414</v>
      </c>
    </row>
    <row r="23" ht="15.75" customHeight="1">
      <c r="A23" s="10">
        <f>IFERROR(__xludf.DUMMYFUNCTION("""COMPUTED_VALUE"""),43858.66666666667)</f>
        <v>43858.66667</v>
      </c>
      <c r="B23" s="1">
        <f>IFERROR(__xludf.DUMMYFUNCTION("""COMPUTED_VALUE"""),171.9)</f>
        <v>171.9</v>
      </c>
      <c r="C23" s="1">
        <f>IFERROR(__xludf.DUMMYFUNCTION("""COMPUTED_VALUE"""),172.34)</f>
        <v>172.34</v>
      </c>
      <c r="D23" s="1">
        <f>IFERROR(__xludf.DUMMYFUNCTION("""COMPUTED_VALUE"""),165.05)</f>
        <v>165.05</v>
      </c>
      <c r="E23" s="1">
        <f>IFERROR(__xludf.DUMMYFUNCTION("""COMPUTED_VALUE"""),165.58)</f>
        <v>165.58</v>
      </c>
      <c r="F23" s="1">
        <f>IFERROR(__xludf.DUMMYFUNCTION("""COMPUTED_VALUE"""),8920690.0)</f>
        <v>8920690</v>
      </c>
    </row>
    <row r="24" ht="15.75" customHeight="1">
      <c r="A24" s="10">
        <f>IFERROR(__xludf.DUMMYFUNCTION("""COMPUTED_VALUE"""),43859.66666666667)</f>
        <v>43859.66667</v>
      </c>
      <c r="B24" s="1">
        <f>IFERROR(__xludf.DUMMYFUNCTION("""COMPUTED_VALUE"""),166.35)</f>
        <v>166.35</v>
      </c>
      <c r="C24" s="1">
        <f>IFERROR(__xludf.DUMMYFUNCTION("""COMPUTED_VALUE"""),166.47)</f>
        <v>166.47</v>
      </c>
      <c r="D24" s="1">
        <f>IFERROR(__xludf.DUMMYFUNCTION("""COMPUTED_VALUE"""),161.53)</f>
        <v>161.53</v>
      </c>
      <c r="E24" s="1">
        <f>IFERROR(__xludf.DUMMYFUNCTION("""COMPUTED_VALUE"""),162.0)</f>
        <v>162</v>
      </c>
      <c r="F24" s="1">
        <f>IFERROR(__xludf.DUMMYFUNCTION("""COMPUTED_VALUE"""),5344836.0)</f>
        <v>5344836</v>
      </c>
    </row>
    <row r="25" ht="15.75" customHeight="1">
      <c r="A25" s="10">
        <f>IFERROR(__xludf.DUMMYFUNCTION("""COMPUTED_VALUE"""),43860.66666666667)</f>
        <v>43860.66667</v>
      </c>
      <c r="B25" s="1">
        <f>IFERROR(__xludf.DUMMYFUNCTION("""COMPUTED_VALUE"""),161.0)</f>
        <v>161</v>
      </c>
      <c r="C25" s="1">
        <f>IFERROR(__xludf.DUMMYFUNCTION("""COMPUTED_VALUE"""),162.64)</f>
        <v>162.64</v>
      </c>
      <c r="D25" s="1">
        <f>IFERROR(__xludf.DUMMYFUNCTION("""COMPUTED_VALUE"""),158.76)</f>
        <v>158.76</v>
      </c>
      <c r="E25" s="1">
        <f>IFERROR(__xludf.DUMMYFUNCTION("""COMPUTED_VALUE"""),162.51)</f>
        <v>162.51</v>
      </c>
      <c r="F25" s="1">
        <f>IFERROR(__xludf.DUMMYFUNCTION("""COMPUTED_VALUE"""),4357053.0)</f>
        <v>4357053</v>
      </c>
    </row>
    <row r="26" ht="15.75" customHeight="1">
      <c r="A26" s="10">
        <f>IFERROR(__xludf.DUMMYFUNCTION("""COMPUTED_VALUE"""),43861.66666666667)</f>
        <v>43861.66667</v>
      </c>
      <c r="B26" s="1">
        <f>IFERROR(__xludf.DUMMYFUNCTION("""COMPUTED_VALUE"""),162.0)</f>
        <v>162</v>
      </c>
      <c r="C26" s="1">
        <f>IFERROR(__xludf.DUMMYFUNCTION("""COMPUTED_VALUE"""),162.65)</f>
        <v>162.65</v>
      </c>
      <c r="D26" s="1">
        <f>IFERROR(__xludf.DUMMYFUNCTION("""COMPUTED_VALUE"""),158.23)</f>
        <v>158.23</v>
      </c>
      <c r="E26" s="1">
        <f>IFERROR(__xludf.DUMMYFUNCTION("""COMPUTED_VALUE"""),158.66)</f>
        <v>158.66</v>
      </c>
      <c r="F26" s="1">
        <f>IFERROR(__xludf.DUMMYFUNCTION("""COMPUTED_VALUE"""),5740330.0)</f>
        <v>5740330</v>
      </c>
    </row>
    <row r="27" ht="15.75" customHeight="1">
      <c r="A27" s="10">
        <f>IFERROR(__xludf.DUMMYFUNCTION("""COMPUTED_VALUE"""),43864.66666666667)</f>
        <v>43864.66667</v>
      </c>
      <c r="B27" s="1">
        <f>IFERROR(__xludf.DUMMYFUNCTION("""COMPUTED_VALUE"""),160.03)</f>
        <v>160.03</v>
      </c>
      <c r="C27" s="1">
        <f>IFERROR(__xludf.DUMMYFUNCTION("""COMPUTED_VALUE"""),160.31)</f>
        <v>160.31</v>
      </c>
      <c r="D27" s="1">
        <f>IFERROR(__xludf.DUMMYFUNCTION("""COMPUTED_VALUE"""),156.38)</f>
        <v>156.38</v>
      </c>
      <c r="E27" s="1">
        <f>IFERROR(__xludf.DUMMYFUNCTION("""COMPUTED_VALUE"""),156.59)</f>
        <v>156.59</v>
      </c>
      <c r="F27" s="1">
        <f>IFERROR(__xludf.DUMMYFUNCTION("""COMPUTED_VALUE"""),3927092.0)</f>
        <v>3927092</v>
      </c>
    </row>
    <row r="28" ht="15.75" customHeight="1">
      <c r="A28" s="10">
        <f>IFERROR(__xludf.DUMMYFUNCTION("""COMPUTED_VALUE"""),43865.66666666667)</f>
        <v>43865.66667</v>
      </c>
      <c r="B28" s="1">
        <f>IFERROR(__xludf.DUMMYFUNCTION("""COMPUTED_VALUE"""),159.77)</f>
        <v>159.77</v>
      </c>
      <c r="C28" s="1">
        <f>IFERROR(__xludf.DUMMYFUNCTION("""COMPUTED_VALUE"""),159.96)</f>
        <v>159.96</v>
      </c>
      <c r="D28" s="1">
        <f>IFERROR(__xludf.DUMMYFUNCTION("""COMPUTED_VALUE"""),157.0)</f>
        <v>157</v>
      </c>
      <c r="E28" s="1">
        <f>IFERROR(__xludf.DUMMYFUNCTION("""COMPUTED_VALUE"""),157.24)</f>
        <v>157.24</v>
      </c>
      <c r="F28" s="1">
        <f>IFERROR(__xludf.DUMMYFUNCTION("""COMPUTED_VALUE"""),4363945.0)</f>
        <v>4363945</v>
      </c>
    </row>
    <row r="29" ht="15.75" customHeight="1">
      <c r="A29" s="10">
        <f>IFERROR(__xludf.DUMMYFUNCTION("""COMPUTED_VALUE"""),43866.66666666667)</f>
        <v>43866.66667</v>
      </c>
      <c r="B29" s="1">
        <f>IFERROR(__xludf.DUMMYFUNCTION("""COMPUTED_VALUE"""),159.12)</f>
        <v>159.12</v>
      </c>
      <c r="C29" s="1">
        <f>IFERROR(__xludf.DUMMYFUNCTION("""COMPUTED_VALUE"""),162.33)</f>
        <v>162.33</v>
      </c>
      <c r="D29" s="1">
        <f>IFERROR(__xludf.DUMMYFUNCTION("""COMPUTED_VALUE"""),158.7)</f>
        <v>158.7</v>
      </c>
      <c r="E29" s="1">
        <f>IFERROR(__xludf.DUMMYFUNCTION("""COMPUTED_VALUE"""),162.33)</f>
        <v>162.33</v>
      </c>
      <c r="F29" s="1">
        <f>IFERROR(__xludf.DUMMYFUNCTION("""COMPUTED_VALUE"""),3118214.0)</f>
        <v>3118214</v>
      </c>
    </row>
    <row r="30" ht="15.75" customHeight="1">
      <c r="A30" s="10">
        <f>IFERROR(__xludf.DUMMYFUNCTION("""COMPUTED_VALUE"""),43867.66666666667)</f>
        <v>43867.66667</v>
      </c>
      <c r="B30" s="1">
        <f>IFERROR(__xludf.DUMMYFUNCTION("""COMPUTED_VALUE"""),164.49)</f>
        <v>164.49</v>
      </c>
      <c r="C30" s="1">
        <f>IFERROR(__xludf.DUMMYFUNCTION("""COMPUTED_VALUE"""),165.0)</f>
        <v>165</v>
      </c>
      <c r="D30" s="1">
        <f>IFERROR(__xludf.DUMMYFUNCTION("""COMPUTED_VALUE"""),162.47)</f>
        <v>162.47</v>
      </c>
      <c r="E30" s="1">
        <f>IFERROR(__xludf.DUMMYFUNCTION("""COMPUTED_VALUE"""),162.89)</f>
        <v>162.89</v>
      </c>
      <c r="F30" s="1">
        <f>IFERROR(__xludf.DUMMYFUNCTION("""COMPUTED_VALUE"""),3413761.0)</f>
        <v>3413761</v>
      </c>
    </row>
    <row r="31" ht="15.75" customHeight="1">
      <c r="A31" s="10">
        <f>IFERROR(__xludf.DUMMYFUNCTION("""COMPUTED_VALUE"""),43868.66666666667)</f>
        <v>43868.66667</v>
      </c>
      <c r="B31" s="1">
        <f>IFERROR(__xludf.DUMMYFUNCTION("""COMPUTED_VALUE"""),161.41)</f>
        <v>161.41</v>
      </c>
      <c r="C31" s="1">
        <f>IFERROR(__xludf.DUMMYFUNCTION("""COMPUTED_VALUE"""),161.92)</f>
        <v>161.92</v>
      </c>
      <c r="D31" s="1">
        <f>IFERROR(__xludf.DUMMYFUNCTION("""COMPUTED_VALUE"""),159.63)</f>
        <v>159.63</v>
      </c>
      <c r="E31" s="1">
        <f>IFERROR(__xludf.DUMMYFUNCTION("""COMPUTED_VALUE"""),160.08)</f>
        <v>160.08</v>
      </c>
      <c r="F31" s="1">
        <f>IFERROR(__xludf.DUMMYFUNCTION("""COMPUTED_VALUE"""),2736232.0)</f>
        <v>2736232</v>
      </c>
    </row>
    <row r="32" ht="15.75" customHeight="1">
      <c r="A32" s="10">
        <f>IFERROR(__xludf.DUMMYFUNCTION("""COMPUTED_VALUE"""),43871.66666666667)</f>
        <v>43871.66667</v>
      </c>
      <c r="B32" s="1">
        <f>IFERROR(__xludf.DUMMYFUNCTION("""COMPUTED_VALUE"""),160.21)</f>
        <v>160.21</v>
      </c>
      <c r="C32" s="1">
        <f>IFERROR(__xludf.DUMMYFUNCTION("""COMPUTED_VALUE"""),161.26)</f>
        <v>161.26</v>
      </c>
      <c r="D32" s="1">
        <f>IFERROR(__xludf.DUMMYFUNCTION("""COMPUTED_VALUE"""),158.87)</f>
        <v>158.87</v>
      </c>
      <c r="E32" s="1">
        <f>IFERROR(__xludf.DUMMYFUNCTION("""COMPUTED_VALUE"""),160.15)</f>
        <v>160.15</v>
      </c>
      <c r="F32" s="1">
        <f>IFERROR(__xludf.DUMMYFUNCTION("""COMPUTED_VALUE"""),2754764.0)</f>
        <v>2754764</v>
      </c>
    </row>
    <row r="33" ht="15.75" customHeight="1">
      <c r="A33" s="10">
        <f>IFERROR(__xludf.DUMMYFUNCTION("""COMPUTED_VALUE"""),43872.66666666667)</f>
        <v>43872.66667</v>
      </c>
      <c r="B33" s="1">
        <f>IFERROR(__xludf.DUMMYFUNCTION("""COMPUTED_VALUE"""),161.0)</f>
        <v>161</v>
      </c>
      <c r="C33" s="1">
        <f>IFERROR(__xludf.DUMMYFUNCTION("""COMPUTED_VALUE"""),162.52)</f>
        <v>162.52</v>
      </c>
      <c r="D33" s="1">
        <f>IFERROR(__xludf.DUMMYFUNCTION("""COMPUTED_VALUE"""),160.02)</f>
        <v>160.02</v>
      </c>
      <c r="E33" s="1">
        <f>IFERROR(__xludf.DUMMYFUNCTION("""COMPUTED_VALUE"""),162.45)</f>
        <v>162.45</v>
      </c>
      <c r="F33" s="1">
        <f>IFERROR(__xludf.DUMMYFUNCTION("""COMPUTED_VALUE"""),2275323.0)</f>
        <v>2275323</v>
      </c>
    </row>
    <row r="34" ht="15.75" customHeight="1">
      <c r="A34" s="10">
        <f>IFERROR(__xludf.DUMMYFUNCTION("""COMPUTED_VALUE"""),43873.66666666667)</f>
        <v>43873.66667</v>
      </c>
      <c r="B34" s="1">
        <f>IFERROR(__xludf.DUMMYFUNCTION("""COMPUTED_VALUE"""),164.24)</f>
        <v>164.24</v>
      </c>
      <c r="C34" s="1">
        <f>IFERROR(__xludf.DUMMYFUNCTION("""COMPUTED_VALUE"""),165.04)</f>
        <v>165.04</v>
      </c>
      <c r="D34" s="1">
        <f>IFERROR(__xludf.DUMMYFUNCTION("""COMPUTED_VALUE"""),163.57)</f>
        <v>163.57</v>
      </c>
      <c r="E34" s="1">
        <f>IFERROR(__xludf.DUMMYFUNCTION("""COMPUTED_VALUE"""),163.8)</f>
        <v>163.8</v>
      </c>
      <c r="F34" s="1">
        <f>IFERROR(__xludf.DUMMYFUNCTION("""COMPUTED_VALUE"""),2736382.0)</f>
        <v>2736382</v>
      </c>
    </row>
    <row r="35" ht="15.75" customHeight="1">
      <c r="A35" s="10">
        <f>IFERROR(__xludf.DUMMYFUNCTION("""COMPUTED_VALUE"""),43874.66666666667)</f>
        <v>43874.66667</v>
      </c>
      <c r="B35" s="1">
        <f>IFERROR(__xludf.DUMMYFUNCTION("""COMPUTED_VALUE"""),161.76)</f>
        <v>161.76</v>
      </c>
      <c r="C35" s="1">
        <f>IFERROR(__xludf.DUMMYFUNCTION("""COMPUTED_VALUE"""),161.87)</f>
        <v>161.87</v>
      </c>
      <c r="D35" s="1">
        <f>IFERROR(__xludf.DUMMYFUNCTION("""COMPUTED_VALUE"""),159.0)</f>
        <v>159</v>
      </c>
      <c r="E35" s="1">
        <f>IFERROR(__xludf.DUMMYFUNCTION("""COMPUTED_VALUE"""),159.76)</f>
        <v>159.76</v>
      </c>
      <c r="F35" s="1">
        <f>IFERROR(__xludf.DUMMYFUNCTION("""COMPUTED_VALUE"""),3414117.0)</f>
        <v>3414117</v>
      </c>
    </row>
    <row r="36" ht="15.75" customHeight="1">
      <c r="A36" s="10">
        <f>IFERROR(__xludf.DUMMYFUNCTION("""COMPUTED_VALUE"""),43875.66666666667)</f>
        <v>43875.66667</v>
      </c>
      <c r="B36" s="1">
        <f>IFERROR(__xludf.DUMMYFUNCTION("""COMPUTED_VALUE"""),159.85)</f>
        <v>159.85</v>
      </c>
      <c r="C36" s="1">
        <f>IFERROR(__xludf.DUMMYFUNCTION("""COMPUTED_VALUE"""),161.14)</f>
        <v>161.14</v>
      </c>
      <c r="D36" s="1">
        <f>IFERROR(__xludf.DUMMYFUNCTION("""COMPUTED_VALUE"""),158.82)</f>
        <v>158.82</v>
      </c>
      <c r="E36" s="1">
        <f>IFERROR(__xludf.DUMMYFUNCTION("""COMPUTED_VALUE"""),161.01)</f>
        <v>161.01</v>
      </c>
      <c r="F36" s="1">
        <f>IFERROR(__xludf.DUMMYFUNCTION("""COMPUTED_VALUE"""),2233840.0)</f>
        <v>2233840</v>
      </c>
    </row>
    <row r="37" ht="15.75" customHeight="1">
      <c r="A37" s="10">
        <f>IFERROR(__xludf.DUMMYFUNCTION("""COMPUTED_VALUE"""),43879.66666666667)</f>
        <v>43879.66667</v>
      </c>
      <c r="B37" s="1">
        <f>IFERROR(__xludf.DUMMYFUNCTION("""COMPUTED_VALUE"""),160.36)</f>
        <v>160.36</v>
      </c>
      <c r="C37" s="1">
        <f>IFERROR(__xludf.DUMMYFUNCTION("""COMPUTED_VALUE"""),160.53)</f>
        <v>160.53</v>
      </c>
      <c r="D37" s="1">
        <f>IFERROR(__xludf.DUMMYFUNCTION("""COMPUTED_VALUE"""),158.04)</f>
        <v>158.04</v>
      </c>
      <c r="E37" s="1">
        <f>IFERROR(__xludf.DUMMYFUNCTION("""COMPUTED_VALUE"""),158.88)</f>
        <v>158.88</v>
      </c>
      <c r="F37" s="1">
        <f>IFERROR(__xludf.DUMMYFUNCTION("""COMPUTED_VALUE"""),2481963.0)</f>
        <v>2481963</v>
      </c>
    </row>
    <row r="38" ht="15.75" customHeight="1">
      <c r="A38" s="10">
        <f>IFERROR(__xludf.DUMMYFUNCTION("""COMPUTED_VALUE"""),43880.66666666667)</f>
        <v>43880.66667</v>
      </c>
      <c r="B38" s="1">
        <f>IFERROR(__xludf.DUMMYFUNCTION("""COMPUTED_VALUE"""),159.08)</f>
        <v>159.08</v>
      </c>
      <c r="C38" s="1">
        <f>IFERROR(__xludf.DUMMYFUNCTION("""COMPUTED_VALUE"""),160.47)</f>
        <v>160.47</v>
      </c>
      <c r="D38" s="1">
        <f>IFERROR(__xludf.DUMMYFUNCTION("""COMPUTED_VALUE"""),158.36)</f>
        <v>158.36</v>
      </c>
      <c r="E38" s="1">
        <f>IFERROR(__xludf.DUMMYFUNCTION("""COMPUTED_VALUE"""),159.34)</f>
        <v>159.34</v>
      </c>
      <c r="F38" s="1">
        <f>IFERROR(__xludf.DUMMYFUNCTION("""COMPUTED_VALUE"""),2296554.0)</f>
        <v>2296554</v>
      </c>
    </row>
    <row r="39" ht="15.75" customHeight="1">
      <c r="A39" s="10">
        <f>IFERROR(__xludf.DUMMYFUNCTION("""COMPUTED_VALUE"""),43881.66666666667)</f>
        <v>43881.66667</v>
      </c>
      <c r="B39" s="1">
        <f>IFERROR(__xludf.DUMMYFUNCTION("""COMPUTED_VALUE"""),159.0)</f>
        <v>159</v>
      </c>
      <c r="C39" s="1">
        <f>IFERROR(__xludf.DUMMYFUNCTION("""COMPUTED_VALUE"""),161.39)</f>
        <v>161.39</v>
      </c>
      <c r="D39" s="1">
        <f>IFERROR(__xludf.DUMMYFUNCTION("""COMPUTED_VALUE"""),158.5)</f>
        <v>158.5</v>
      </c>
      <c r="E39" s="1">
        <f>IFERROR(__xludf.DUMMYFUNCTION("""COMPUTED_VALUE"""),158.56)</f>
        <v>158.56</v>
      </c>
      <c r="F39" s="1">
        <f>IFERROR(__xludf.DUMMYFUNCTION("""COMPUTED_VALUE"""),3275083.0)</f>
        <v>3275083</v>
      </c>
    </row>
    <row r="40" ht="15.75" customHeight="1">
      <c r="A40" s="10">
        <f>IFERROR(__xludf.DUMMYFUNCTION("""COMPUTED_VALUE"""),43882.66666666667)</f>
        <v>43882.66667</v>
      </c>
      <c r="B40" s="1">
        <f>IFERROR(__xludf.DUMMYFUNCTION("""COMPUTED_VALUE"""),158.33)</f>
        <v>158.33</v>
      </c>
      <c r="C40" s="1">
        <f>IFERROR(__xludf.DUMMYFUNCTION("""COMPUTED_VALUE"""),158.59)</f>
        <v>158.59</v>
      </c>
      <c r="D40" s="1">
        <f>IFERROR(__xludf.DUMMYFUNCTION("""COMPUTED_VALUE"""),156.12)</f>
        <v>156.12</v>
      </c>
      <c r="E40" s="1">
        <f>IFERROR(__xludf.DUMMYFUNCTION("""COMPUTED_VALUE"""),156.93)</f>
        <v>156.93</v>
      </c>
      <c r="F40" s="1">
        <f>IFERROR(__xludf.DUMMYFUNCTION("""COMPUTED_VALUE"""),3535642.0)</f>
        <v>3535642</v>
      </c>
    </row>
    <row r="41" ht="15.75" customHeight="1">
      <c r="A41" s="10">
        <f>IFERROR(__xludf.DUMMYFUNCTION("""COMPUTED_VALUE"""),43885.66666666667)</f>
        <v>43885.66667</v>
      </c>
      <c r="B41" s="1">
        <f>IFERROR(__xludf.DUMMYFUNCTION("""COMPUTED_VALUE"""),154.45)</f>
        <v>154.45</v>
      </c>
      <c r="C41" s="1">
        <f>IFERROR(__xludf.DUMMYFUNCTION("""COMPUTED_VALUE"""),154.71)</f>
        <v>154.71</v>
      </c>
      <c r="D41" s="1">
        <f>IFERROR(__xludf.DUMMYFUNCTION("""COMPUTED_VALUE"""),152.22)</f>
        <v>152.22</v>
      </c>
      <c r="E41" s="1">
        <f>IFERROR(__xludf.DUMMYFUNCTION("""COMPUTED_VALUE"""),152.55)</f>
        <v>152.55</v>
      </c>
      <c r="F41" s="1">
        <f>IFERROR(__xludf.DUMMYFUNCTION("""COMPUTED_VALUE"""),3635787.0)</f>
        <v>3635787</v>
      </c>
    </row>
    <row r="42" ht="15.75" customHeight="1">
      <c r="A42" s="10">
        <f>IFERROR(__xludf.DUMMYFUNCTION("""COMPUTED_VALUE"""),43886.66666666667)</f>
        <v>43886.66667</v>
      </c>
      <c r="B42" s="1">
        <f>IFERROR(__xludf.DUMMYFUNCTION("""COMPUTED_VALUE"""),153.31)</f>
        <v>153.31</v>
      </c>
      <c r="C42" s="1">
        <f>IFERROR(__xludf.DUMMYFUNCTION("""COMPUTED_VALUE"""),153.44)</f>
        <v>153.44</v>
      </c>
      <c r="D42" s="1">
        <f>IFERROR(__xludf.DUMMYFUNCTION("""COMPUTED_VALUE"""),145.97)</f>
        <v>145.97</v>
      </c>
      <c r="E42" s="1">
        <f>IFERROR(__xludf.DUMMYFUNCTION("""COMPUTED_VALUE"""),146.85)</f>
        <v>146.85</v>
      </c>
      <c r="F42" s="1">
        <f>IFERROR(__xludf.DUMMYFUNCTION("""COMPUTED_VALUE"""),5263388.0)</f>
        <v>5263388</v>
      </c>
    </row>
    <row r="43" ht="15.75" customHeight="1">
      <c r="A43" s="10">
        <f>IFERROR(__xludf.DUMMYFUNCTION("""COMPUTED_VALUE"""),43887.66666666667)</f>
        <v>43887.66667</v>
      </c>
      <c r="B43" s="1">
        <f>IFERROR(__xludf.DUMMYFUNCTION("""COMPUTED_VALUE"""),149.57)</f>
        <v>149.57</v>
      </c>
      <c r="C43" s="1">
        <f>IFERROR(__xludf.DUMMYFUNCTION("""COMPUTED_VALUE"""),151.82)</f>
        <v>151.82</v>
      </c>
      <c r="D43" s="1">
        <f>IFERROR(__xludf.DUMMYFUNCTION("""COMPUTED_VALUE"""),148.09)</f>
        <v>148.09</v>
      </c>
      <c r="E43" s="1">
        <f>IFERROR(__xludf.DUMMYFUNCTION("""COMPUTED_VALUE"""),148.96)</f>
        <v>148.96</v>
      </c>
      <c r="F43" s="1">
        <f>IFERROR(__xludf.DUMMYFUNCTION("""COMPUTED_VALUE"""),5155285.0)</f>
        <v>5155285</v>
      </c>
    </row>
    <row r="44" ht="15.75" customHeight="1">
      <c r="A44" s="10">
        <f>IFERROR(__xludf.DUMMYFUNCTION("""COMPUTED_VALUE"""),43888.66666666667)</f>
        <v>43888.66667</v>
      </c>
      <c r="B44" s="1">
        <f>IFERROR(__xludf.DUMMYFUNCTION("""COMPUTED_VALUE"""),151.23)</f>
        <v>151.23</v>
      </c>
      <c r="C44" s="1">
        <f>IFERROR(__xludf.DUMMYFUNCTION("""COMPUTED_VALUE"""),155.43)</f>
        <v>155.43</v>
      </c>
      <c r="D44" s="1">
        <f>IFERROR(__xludf.DUMMYFUNCTION("""COMPUTED_VALUE"""),149.0)</f>
        <v>149</v>
      </c>
      <c r="E44" s="1">
        <f>IFERROR(__xludf.DUMMYFUNCTION("""COMPUTED_VALUE"""),150.16)</f>
        <v>150.16</v>
      </c>
      <c r="F44" s="1">
        <f>IFERROR(__xludf.DUMMYFUNCTION("""COMPUTED_VALUE"""),8241561.0)</f>
        <v>8241561</v>
      </c>
    </row>
    <row r="45" ht="15.75" customHeight="1">
      <c r="A45" s="10">
        <f>IFERROR(__xludf.DUMMYFUNCTION("""COMPUTED_VALUE"""),43889.66666666667)</f>
        <v>43889.66667</v>
      </c>
      <c r="B45" s="1">
        <f>IFERROR(__xludf.DUMMYFUNCTION("""COMPUTED_VALUE"""),154.09)</f>
        <v>154.09</v>
      </c>
      <c r="C45" s="1">
        <f>IFERROR(__xludf.DUMMYFUNCTION("""COMPUTED_VALUE"""),156.72)</f>
        <v>156.72</v>
      </c>
      <c r="D45" s="1">
        <f>IFERROR(__xludf.DUMMYFUNCTION("""COMPUTED_VALUE"""),146.0)</f>
        <v>146</v>
      </c>
      <c r="E45" s="1">
        <f>IFERROR(__xludf.DUMMYFUNCTION("""COMPUTED_VALUE"""),149.24)</f>
        <v>149.24</v>
      </c>
      <c r="F45" s="1">
        <f>IFERROR(__xludf.DUMMYFUNCTION("""COMPUTED_VALUE"""),1.150871E7)</f>
        <v>11508710</v>
      </c>
    </row>
    <row r="46" ht="15.75" customHeight="1">
      <c r="A46" s="10">
        <f>IFERROR(__xludf.DUMMYFUNCTION("""COMPUTED_VALUE"""),43892.66666666667)</f>
        <v>43892.66667</v>
      </c>
      <c r="B46" s="1">
        <f>IFERROR(__xludf.DUMMYFUNCTION("""COMPUTED_VALUE"""),151.34)</f>
        <v>151.34</v>
      </c>
      <c r="C46" s="1">
        <f>IFERROR(__xludf.DUMMYFUNCTION("""COMPUTED_VALUE"""),153.43)</f>
        <v>153.43</v>
      </c>
      <c r="D46" s="1">
        <f>IFERROR(__xludf.DUMMYFUNCTION("""COMPUTED_VALUE"""),148.37)</f>
        <v>148.37</v>
      </c>
      <c r="E46" s="1">
        <f>IFERROR(__xludf.DUMMYFUNCTION("""COMPUTED_VALUE"""),153.02)</f>
        <v>153.02</v>
      </c>
      <c r="F46" s="1">
        <f>IFERROR(__xludf.DUMMYFUNCTION("""COMPUTED_VALUE"""),8026254.0)</f>
        <v>8026254</v>
      </c>
    </row>
    <row r="47" ht="15.75" customHeight="1">
      <c r="A47" s="10">
        <f>IFERROR(__xludf.DUMMYFUNCTION("""COMPUTED_VALUE"""),43893.66666666667)</f>
        <v>43893.66667</v>
      </c>
      <c r="B47" s="1">
        <f>IFERROR(__xludf.DUMMYFUNCTION("""COMPUTED_VALUE"""),152.44)</f>
        <v>152.44</v>
      </c>
      <c r="C47" s="1">
        <f>IFERROR(__xludf.DUMMYFUNCTION("""COMPUTED_VALUE"""),154.0)</f>
        <v>154</v>
      </c>
      <c r="D47" s="1">
        <f>IFERROR(__xludf.DUMMYFUNCTION("""COMPUTED_VALUE"""),144.44)</f>
        <v>144.44</v>
      </c>
      <c r="E47" s="1">
        <f>IFERROR(__xludf.DUMMYFUNCTION("""COMPUTED_VALUE"""),145.24)</f>
        <v>145.24</v>
      </c>
      <c r="F47" s="1">
        <f>IFERROR(__xludf.DUMMYFUNCTION("""COMPUTED_VALUE"""),8296485.0)</f>
        <v>8296485</v>
      </c>
    </row>
    <row r="48" ht="15.75" customHeight="1">
      <c r="A48" s="10">
        <f>IFERROR(__xludf.DUMMYFUNCTION("""COMPUTED_VALUE"""),43894.66666666667)</f>
        <v>43894.66667</v>
      </c>
      <c r="B48" s="1">
        <f>IFERROR(__xludf.DUMMYFUNCTION("""COMPUTED_VALUE"""),147.02)</f>
        <v>147.02</v>
      </c>
      <c r="C48" s="1">
        <f>IFERROR(__xludf.DUMMYFUNCTION("""COMPUTED_VALUE"""),154.0)</f>
        <v>154</v>
      </c>
      <c r="D48" s="1">
        <f>IFERROR(__xludf.DUMMYFUNCTION("""COMPUTED_VALUE"""),145.99)</f>
        <v>145.99</v>
      </c>
      <c r="E48" s="1">
        <f>IFERROR(__xludf.DUMMYFUNCTION("""COMPUTED_VALUE"""),153.98)</f>
        <v>153.98</v>
      </c>
      <c r="F48" s="1">
        <f>IFERROR(__xludf.DUMMYFUNCTION("""COMPUTED_VALUE"""),5773845.0)</f>
        <v>5773845</v>
      </c>
    </row>
    <row r="49" ht="15.75" customHeight="1">
      <c r="A49" s="10">
        <f>IFERROR(__xludf.DUMMYFUNCTION("""COMPUTED_VALUE"""),43895.66666666667)</f>
        <v>43895.66667</v>
      </c>
      <c r="B49" s="1">
        <f>IFERROR(__xludf.DUMMYFUNCTION("""COMPUTED_VALUE"""),150.8)</f>
        <v>150.8</v>
      </c>
      <c r="C49" s="1">
        <f>IFERROR(__xludf.DUMMYFUNCTION("""COMPUTED_VALUE"""),154.35)</f>
        <v>154.35</v>
      </c>
      <c r="D49" s="1">
        <f>IFERROR(__xludf.DUMMYFUNCTION("""COMPUTED_VALUE"""),149.55)</f>
        <v>149.55</v>
      </c>
      <c r="E49" s="1">
        <f>IFERROR(__xludf.DUMMYFUNCTION("""COMPUTED_VALUE"""),151.41)</f>
        <v>151.41</v>
      </c>
      <c r="F49" s="1">
        <f>IFERROR(__xludf.DUMMYFUNCTION("""COMPUTED_VALUE"""),5887040.0)</f>
        <v>5887040</v>
      </c>
    </row>
    <row r="50" ht="15.75" customHeight="1">
      <c r="A50" s="10">
        <f>IFERROR(__xludf.DUMMYFUNCTION("""COMPUTED_VALUE"""),43896.66666666667)</f>
        <v>43896.66667</v>
      </c>
      <c r="B50" s="1">
        <f>IFERROR(__xludf.DUMMYFUNCTION("""COMPUTED_VALUE"""),149.59)</f>
        <v>149.59</v>
      </c>
      <c r="C50" s="1">
        <f>IFERROR(__xludf.DUMMYFUNCTION("""COMPUTED_VALUE"""),154.74)</f>
        <v>154.74</v>
      </c>
      <c r="D50" s="1">
        <f>IFERROR(__xludf.DUMMYFUNCTION("""COMPUTED_VALUE"""),147.87)</f>
        <v>147.87</v>
      </c>
      <c r="E50" s="1">
        <f>IFERROR(__xludf.DUMMYFUNCTION("""COMPUTED_VALUE"""),153.65)</f>
        <v>153.65</v>
      </c>
      <c r="F50" s="1">
        <f>IFERROR(__xludf.DUMMYFUNCTION("""COMPUTED_VALUE"""),7155126.0)</f>
        <v>7155126</v>
      </c>
    </row>
    <row r="51" ht="15.75" customHeight="1">
      <c r="A51" s="10">
        <f>IFERROR(__xludf.DUMMYFUNCTION("""COMPUTED_VALUE"""),43899.66666666667)</f>
        <v>43899.66667</v>
      </c>
      <c r="B51" s="1">
        <f>IFERROR(__xludf.DUMMYFUNCTION("""COMPUTED_VALUE"""),146.59)</f>
        <v>146.59</v>
      </c>
      <c r="C51" s="1">
        <f>IFERROR(__xludf.DUMMYFUNCTION("""COMPUTED_VALUE"""),149.46)</f>
        <v>149.46</v>
      </c>
      <c r="D51" s="1">
        <f>IFERROR(__xludf.DUMMYFUNCTION("""COMPUTED_VALUE"""),143.55)</f>
        <v>143.55</v>
      </c>
      <c r="E51" s="1">
        <f>IFERROR(__xludf.DUMMYFUNCTION("""COMPUTED_VALUE"""),144.06)</f>
        <v>144.06</v>
      </c>
      <c r="F51" s="1">
        <f>IFERROR(__xludf.DUMMYFUNCTION("""COMPUTED_VALUE"""),8194358.0)</f>
        <v>8194358</v>
      </c>
    </row>
    <row r="52" ht="15.75" customHeight="1">
      <c r="A52" s="10">
        <f>IFERROR(__xludf.DUMMYFUNCTION("""COMPUTED_VALUE"""),43900.66666666667)</f>
        <v>43900.66667</v>
      </c>
      <c r="B52" s="1">
        <f>IFERROR(__xludf.DUMMYFUNCTION("""COMPUTED_VALUE"""),149.02)</f>
        <v>149.02</v>
      </c>
      <c r="C52" s="1">
        <f>IFERROR(__xludf.DUMMYFUNCTION("""COMPUTED_VALUE"""),153.38)</f>
        <v>153.38</v>
      </c>
      <c r="D52" s="1">
        <f>IFERROR(__xludf.DUMMYFUNCTION("""COMPUTED_VALUE"""),144.88)</f>
        <v>144.88</v>
      </c>
      <c r="E52" s="1">
        <f>IFERROR(__xludf.DUMMYFUNCTION("""COMPUTED_VALUE"""),153.3)</f>
        <v>153.3</v>
      </c>
      <c r="F52" s="1">
        <f>IFERROR(__xludf.DUMMYFUNCTION("""COMPUTED_VALUE"""),5651741.0)</f>
        <v>5651741</v>
      </c>
    </row>
    <row r="53" ht="15.75" customHeight="1">
      <c r="A53" s="10">
        <f>IFERROR(__xludf.DUMMYFUNCTION("""COMPUTED_VALUE"""),43901.66666666667)</f>
        <v>43901.66667</v>
      </c>
      <c r="B53" s="1">
        <f>IFERROR(__xludf.DUMMYFUNCTION("""COMPUTED_VALUE"""),149.73)</f>
        <v>149.73</v>
      </c>
      <c r="C53" s="1">
        <f>IFERROR(__xludf.DUMMYFUNCTION("""COMPUTED_VALUE"""),149.73)</f>
        <v>149.73</v>
      </c>
      <c r="D53" s="1">
        <f>IFERROR(__xludf.DUMMYFUNCTION("""COMPUTED_VALUE"""),146.47)</f>
        <v>146.47</v>
      </c>
      <c r="E53" s="1">
        <f>IFERROR(__xludf.DUMMYFUNCTION("""COMPUTED_VALUE"""),147.24)</f>
        <v>147.24</v>
      </c>
      <c r="F53" s="1">
        <f>IFERROR(__xludf.DUMMYFUNCTION("""COMPUTED_VALUE"""),4753737.0)</f>
        <v>4753737</v>
      </c>
    </row>
    <row r="54" ht="15.75" customHeight="1">
      <c r="A54" s="10">
        <f>IFERROR(__xludf.DUMMYFUNCTION("""COMPUTED_VALUE"""),43902.66666666667)</f>
        <v>43902.66667</v>
      </c>
      <c r="B54" s="1">
        <f>IFERROR(__xludf.DUMMYFUNCTION("""COMPUTED_VALUE"""),139.96)</f>
        <v>139.96</v>
      </c>
      <c r="C54" s="1">
        <f>IFERROR(__xludf.DUMMYFUNCTION("""COMPUTED_VALUE"""),141.71)</f>
        <v>141.71</v>
      </c>
      <c r="D54" s="1">
        <f>IFERROR(__xludf.DUMMYFUNCTION("""COMPUTED_VALUE"""),130.34)</f>
        <v>130.34</v>
      </c>
      <c r="E54" s="1">
        <f>IFERROR(__xludf.DUMMYFUNCTION("""COMPUTED_VALUE"""),133.58)</f>
        <v>133.58</v>
      </c>
      <c r="F54" s="1">
        <f>IFERROR(__xludf.DUMMYFUNCTION("""COMPUTED_VALUE"""),8215829.0)</f>
        <v>8215829</v>
      </c>
    </row>
    <row r="55" ht="15.75" customHeight="1">
      <c r="A55" s="10">
        <f>IFERROR(__xludf.DUMMYFUNCTION("""COMPUTED_VALUE"""),43903.66666666667)</f>
        <v>43903.66667</v>
      </c>
      <c r="B55" s="1">
        <f>IFERROR(__xludf.DUMMYFUNCTION("""COMPUTED_VALUE"""),141.01)</f>
        <v>141.01</v>
      </c>
      <c r="C55" s="1">
        <f>IFERROR(__xludf.DUMMYFUNCTION("""COMPUTED_VALUE"""),141.69)</f>
        <v>141.69</v>
      </c>
      <c r="D55" s="1">
        <f>IFERROR(__xludf.DUMMYFUNCTION("""COMPUTED_VALUE"""),131.0)</f>
        <v>131</v>
      </c>
      <c r="E55" s="1">
        <f>IFERROR(__xludf.DUMMYFUNCTION("""COMPUTED_VALUE"""),141.68)</f>
        <v>141.68</v>
      </c>
      <c r="F55" s="1">
        <f>IFERROR(__xludf.DUMMYFUNCTION("""COMPUTED_VALUE"""),6580346.0)</f>
        <v>6580346</v>
      </c>
    </row>
    <row r="56" ht="15.75" customHeight="1">
      <c r="A56" s="10">
        <f>IFERROR(__xludf.DUMMYFUNCTION("""COMPUTED_VALUE"""),43906.66666666667)</f>
        <v>43906.66667</v>
      </c>
      <c r="B56" s="1">
        <f>IFERROR(__xludf.DUMMYFUNCTION("""COMPUTED_VALUE"""),129.86)</f>
        <v>129.86</v>
      </c>
      <c r="C56" s="1">
        <f>IFERROR(__xludf.DUMMYFUNCTION("""COMPUTED_VALUE"""),135.5)</f>
        <v>135.5</v>
      </c>
      <c r="D56" s="1">
        <f>IFERROR(__xludf.DUMMYFUNCTION("""COMPUTED_VALUE"""),128.01)</f>
        <v>128.01</v>
      </c>
      <c r="E56" s="1">
        <f>IFERROR(__xludf.DUMMYFUNCTION("""COMPUTED_VALUE"""),130.91)</f>
        <v>130.91</v>
      </c>
      <c r="F56" s="1">
        <f>IFERROR(__xludf.DUMMYFUNCTION("""COMPUTED_VALUE"""),7440840.0)</f>
        <v>7440840</v>
      </c>
    </row>
    <row r="57" ht="15.75" customHeight="1">
      <c r="A57" s="10">
        <f>IFERROR(__xludf.DUMMYFUNCTION("""COMPUTED_VALUE"""),43907.66666666667)</f>
        <v>43907.66667</v>
      </c>
      <c r="B57" s="1">
        <f>IFERROR(__xludf.DUMMYFUNCTION("""COMPUTED_VALUE"""),131.94)</f>
        <v>131.94</v>
      </c>
      <c r="C57" s="1">
        <f>IFERROR(__xludf.DUMMYFUNCTION("""COMPUTED_VALUE"""),136.77)</f>
        <v>136.77</v>
      </c>
      <c r="D57" s="1">
        <f>IFERROR(__xludf.DUMMYFUNCTION("""COMPUTED_VALUE"""),129.61)</f>
        <v>129.61</v>
      </c>
      <c r="E57" s="1">
        <f>IFERROR(__xludf.DUMMYFUNCTION("""COMPUTED_VALUE"""),134.44)</f>
        <v>134.44</v>
      </c>
      <c r="F57" s="1">
        <f>IFERROR(__xludf.DUMMYFUNCTION("""COMPUTED_VALUE"""),6535424.0)</f>
        <v>6535424</v>
      </c>
    </row>
    <row r="58" ht="15.75" customHeight="1">
      <c r="A58" s="10">
        <f>IFERROR(__xludf.DUMMYFUNCTION("""COMPUTED_VALUE"""),43908.66666666667)</f>
        <v>43908.66667</v>
      </c>
      <c r="B58" s="1">
        <f>IFERROR(__xludf.DUMMYFUNCTION("""COMPUTED_VALUE"""),128.46)</f>
        <v>128.46</v>
      </c>
      <c r="C58" s="1">
        <f>IFERROR(__xludf.DUMMYFUNCTION("""COMPUTED_VALUE"""),139.37)</f>
        <v>139.37</v>
      </c>
      <c r="D58" s="1">
        <f>IFERROR(__xludf.DUMMYFUNCTION("""COMPUTED_VALUE"""),128.39)</f>
        <v>128.39</v>
      </c>
      <c r="E58" s="1">
        <f>IFERROR(__xludf.DUMMYFUNCTION("""COMPUTED_VALUE"""),137.02)</f>
        <v>137.02</v>
      </c>
      <c r="F58" s="1">
        <f>IFERROR(__xludf.DUMMYFUNCTION("""COMPUTED_VALUE"""),6860393.0)</f>
        <v>6860393</v>
      </c>
    </row>
    <row r="59" ht="15.75" customHeight="1">
      <c r="A59" s="10">
        <f>IFERROR(__xludf.DUMMYFUNCTION("""COMPUTED_VALUE"""),43909.66666666667)</f>
        <v>43909.66667</v>
      </c>
      <c r="B59" s="1">
        <f>IFERROR(__xludf.DUMMYFUNCTION("""COMPUTED_VALUE"""),137.71)</f>
        <v>137.71</v>
      </c>
      <c r="C59" s="1">
        <f>IFERROR(__xludf.DUMMYFUNCTION("""COMPUTED_VALUE"""),140.18)</f>
        <v>140.18</v>
      </c>
      <c r="D59" s="1">
        <f>IFERROR(__xludf.DUMMYFUNCTION("""COMPUTED_VALUE"""),132.93)</f>
        <v>132.93</v>
      </c>
      <c r="E59" s="1">
        <f>IFERROR(__xludf.DUMMYFUNCTION("""COMPUTED_VALUE"""),137.51)</f>
        <v>137.51</v>
      </c>
      <c r="F59" s="1">
        <f>IFERROR(__xludf.DUMMYFUNCTION("""COMPUTED_VALUE"""),6365999.0)</f>
        <v>6365999</v>
      </c>
    </row>
    <row r="60" ht="15.75" customHeight="1">
      <c r="A60" s="10">
        <f>IFERROR(__xludf.DUMMYFUNCTION("""COMPUTED_VALUE"""),43910.66666666667)</f>
        <v>43910.66667</v>
      </c>
      <c r="B60" s="1">
        <f>IFERROR(__xludf.DUMMYFUNCTION("""COMPUTED_VALUE"""),138.07)</f>
        <v>138.07</v>
      </c>
      <c r="C60" s="1">
        <f>IFERROR(__xludf.DUMMYFUNCTION("""COMPUTED_VALUE"""),139.24)</f>
        <v>139.24</v>
      </c>
      <c r="D60" s="1">
        <f>IFERROR(__xludf.DUMMYFUNCTION("""COMPUTED_VALUE"""),122.71)</f>
        <v>122.71</v>
      </c>
      <c r="E60" s="1">
        <f>IFERROR(__xludf.DUMMYFUNCTION("""COMPUTED_VALUE"""),124.89)</f>
        <v>124.89</v>
      </c>
      <c r="F60" s="1">
        <f>IFERROR(__xludf.DUMMYFUNCTION("""COMPUTED_VALUE"""),9589183.0)</f>
        <v>9589183</v>
      </c>
    </row>
    <row r="61" ht="15.75" customHeight="1">
      <c r="A61" s="10">
        <f>IFERROR(__xludf.DUMMYFUNCTION("""COMPUTED_VALUE"""),43913.66666666667)</f>
        <v>43913.66667</v>
      </c>
      <c r="B61" s="1">
        <f>IFERROR(__xludf.DUMMYFUNCTION("""COMPUTED_VALUE"""),128.16)</f>
        <v>128.16</v>
      </c>
      <c r="C61" s="1">
        <f>IFERROR(__xludf.DUMMYFUNCTION("""COMPUTED_VALUE"""),128.4)</f>
        <v>128.4</v>
      </c>
      <c r="D61" s="1">
        <f>IFERROR(__xludf.DUMMYFUNCTION("""COMPUTED_VALUE"""),114.04)</f>
        <v>114.04</v>
      </c>
      <c r="E61" s="1">
        <f>IFERROR(__xludf.DUMMYFUNCTION("""COMPUTED_VALUE"""),117.87)</f>
        <v>117.87</v>
      </c>
      <c r="F61" s="1">
        <f>IFERROR(__xludf.DUMMYFUNCTION("""COMPUTED_VALUE"""),7934299.0)</f>
        <v>7934299</v>
      </c>
    </row>
    <row r="62" ht="15.75" customHeight="1">
      <c r="A62" s="10">
        <f>IFERROR(__xludf.DUMMYFUNCTION("""COMPUTED_VALUE"""),43914.66666666667)</f>
        <v>43914.66667</v>
      </c>
      <c r="B62" s="1">
        <f>IFERROR(__xludf.DUMMYFUNCTION("""COMPUTED_VALUE"""),122.29)</f>
        <v>122.29</v>
      </c>
      <c r="C62" s="1">
        <f>IFERROR(__xludf.DUMMYFUNCTION("""COMPUTED_VALUE"""),133.45)</f>
        <v>133.45</v>
      </c>
      <c r="D62" s="1">
        <f>IFERROR(__xludf.DUMMYFUNCTION("""COMPUTED_VALUE"""),121.0)</f>
        <v>121</v>
      </c>
      <c r="E62" s="1">
        <f>IFERROR(__xludf.DUMMYFUNCTION("""COMPUTED_VALUE"""),132.72)</f>
        <v>132.72</v>
      </c>
      <c r="F62" s="1">
        <f>IFERROR(__xludf.DUMMYFUNCTION("""COMPUTED_VALUE"""),9311725.0)</f>
        <v>9311725</v>
      </c>
    </row>
    <row r="63" ht="15.75" customHeight="1">
      <c r="A63" s="10">
        <f>IFERROR(__xludf.DUMMYFUNCTION("""COMPUTED_VALUE"""),43915.66666666667)</f>
        <v>43915.66667</v>
      </c>
      <c r="B63" s="1">
        <f>IFERROR(__xludf.DUMMYFUNCTION("""COMPUTED_VALUE"""),133.15)</f>
        <v>133.15</v>
      </c>
      <c r="C63" s="1">
        <f>IFERROR(__xludf.DUMMYFUNCTION("""COMPUTED_VALUE"""),134.69)</f>
        <v>134.69</v>
      </c>
      <c r="D63" s="1">
        <f>IFERROR(__xludf.DUMMYFUNCTION("""COMPUTED_VALUE"""),126.8)</f>
        <v>126.8</v>
      </c>
      <c r="E63" s="1">
        <f>IFERROR(__xludf.DUMMYFUNCTION("""COMPUTED_VALUE"""),131.54)</f>
        <v>131.54</v>
      </c>
      <c r="F63" s="1">
        <f>IFERROR(__xludf.DUMMYFUNCTION("""COMPUTED_VALUE"""),7742500.0)</f>
        <v>7742500</v>
      </c>
    </row>
    <row r="64" ht="15.75" customHeight="1">
      <c r="A64" s="10">
        <f>IFERROR(__xludf.DUMMYFUNCTION("""COMPUTED_VALUE"""),43916.66666666667)</f>
        <v>43916.66667</v>
      </c>
      <c r="B64" s="1">
        <f>IFERROR(__xludf.DUMMYFUNCTION("""COMPUTED_VALUE"""),131.79)</f>
        <v>131.79</v>
      </c>
      <c r="C64" s="1">
        <f>IFERROR(__xludf.DUMMYFUNCTION("""COMPUTED_VALUE"""),136.38)</f>
        <v>136.38</v>
      </c>
      <c r="D64" s="1">
        <f>IFERROR(__xludf.DUMMYFUNCTION("""COMPUTED_VALUE"""),130.61)</f>
        <v>130.61</v>
      </c>
      <c r="E64" s="1">
        <f>IFERROR(__xludf.DUMMYFUNCTION("""COMPUTED_VALUE"""),136.18)</f>
        <v>136.18</v>
      </c>
      <c r="F64" s="1">
        <f>IFERROR(__xludf.DUMMYFUNCTION("""COMPUTED_VALUE"""),6718291.0)</f>
        <v>6718291</v>
      </c>
    </row>
    <row r="65" ht="15.75" customHeight="1">
      <c r="A65" s="10">
        <f>IFERROR(__xludf.DUMMYFUNCTION("""COMPUTED_VALUE"""),43917.66666666667)</f>
        <v>43917.66667</v>
      </c>
      <c r="B65" s="1">
        <f>IFERROR(__xludf.DUMMYFUNCTION("""COMPUTED_VALUE"""),132.83)</f>
        <v>132.83</v>
      </c>
      <c r="C65" s="1">
        <f>IFERROR(__xludf.DUMMYFUNCTION("""COMPUTED_VALUE"""),137.07)</f>
        <v>137.07</v>
      </c>
      <c r="D65" s="1">
        <f>IFERROR(__xludf.DUMMYFUNCTION("""COMPUTED_VALUE"""),130.91)</f>
        <v>130.91</v>
      </c>
      <c r="E65" s="1">
        <f>IFERROR(__xludf.DUMMYFUNCTION("""COMPUTED_VALUE"""),133.24)</f>
        <v>133.24</v>
      </c>
      <c r="F65" s="1">
        <f>IFERROR(__xludf.DUMMYFUNCTION("""COMPUTED_VALUE"""),4262337.0)</f>
        <v>4262337</v>
      </c>
    </row>
    <row r="66" ht="15.75" customHeight="1">
      <c r="A66" s="10">
        <f>IFERROR(__xludf.DUMMYFUNCTION("""COMPUTED_VALUE"""),43920.66666666667)</f>
        <v>43920.66667</v>
      </c>
      <c r="B66" s="1">
        <f>IFERROR(__xludf.DUMMYFUNCTION("""COMPUTED_VALUE"""),132.25)</f>
        <v>132.25</v>
      </c>
      <c r="C66" s="1">
        <f>IFERROR(__xludf.DUMMYFUNCTION("""COMPUTED_VALUE"""),138.01)</f>
        <v>138.01</v>
      </c>
      <c r="D66" s="1">
        <f>IFERROR(__xludf.DUMMYFUNCTION("""COMPUTED_VALUE"""),131.06)</f>
        <v>131.06</v>
      </c>
      <c r="E66" s="1">
        <f>IFERROR(__xludf.DUMMYFUNCTION("""COMPUTED_VALUE"""),137.74)</f>
        <v>137.74</v>
      </c>
      <c r="F66" s="1">
        <f>IFERROR(__xludf.DUMMYFUNCTION("""COMPUTED_VALUE"""),3869504.0)</f>
        <v>3869504</v>
      </c>
    </row>
    <row r="67" ht="15.75" customHeight="1">
      <c r="A67" s="10">
        <f>IFERROR(__xludf.DUMMYFUNCTION("""COMPUTED_VALUE"""),43921.66666666667)</f>
        <v>43921.66667</v>
      </c>
      <c r="B67" s="1">
        <f>IFERROR(__xludf.DUMMYFUNCTION("""COMPUTED_VALUE"""),135.69)</f>
        <v>135.69</v>
      </c>
      <c r="C67" s="1">
        <f>IFERROR(__xludf.DUMMYFUNCTION("""COMPUTED_VALUE"""),139.44)</f>
        <v>139.44</v>
      </c>
      <c r="D67" s="1">
        <f>IFERROR(__xludf.DUMMYFUNCTION("""COMPUTED_VALUE"""),135.68)</f>
        <v>135.68</v>
      </c>
      <c r="E67" s="1">
        <f>IFERROR(__xludf.DUMMYFUNCTION("""COMPUTED_VALUE"""),136.51)</f>
        <v>136.51</v>
      </c>
      <c r="F67" s="1">
        <f>IFERROR(__xludf.DUMMYFUNCTION("""COMPUTED_VALUE"""),3614963.0)</f>
        <v>3614963</v>
      </c>
    </row>
    <row r="68" ht="15.75" customHeight="1">
      <c r="A68" s="10">
        <f>IFERROR(__xludf.DUMMYFUNCTION("""COMPUTED_VALUE"""),43922.66666666667)</f>
        <v>43922.66667</v>
      </c>
      <c r="B68" s="1">
        <f>IFERROR(__xludf.DUMMYFUNCTION("""COMPUTED_VALUE"""),132.0)</f>
        <v>132</v>
      </c>
      <c r="C68" s="1">
        <f>IFERROR(__xludf.DUMMYFUNCTION("""COMPUTED_VALUE"""),135.84)</f>
        <v>135.84</v>
      </c>
      <c r="D68" s="1">
        <f>IFERROR(__xludf.DUMMYFUNCTION("""COMPUTED_VALUE"""),131.01)</f>
        <v>131.01</v>
      </c>
      <c r="E68" s="1">
        <f>IFERROR(__xludf.DUMMYFUNCTION("""COMPUTED_VALUE"""),133.14)</f>
        <v>133.14</v>
      </c>
      <c r="F68" s="1">
        <f>IFERROR(__xludf.DUMMYFUNCTION("""COMPUTED_VALUE"""),3777954.0)</f>
        <v>3777954</v>
      </c>
    </row>
    <row r="69" ht="15.75" customHeight="1">
      <c r="A69" s="10">
        <f>IFERROR(__xludf.DUMMYFUNCTION("""COMPUTED_VALUE"""),43923.66666666667)</f>
        <v>43923.66667</v>
      </c>
      <c r="B69" s="1">
        <f>IFERROR(__xludf.DUMMYFUNCTION("""COMPUTED_VALUE"""),132.36)</f>
        <v>132.36</v>
      </c>
      <c r="C69" s="1">
        <f>IFERROR(__xludf.DUMMYFUNCTION("""COMPUTED_VALUE"""),138.21)</f>
        <v>138.21</v>
      </c>
      <c r="D69" s="1">
        <f>IFERROR(__xludf.DUMMYFUNCTION("""COMPUTED_VALUE"""),132.1)</f>
        <v>132.1</v>
      </c>
      <c r="E69" s="1">
        <f>IFERROR(__xludf.DUMMYFUNCTION("""COMPUTED_VALUE"""),137.91)</f>
        <v>137.91</v>
      </c>
      <c r="F69" s="1">
        <f>IFERROR(__xludf.DUMMYFUNCTION("""COMPUTED_VALUE"""),3990340.0)</f>
        <v>3990340</v>
      </c>
    </row>
    <row r="70" ht="15.75" customHeight="1">
      <c r="A70" s="10">
        <f>IFERROR(__xludf.DUMMYFUNCTION("""COMPUTED_VALUE"""),43924.66666666667)</f>
        <v>43924.66667</v>
      </c>
      <c r="B70" s="1">
        <f>IFERROR(__xludf.DUMMYFUNCTION("""COMPUTED_VALUE"""),136.01)</f>
        <v>136.01</v>
      </c>
      <c r="C70" s="1">
        <f>IFERROR(__xludf.DUMMYFUNCTION("""COMPUTED_VALUE"""),137.44)</f>
        <v>137.44</v>
      </c>
      <c r="D70" s="1">
        <f>IFERROR(__xludf.DUMMYFUNCTION("""COMPUTED_VALUE"""),132.9)</f>
        <v>132.9</v>
      </c>
      <c r="E70" s="1">
        <f>IFERROR(__xludf.DUMMYFUNCTION("""COMPUTED_VALUE"""),133.79)</f>
        <v>133.79</v>
      </c>
      <c r="F70" s="1">
        <f>IFERROR(__xludf.DUMMYFUNCTION("""COMPUTED_VALUE"""),3588252.0)</f>
        <v>3588252</v>
      </c>
    </row>
    <row r="71" ht="15.75" customHeight="1">
      <c r="A71" s="10">
        <f>IFERROR(__xludf.DUMMYFUNCTION("""COMPUTED_VALUE"""),43927.66666666667)</f>
        <v>43927.66667</v>
      </c>
      <c r="B71" s="1">
        <f>IFERROR(__xludf.DUMMYFUNCTION("""COMPUTED_VALUE"""),137.86)</f>
        <v>137.86</v>
      </c>
      <c r="C71" s="1">
        <f>IFERROR(__xludf.DUMMYFUNCTION("""COMPUTED_VALUE"""),141.25)</f>
        <v>141.25</v>
      </c>
      <c r="D71" s="1">
        <f>IFERROR(__xludf.DUMMYFUNCTION("""COMPUTED_VALUE"""),136.9)</f>
        <v>136.9</v>
      </c>
      <c r="E71" s="1">
        <f>IFERROR(__xludf.DUMMYFUNCTION("""COMPUTED_VALUE"""),140.7)</f>
        <v>140.7</v>
      </c>
      <c r="F71" s="1">
        <f>IFERROR(__xludf.DUMMYFUNCTION("""COMPUTED_VALUE"""),5639666.0)</f>
        <v>5639666</v>
      </c>
    </row>
    <row r="72" ht="15.75" customHeight="1">
      <c r="A72" s="10">
        <f>IFERROR(__xludf.DUMMYFUNCTION("""COMPUTED_VALUE"""),43928.66666666667)</f>
        <v>43928.66667</v>
      </c>
      <c r="B72" s="1">
        <f>IFERROR(__xludf.DUMMYFUNCTION("""COMPUTED_VALUE"""),147.5)</f>
        <v>147.5</v>
      </c>
      <c r="C72" s="1">
        <f>IFERROR(__xludf.DUMMYFUNCTION("""COMPUTED_VALUE"""),150.64)</f>
        <v>150.64</v>
      </c>
      <c r="D72" s="1">
        <f>IFERROR(__xludf.DUMMYFUNCTION("""COMPUTED_VALUE"""),144.4)</f>
        <v>144.4</v>
      </c>
      <c r="E72" s="1">
        <f>IFERROR(__xludf.DUMMYFUNCTION("""COMPUTED_VALUE"""),144.6)</f>
        <v>144.6</v>
      </c>
      <c r="F72" s="1">
        <f>IFERROR(__xludf.DUMMYFUNCTION("""COMPUTED_VALUE"""),5496738.0)</f>
        <v>5496738</v>
      </c>
    </row>
    <row r="73" ht="15.75" customHeight="1">
      <c r="A73" s="10">
        <f>IFERROR(__xludf.DUMMYFUNCTION("""COMPUTED_VALUE"""),43929.66666666667)</f>
        <v>43929.66667</v>
      </c>
      <c r="B73" s="1">
        <f>IFERROR(__xludf.DUMMYFUNCTION("""COMPUTED_VALUE"""),145.73)</f>
        <v>145.73</v>
      </c>
      <c r="C73" s="1">
        <f>IFERROR(__xludf.DUMMYFUNCTION("""COMPUTED_VALUE"""),149.72)</f>
        <v>149.72</v>
      </c>
      <c r="D73" s="1">
        <f>IFERROR(__xludf.DUMMYFUNCTION("""COMPUTED_VALUE"""),143.91)</f>
        <v>143.91</v>
      </c>
      <c r="E73" s="1">
        <f>IFERROR(__xludf.DUMMYFUNCTION("""COMPUTED_VALUE"""),148.99)</f>
        <v>148.99</v>
      </c>
      <c r="F73" s="1">
        <f>IFERROR(__xludf.DUMMYFUNCTION("""COMPUTED_VALUE"""),3071063.0)</f>
        <v>3071063</v>
      </c>
    </row>
    <row r="74" ht="15.75" customHeight="1">
      <c r="A74" s="10">
        <f>IFERROR(__xludf.DUMMYFUNCTION("""COMPUTED_VALUE"""),43930.66666666667)</f>
        <v>43930.66667</v>
      </c>
      <c r="B74" s="1">
        <f>IFERROR(__xludf.DUMMYFUNCTION("""COMPUTED_VALUE"""),148.46)</f>
        <v>148.46</v>
      </c>
      <c r="C74" s="1">
        <f>IFERROR(__xludf.DUMMYFUNCTION("""COMPUTED_VALUE"""),149.73)</f>
        <v>149.73</v>
      </c>
      <c r="D74" s="1">
        <f>IFERROR(__xludf.DUMMYFUNCTION("""COMPUTED_VALUE"""),146.54)</f>
        <v>146.54</v>
      </c>
      <c r="E74" s="1">
        <f>IFERROR(__xludf.DUMMYFUNCTION("""COMPUTED_VALUE"""),147.78)</f>
        <v>147.78</v>
      </c>
      <c r="F74" s="1">
        <f>IFERROR(__xludf.DUMMYFUNCTION("""COMPUTED_VALUE"""),4784237.0)</f>
        <v>4784237</v>
      </c>
    </row>
    <row r="75" ht="15.75" customHeight="1">
      <c r="A75" s="10">
        <f>IFERROR(__xludf.DUMMYFUNCTION("""COMPUTED_VALUE"""),43934.66666666667)</f>
        <v>43934.66667</v>
      </c>
      <c r="B75" s="1">
        <f>IFERROR(__xludf.DUMMYFUNCTION("""COMPUTED_VALUE"""),147.5)</f>
        <v>147.5</v>
      </c>
      <c r="C75" s="1">
        <f>IFERROR(__xludf.DUMMYFUNCTION("""COMPUTED_VALUE"""),148.58)</f>
        <v>148.58</v>
      </c>
      <c r="D75" s="1">
        <f>IFERROR(__xludf.DUMMYFUNCTION("""COMPUTED_VALUE"""),145.3)</f>
        <v>145.3</v>
      </c>
      <c r="E75" s="1">
        <f>IFERROR(__xludf.DUMMYFUNCTION("""COMPUTED_VALUE"""),146.4)</f>
        <v>146.4</v>
      </c>
      <c r="F75" s="1">
        <f>IFERROR(__xludf.DUMMYFUNCTION("""COMPUTED_VALUE"""),2642295.0)</f>
        <v>2642295</v>
      </c>
    </row>
    <row r="76" ht="15.75" customHeight="1">
      <c r="A76" s="10">
        <f>IFERROR(__xludf.DUMMYFUNCTION("""COMPUTED_VALUE"""),43935.66666666667)</f>
        <v>43935.66667</v>
      </c>
      <c r="B76" s="1">
        <f>IFERROR(__xludf.DUMMYFUNCTION("""COMPUTED_VALUE"""),149.62)</f>
        <v>149.62</v>
      </c>
      <c r="C76" s="1">
        <f>IFERROR(__xludf.DUMMYFUNCTION("""COMPUTED_VALUE"""),150.98)</f>
        <v>150.98</v>
      </c>
      <c r="D76" s="1">
        <f>IFERROR(__xludf.DUMMYFUNCTION("""COMPUTED_VALUE"""),148.05)</f>
        <v>148.05</v>
      </c>
      <c r="E76" s="1">
        <f>IFERROR(__xludf.DUMMYFUNCTION("""COMPUTED_VALUE"""),150.14)</f>
        <v>150.14</v>
      </c>
      <c r="F76" s="1">
        <f>IFERROR(__xludf.DUMMYFUNCTION("""COMPUTED_VALUE"""),3318390.0)</f>
        <v>3318390</v>
      </c>
    </row>
    <row r="77" ht="15.75" customHeight="1">
      <c r="A77" s="10">
        <f>IFERROR(__xludf.DUMMYFUNCTION("""COMPUTED_VALUE"""),43936.66666666667)</f>
        <v>43936.66667</v>
      </c>
      <c r="B77" s="1">
        <f>IFERROR(__xludf.DUMMYFUNCTION("""COMPUTED_VALUE"""),148.19)</f>
        <v>148.19</v>
      </c>
      <c r="C77" s="1">
        <f>IFERROR(__xludf.DUMMYFUNCTION("""COMPUTED_VALUE"""),148.55)</f>
        <v>148.55</v>
      </c>
      <c r="D77" s="1">
        <f>IFERROR(__xludf.DUMMYFUNCTION("""COMPUTED_VALUE"""),144.9)</f>
        <v>144.9</v>
      </c>
      <c r="E77" s="1">
        <f>IFERROR(__xludf.DUMMYFUNCTION("""COMPUTED_VALUE"""),145.16)</f>
        <v>145.16</v>
      </c>
      <c r="F77" s="1">
        <f>IFERROR(__xludf.DUMMYFUNCTION("""COMPUTED_VALUE"""),3043859.0)</f>
        <v>3043859</v>
      </c>
    </row>
    <row r="78" ht="15.75" customHeight="1">
      <c r="A78" s="10">
        <f>IFERROR(__xludf.DUMMYFUNCTION("""COMPUTED_VALUE"""),43937.66666666667)</f>
        <v>43937.66667</v>
      </c>
      <c r="B78" s="1">
        <f>IFERROR(__xludf.DUMMYFUNCTION("""COMPUTED_VALUE"""),145.27)</f>
        <v>145.27</v>
      </c>
      <c r="C78" s="1">
        <f>IFERROR(__xludf.DUMMYFUNCTION("""COMPUTED_VALUE"""),146.45)</f>
        <v>146.45</v>
      </c>
      <c r="D78" s="1">
        <f>IFERROR(__xludf.DUMMYFUNCTION("""COMPUTED_VALUE"""),143.23)</f>
        <v>143.23</v>
      </c>
      <c r="E78" s="1">
        <f>IFERROR(__xludf.DUMMYFUNCTION("""COMPUTED_VALUE"""),144.9)</f>
        <v>144.9</v>
      </c>
      <c r="F78" s="1">
        <f>IFERROR(__xludf.DUMMYFUNCTION("""COMPUTED_VALUE"""),4170357.0)</f>
        <v>4170357</v>
      </c>
    </row>
    <row r="79" ht="15.75" customHeight="1">
      <c r="A79" s="10">
        <f>IFERROR(__xludf.DUMMYFUNCTION("""COMPUTED_VALUE"""),43938.66666666667)</f>
        <v>43938.66667</v>
      </c>
      <c r="B79" s="1">
        <f>IFERROR(__xludf.DUMMYFUNCTION("""COMPUTED_VALUE"""),147.44)</f>
        <v>147.44</v>
      </c>
      <c r="C79" s="1">
        <f>IFERROR(__xludf.DUMMYFUNCTION("""COMPUTED_VALUE"""),148.5)</f>
        <v>148.5</v>
      </c>
      <c r="D79" s="1">
        <f>IFERROR(__xludf.DUMMYFUNCTION("""COMPUTED_VALUE"""),144.8)</f>
        <v>144.8</v>
      </c>
      <c r="E79" s="1">
        <f>IFERROR(__xludf.DUMMYFUNCTION("""COMPUTED_VALUE"""),146.46)</f>
        <v>146.46</v>
      </c>
      <c r="F79" s="1">
        <f>IFERROR(__xludf.DUMMYFUNCTION("""COMPUTED_VALUE"""),5393130.0)</f>
        <v>5393130</v>
      </c>
    </row>
    <row r="80" ht="15.75" customHeight="1">
      <c r="A80" s="10">
        <f>IFERROR(__xludf.DUMMYFUNCTION("""COMPUTED_VALUE"""),43941.66666666667)</f>
        <v>43941.66667</v>
      </c>
      <c r="B80" s="1">
        <f>IFERROR(__xludf.DUMMYFUNCTION("""COMPUTED_VALUE"""),144.75)</f>
        <v>144.75</v>
      </c>
      <c r="C80" s="1">
        <f>IFERROR(__xludf.DUMMYFUNCTION("""COMPUTED_VALUE"""),147.02)</f>
        <v>147.02</v>
      </c>
      <c r="D80" s="1">
        <f>IFERROR(__xludf.DUMMYFUNCTION("""COMPUTED_VALUE"""),143.65)</f>
        <v>143.65</v>
      </c>
      <c r="E80" s="1">
        <f>IFERROR(__xludf.DUMMYFUNCTION("""COMPUTED_VALUE"""),143.67)</f>
        <v>143.67</v>
      </c>
      <c r="F80" s="1">
        <f>IFERROR(__xludf.DUMMYFUNCTION("""COMPUTED_VALUE"""),2893045.0)</f>
        <v>2893045</v>
      </c>
    </row>
    <row r="81" ht="15.75" customHeight="1">
      <c r="A81" s="10">
        <f>IFERROR(__xludf.DUMMYFUNCTION("""COMPUTED_VALUE"""),43942.66666666667)</f>
        <v>43942.66667</v>
      </c>
      <c r="B81" s="1">
        <f>IFERROR(__xludf.DUMMYFUNCTION("""COMPUTED_VALUE"""),142.25)</f>
        <v>142.25</v>
      </c>
      <c r="C81" s="1">
        <f>IFERROR(__xludf.DUMMYFUNCTION("""COMPUTED_VALUE"""),142.77)</f>
        <v>142.77</v>
      </c>
      <c r="D81" s="1">
        <f>IFERROR(__xludf.DUMMYFUNCTION("""COMPUTED_VALUE"""),140.5)</f>
        <v>140.5</v>
      </c>
      <c r="E81" s="1">
        <f>IFERROR(__xludf.DUMMYFUNCTION("""COMPUTED_VALUE"""),141.63)</f>
        <v>141.63</v>
      </c>
      <c r="F81" s="1">
        <f>IFERROR(__xludf.DUMMYFUNCTION("""COMPUTED_VALUE"""),2331372.0)</f>
        <v>2331372</v>
      </c>
    </row>
    <row r="82" ht="15.75" customHeight="1">
      <c r="A82" s="10">
        <f>IFERROR(__xludf.DUMMYFUNCTION("""COMPUTED_VALUE"""),43943.66666666667)</f>
        <v>43943.66667</v>
      </c>
      <c r="B82" s="1">
        <f>IFERROR(__xludf.DUMMYFUNCTION("""COMPUTED_VALUE"""),143.36)</f>
        <v>143.36</v>
      </c>
      <c r="C82" s="1">
        <f>IFERROR(__xludf.DUMMYFUNCTION("""COMPUTED_VALUE"""),144.48)</f>
        <v>144.48</v>
      </c>
      <c r="D82" s="1">
        <f>IFERROR(__xludf.DUMMYFUNCTION("""COMPUTED_VALUE"""),141.71)</f>
        <v>141.71</v>
      </c>
      <c r="E82" s="1">
        <f>IFERROR(__xludf.DUMMYFUNCTION("""COMPUTED_VALUE"""),143.61)</f>
        <v>143.61</v>
      </c>
      <c r="F82" s="1">
        <f>IFERROR(__xludf.DUMMYFUNCTION("""COMPUTED_VALUE"""),2750414.0)</f>
        <v>2750414</v>
      </c>
    </row>
    <row r="83" ht="15.75" customHeight="1">
      <c r="A83" s="10">
        <f>IFERROR(__xludf.DUMMYFUNCTION("""COMPUTED_VALUE"""),43944.66666666667)</f>
        <v>43944.66667</v>
      </c>
      <c r="B83" s="1">
        <f>IFERROR(__xludf.DUMMYFUNCTION("""COMPUTED_VALUE"""),144.58)</f>
        <v>144.58</v>
      </c>
      <c r="C83" s="1">
        <f>IFERROR(__xludf.DUMMYFUNCTION("""COMPUTED_VALUE"""),147.58)</f>
        <v>147.58</v>
      </c>
      <c r="D83" s="1">
        <f>IFERROR(__xludf.DUMMYFUNCTION("""COMPUTED_VALUE"""),143.88)</f>
        <v>143.88</v>
      </c>
      <c r="E83" s="1">
        <f>IFERROR(__xludf.DUMMYFUNCTION("""COMPUTED_VALUE"""),144.33)</f>
        <v>144.33</v>
      </c>
      <c r="F83" s="1">
        <f>IFERROR(__xludf.DUMMYFUNCTION("""COMPUTED_VALUE"""),2585335.0)</f>
        <v>2585335</v>
      </c>
    </row>
    <row r="84" ht="15.75" customHeight="1">
      <c r="A84" s="10">
        <f>IFERROR(__xludf.DUMMYFUNCTION("""COMPUTED_VALUE"""),43945.66666666667)</f>
        <v>43945.66667</v>
      </c>
      <c r="B84" s="1">
        <f>IFERROR(__xludf.DUMMYFUNCTION("""COMPUTED_VALUE"""),145.17)</f>
        <v>145.17</v>
      </c>
      <c r="C84" s="1">
        <f>IFERROR(__xludf.DUMMYFUNCTION("""COMPUTED_VALUE"""),147.34)</f>
        <v>147.34</v>
      </c>
      <c r="D84" s="1">
        <f>IFERROR(__xludf.DUMMYFUNCTION("""COMPUTED_VALUE"""),144.31)</f>
        <v>144.31</v>
      </c>
      <c r="E84" s="1">
        <f>IFERROR(__xludf.DUMMYFUNCTION("""COMPUTED_VALUE"""),147.0)</f>
        <v>147</v>
      </c>
      <c r="F84" s="1">
        <f>IFERROR(__xludf.DUMMYFUNCTION("""COMPUTED_VALUE"""),2247654.0)</f>
        <v>2247654</v>
      </c>
    </row>
    <row r="85" ht="15.75" customHeight="1">
      <c r="A85" s="10">
        <f>IFERROR(__xludf.DUMMYFUNCTION("""COMPUTED_VALUE"""),43948.66666666667)</f>
        <v>43948.66667</v>
      </c>
      <c r="B85" s="1">
        <f>IFERROR(__xludf.DUMMYFUNCTION("""COMPUTED_VALUE"""),148.0)</f>
        <v>148</v>
      </c>
      <c r="C85" s="1">
        <f>IFERROR(__xludf.DUMMYFUNCTION("""COMPUTED_VALUE"""),154.49)</f>
        <v>154.49</v>
      </c>
      <c r="D85" s="1">
        <f>IFERROR(__xludf.DUMMYFUNCTION("""COMPUTED_VALUE"""),147.89)</f>
        <v>147.89</v>
      </c>
      <c r="E85" s="1">
        <f>IFERROR(__xludf.DUMMYFUNCTION("""COMPUTED_VALUE"""),153.65)</f>
        <v>153.65</v>
      </c>
      <c r="F85" s="1">
        <f>IFERROR(__xludf.DUMMYFUNCTION("""COMPUTED_VALUE"""),4644944.0)</f>
        <v>4644944</v>
      </c>
    </row>
    <row r="86" ht="15.75" customHeight="1">
      <c r="A86" s="10">
        <f>IFERROR(__xludf.DUMMYFUNCTION("""COMPUTED_VALUE"""),43949.66666666667)</f>
        <v>43949.66667</v>
      </c>
      <c r="B86" s="1">
        <f>IFERROR(__xludf.DUMMYFUNCTION("""COMPUTED_VALUE"""),160.03)</f>
        <v>160.03</v>
      </c>
      <c r="C86" s="1">
        <f>IFERROR(__xludf.DUMMYFUNCTION("""COMPUTED_VALUE"""),163.08)</f>
        <v>163.08</v>
      </c>
      <c r="D86" s="1">
        <f>IFERROR(__xludf.DUMMYFUNCTION("""COMPUTED_VALUE"""),155.2)</f>
        <v>155.2</v>
      </c>
      <c r="E86" s="1">
        <f>IFERROR(__xludf.DUMMYFUNCTION("""COMPUTED_VALUE"""),157.61)</f>
        <v>157.61</v>
      </c>
      <c r="F86" s="1">
        <f>IFERROR(__xludf.DUMMYFUNCTION("""COMPUTED_VALUE"""),8294104.0)</f>
        <v>8294104</v>
      </c>
    </row>
    <row r="87" ht="15.75" customHeight="1">
      <c r="A87" s="10">
        <f>IFERROR(__xludf.DUMMYFUNCTION("""COMPUTED_VALUE"""),43950.66666666667)</f>
        <v>43950.66667</v>
      </c>
      <c r="B87" s="1">
        <f>IFERROR(__xludf.DUMMYFUNCTION("""COMPUTED_VALUE"""),158.54)</f>
        <v>158.54</v>
      </c>
      <c r="C87" s="1">
        <f>IFERROR(__xludf.DUMMYFUNCTION("""COMPUTED_VALUE"""),160.22)</f>
        <v>160.22</v>
      </c>
      <c r="D87" s="1">
        <f>IFERROR(__xludf.DUMMYFUNCTION("""COMPUTED_VALUE"""),155.17)</f>
        <v>155.17</v>
      </c>
      <c r="E87" s="1">
        <f>IFERROR(__xludf.DUMMYFUNCTION("""COMPUTED_VALUE"""),156.26)</f>
        <v>156.26</v>
      </c>
      <c r="F87" s="1">
        <f>IFERROR(__xludf.DUMMYFUNCTION("""COMPUTED_VALUE"""),3987124.0)</f>
        <v>3987124</v>
      </c>
    </row>
    <row r="88" ht="15.75" customHeight="1">
      <c r="A88" s="10">
        <f>IFERROR(__xludf.DUMMYFUNCTION("""COMPUTED_VALUE"""),43951.66666666667)</f>
        <v>43951.66667</v>
      </c>
      <c r="B88" s="1">
        <f>IFERROR(__xludf.DUMMYFUNCTION("""COMPUTED_VALUE"""),154.31)</f>
        <v>154.31</v>
      </c>
      <c r="C88" s="1">
        <f>IFERROR(__xludf.DUMMYFUNCTION("""COMPUTED_VALUE"""),154.94)</f>
        <v>154.94</v>
      </c>
      <c r="D88" s="1">
        <f>IFERROR(__xludf.DUMMYFUNCTION("""COMPUTED_VALUE"""),151.75)</f>
        <v>151.75</v>
      </c>
      <c r="E88" s="1">
        <f>IFERROR(__xludf.DUMMYFUNCTION("""COMPUTED_VALUE"""),151.92)</f>
        <v>151.92</v>
      </c>
      <c r="F88" s="1">
        <f>IFERROR(__xludf.DUMMYFUNCTION("""COMPUTED_VALUE"""),3667848.0)</f>
        <v>3667848</v>
      </c>
    </row>
    <row r="89" ht="15.75" customHeight="1">
      <c r="A89" s="10">
        <f>IFERROR(__xludf.DUMMYFUNCTION("""COMPUTED_VALUE"""),43952.66666666667)</f>
        <v>43952.66667</v>
      </c>
      <c r="B89" s="1">
        <f>IFERROR(__xludf.DUMMYFUNCTION("""COMPUTED_VALUE"""),149.3)</f>
        <v>149.3</v>
      </c>
      <c r="C89" s="1">
        <f>IFERROR(__xludf.DUMMYFUNCTION("""COMPUTED_VALUE"""),150.04)</f>
        <v>150.04</v>
      </c>
      <c r="D89" s="1">
        <f>IFERROR(__xludf.DUMMYFUNCTION("""COMPUTED_VALUE"""),147.73)</f>
        <v>147.73</v>
      </c>
      <c r="E89" s="1">
        <f>IFERROR(__xludf.DUMMYFUNCTION("""COMPUTED_VALUE"""),148.6)</f>
        <v>148.6</v>
      </c>
      <c r="F89" s="1">
        <f>IFERROR(__xludf.DUMMYFUNCTION("""COMPUTED_VALUE"""),2926714.0)</f>
        <v>2926714</v>
      </c>
    </row>
    <row r="90" ht="15.75" customHeight="1">
      <c r="A90" s="10">
        <f>IFERROR(__xludf.DUMMYFUNCTION("""COMPUTED_VALUE"""),43955.66666666667)</f>
        <v>43955.66667</v>
      </c>
      <c r="B90" s="1">
        <f>IFERROR(__xludf.DUMMYFUNCTION("""COMPUTED_VALUE"""),148.54)</f>
        <v>148.54</v>
      </c>
      <c r="C90" s="1">
        <f>IFERROR(__xludf.DUMMYFUNCTION("""COMPUTED_VALUE"""),148.56)</f>
        <v>148.56</v>
      </c>
      <c r="D90" s="1">
        <f>IFERROR(__xludf.DUMMYFUNCTION("""COMPUTED_VALUE"""),146.06)</f>
        <v>146.06</v>
      </c>
      <c r="E90" s="1">
        <f>IFERROR(__xludf.DUMMYFUNCTION("""COMPUTED_VALUE"""),148.4)</f>
        <v>148.4</v>
      </c>
      <c r="F90" s="1">
        <f>IFERROR(__xludf.DUMMYFUNCTION("""COMPUTED_VALUE"""),2229849.0)</f>
        <v>2229849</v>
      </c>
    </row>
    <row r="91" ht="15.75" customHeight="1">
      <c r="A91" s="10">
        <f>IFERROR(__xludf.DUMMYFUNCTION("""COMPUTED_VALUE"""),43956.66666666667)</f>
        <v>43956.66667</v>
      </c>
      <c r="B91" s="1">
        <f>IFERROR(__xludf.DUMMYFUNCTION("""COMPUTED_VALUE"""),149.89)</f>
        <v>149.89</v>
      </c>
      <c r="C91" s="1">
        <f>IFERROR(__xludf.DUMMYFUNCTION("""COMPUTED_VALUE"""),150.0)</f>
        <v>150</v>
      </c>
      <c r="D91" s="1">
        <f>IFERROR(__xludf.DUMMYFUNCTION("""COMPUTED_VALUE"""),147.1)</f>
        <v>147.1</v>
      </c>
      <c r="E91" s="1">
        <f>IFERROR(__xludf.DUMMYFUNCTION("""COMPUTED_VALUE"""),147.43)</f>
        <v>147.43</v>
      </c>
      <c r="F91" s="1">
        <f>IFERROR(__xludf.DUMMYFUNCTION("""COMPUTED_VALUE"""),2269160.0)</f>
        <v>2269160</v>
      </c>
    </row>
    <row r="92" ht="15.75" customHeight="1">
      <c r="A92" s="10">
        <f>IFERROR(__xludf.DUMMYFUNCTION("""COMPUTED_VALUE"""),43957.66666666667)</f>
        <v>43957.66667</v>
      </c>
      <c r="B92" s="1">
        <f>IFERROR(__xludf.DUMMYFUNCTION("""COMPUTED_VALUE"""),147.79)</f>
        <v>147.79</v>
      </c>
      <c r="C92" s="1">
        <f>IFERROR(__xludf.DUMMYFUNCTION("""COMPUTED_VALUE"""),148.17)</f>
        <v>148.17</v>
      </c>
      <c r="D92" s="1">
        <f>IFERROR(__xludf.DUMMYFUNCTION("""COMPUTED_VALUE"""),145.99)</f>
        <v>145.99</v>
      </c>
      <c r="E92" s="1">
        <f>IFERROR(__xludf.DUMMYFUNCTION("""COMPUTED_VALUE"""),146.2)</f>
        <v>146.2</v>
      </c>
      <c r="F92" s="1">
        <f>IFERROR(__xludf.DUMMYFUNCTION("""COMPUTED_VALUE"""),2168564.0)</f>
        <v>2168564</v>
      </c>
    </row>
    <row r="93" ht="15.75" customHeight="1">
      <c r="A93" s="10">
        <f>IFERROR(__xludf.DUMMYFUNCTION("""COMPUTED_VALUE"""),43958.66666666667)</f>
        <v>43958.66667</v>
      </c>
      <c r="B93" s="1">
        <f>IFERROR(__xludf.DUMMYFUNCTION("""COMPUTED_VALUE"""),147.7)</f>
        <v>147.7</v>
      </c>
      <c r="C93" s="1">
        <f>IFERROR(__xludf.DUMMYFUNCTION("""COMPUTED_VALUE"""),147.85)</f>
        <v>147.85</v>
      </c>
      <c r="D93" s="1">
        <f>IFERROR(__xludf.DUMMYFUNCTION("""COMPUTED_VALUE"""),144.9)</f>
        <v>144.9</v>
      </c>
      <c r="E93" s="1">
        <f>IFERROR(__xludf.DUMMYFUNCTION("""COMPUTED_VALUE"""),145.74)</f>
        <v>145.74</v>
      </c>
      <c r="F93" s="1">
        <f>IFERROR(__xludf.DUMMYFUNCTION("""COMPUTED_VALUE"""),2801164.0)</f>
        <v>2801164</v>
      </c>
    </row>
    <row r="94" ht="15.75" customHeight="1">
      <c r="A94" s="10">
        <f>IFERROR(__xludf.DUMMYFUNCTION("""COMPUTED_VALUE"""),43959.66666666667)</f>
        <v>43959.66667</v>
      </c>
      <c r="B94" s="1">
        <f>IFERROR(__xludf.DUMMYFUNCTION("""COMPUTED_VALUE"""),147.08)</f>
        <v>147.08</v>
      </c>
      <c r="C94" s="1">
        <f>IFERROR(__xludf.DUMMYFUNCTION("""COMPUTED_VALUE"""),149.18)</f>
        <v>149.18</v>
      </c>
      <c r="D94" s="1">
        <f>IFERROR(__xludf.DUMMYFUNCTION("""COMPUTED_VALUE"""),146.38)</f>
        <v>146.38</v>
      </c>
      <c r="E94" s="1">
        <f>IFERROR(__xludf.DUMMYFUNCTION("""COMPUTED_VALUE"""),148.51)</f>
        <v>148.51</v>
      </c>
      <c r="F94" s="1">
        <f>IFERROR(__xludf.DUMMYFUNCTION("""COMPUTED_VALUE"""),2170027.0)</f>
        <v>2170027</v>
      </c>
    </row>
    <row r="95" ht="15.75" customHeight="1">
      <c r="A95" s="10">
        <f>IFERROR(__xludf.DUMMYFUNCTION("""COMPUTED_VALUE"""),43962.66666666667)</f>
        <v>43962.66667</v>
      </c>
      <c r="B95" s="1">
        <f>IFERROR(__xludf.DUMMYFUNCTION("""COMPUTED_VALUE"""),147.82)</f>
        <v>147.82</v>
      </c>
      <c r="C95" s="1">
        <f>IFERROR(__xludf.DUMMYFUNCTION("""COMPUTED_VALUE"""),147.96)</f>
        <v>147.96</v>
      </c>
      <c r="D95" s="1">
        <f>IFERROR(__xludf.DUMMYFUNCTION("""COMPUTED_VALUE"""),145.59)</f>
        <v>145.59</v>
      </c>
      <c r="E95" s="1">
        <f>IFERROR(__xludf.DUMMYFUNCTION("""COMPUTED_VALUE"""),145.73)</f>
        <v>145.73</v>
      </c>
      <c r="F95" s="1">
        <f>IFERROR(__xludf.DUMMYFUNCTION("""COMPUTED_VALUE"""),3034572.0)</f>
        <v>3034572</v>
      </c>
    </row>
    <row r="96" ht="15.75" customHeight="1">
      <c r="A96" s="10">
        <f>IFERROR(__xludf.DUMMYFUNCTION("""COMPUTED_VALUE"""),43963.66666666667)</f>
        <v>43963.66667</v>
      </c>
      <c r="B96" s="1">
        <f>IFERROR(__xludf.DUMMYFUNCTION("""COMPUTED_VALUE"""),146.55)</f>
        <v>146.55</v>
      </c>
      <c r="C96" s="1">
        <f>IFERROR(__xludf.DUMMYFUNCTION("""COMPUTED_VALUE"""),147.22)</f>
        <v>147.22</v>
      </c>
      <c r="D96" s="1">
        <f>IFERROR(__xludf.DUMMYFUNCTION("""COMPUTED_VALUE"""),141.45)</f>
        <v>141.45</v>
      </c>
      <c r="E96" s="1">
        <f>IFERROR(__xludf.DUMMYFUNCTION("""COMPUTED_VALUE"""),141.52)</f>
        <v>141.52</v>
      </c>
      <c r="F96" s="1">
        <f>IFERROR(__xludf.DUMMYFUNCTION("""COMPUTED_VALUE"""),3029968.0)</f>
        <v>3029968</v>
      </c>
    </row>
    <row r="97" ht="15.75" customHeight="1">
      <c r="A97" s="10">
        <f>IFERROR(__xludf.DUMMYFUNCTION("""COMPUTED_VALUE"""),43964.66666666667)</f>
        <v>43964.66667</v>
      </c>
      <c r="B97" s="1">
        <f>IFERROR(__xludf.DUMMYFUNCTION("""COMPUTED_VALUE"""),140.71)</f>
        <v>140.71</v>
      </c>
      <c r="C97" s="1">
        <f>IFERROR(__xludf.DUMMYFUNCTION("""COMPUTED_VALUE"""),140.73)</f>
        <v>140.73</v>
      </c>
      <c r="D97" s="1">
        <f>IFERROR(__xludf.DUMMYFUNCTION("""COMPUTED_VALUE"""),135.0)</f>
        <v>135</v>
      </c>
      <c r="E97" s="1">
        <f>IFERROR(__xludf.DUMMYFUNCTION("""COMPUTED_VALUE"""),136.12)</f>
        <v>136.12</v>
      </c>
      <c r="F97" s="1">
        <f>IFERROR(__xludf.DUMMYFUNCTION("""COMPUTED_VALUE"""),4806049.0)</f>
        <v>4806049</v>
      </c>
    </row>
    <row r="98" ht="15.75" customHeight="1">
      <c r="A98" s="10">
        <f>IFERROR(__xludf.DUMMYFUNCTION("""COMPUTED_VALUE"""),43965.66666666667)</f>
        <v>43965.66667</v>
      </c>
      <c r="B98" s="1">
        <f>IFERROR(__xludf.DUMMYFUNCTION("""COMPUTED_VALUE"""),135.0)</f>
        <v>135</v>
      </c>
      <c r="C98" s="1">
        <f>IFERROR(__xludf.DUMMYFUNCTION("""COMPUTED_VALUE"""),136.15)</f>
        <v>136.15</v>
      </c>
      <c r="D98" s="1">
        <f>IFERROR(__xludf.DUMMYFUNCTION("""COMPUTED_VALUE"""),131.12)</f>
        <v>131.12</v>
      </c>
      <c r="E98" s="1">
        <f>IFERROR(__xludf.DUMMYFUNCTION("""COMPUTED_VALUE"""),135.99)</f>
        <v>135.99</v>
      </c>
      <c r="F98" s="1">
        <f>IFERROR(__xludf.DUMMYFUNCTION("""COMPUTED_VALUE"""),5897704.0)</f>
        <v>5897704</v>
      </c>
    </row>
    <row r="99" ht="15.75" customHeight="1">
      <c r="A99" s="10">
        <f>IFERROR(__xludf.DUMMYFUNCTION("""COMPUTED_VALUE"""),43966.66666666667)</f>
        <v>43966.66667</v>
      </c>
      <c r="B99" s="1">
        <f>IFERROR(__xludf.DUMMYFUNCTION("""COMPUTED_VALUE"""),134.53)</f>
        <v>134.53</v>
      </c>
      <c r="C99" s="1">
        <f>IFERROR(__xludf.DUMMYFUNCTION("""COMPUTED_VALUE"""),138.87)</f>
        <v>138.87</v>
      </c>
      <c r="D99" s="1">
        <f>IFERROR(__xludf.DUMMYFUNCTION("""COMPUTED_VALUE"""),134.2)</f>
        <v>134.2</v>
      </c>
      <c r="E99" s="1">
        <f>IFERROR(__xludf.DUMMYFUNCTION("""COMPUTED_VALUE"""),138.69)</f>
        <v>138.69</v>
      </c>
      <c r="F99" s="1">
        <f>IFERROR(__xludf.DUMMYFUNCTION("""COMPUTED_VALUE"""),1.0113654E7)</f>
        <v>10113654</v>
      </c>
    </row>
    <row r="100" ht="15.75" customHeight="1">
      <c r="A100" s="10">
        <f>IFERROR(__xludf.DUMMYFUNCTION("""COMPUTED_VALUE"""),43969.66666666667)</f>
        <v>43969.66667</v>
      </c>
      <c r="B100" s="1">
        <f>IFERROR(__xludf.DUMMYFUNCTION("""COMPUTED_VALUE"""),143.16)</f>
        <v>143.16</v>
      </c>
      <c r="C100" s="1">
        <f>IFERROR(__xludf.DUMMYFUNCTION("""COMPUTED_VALUE"""),149.72)</f>
        <v>149.72</v>
      </c>
      <c r="D100" s="1">
        <f>IFERROR(__xludf.DUMMYFUNCTION("""COMPUTED_VALUE"""),142.51)</f>
        <v>142.51</v>
      </c>
      <c r="E100" s="1">
        <f>IFERROR(__xludf.DUMMYFUNCTION("""COMPUTED_VALUE"""),149.27)</f>
        <v>149.27</v>
      </c>
      <c r="F100" s="1">
        <f>IFERROR(__xludf.DUMMYFUNCTION("""COMPUTED_VALUE"""),6018514.0)</f>
        <v>6018514</v>
      </c>
    </row>
    <row r="101" ht="15.75" customHeight="1">
      <c r="A101" s="10">
        <f>IFERROR(__xludf.DUMMYFUNCTION("""COMPUTED_VALUE"""),43970.66666666667)</f>
        <v>43970.66667</v>
      </c>
      <c r="B101" s="1">
        <f>IFERROR(__xludf.DUMMYFUNCTION("""COMPUTED_VALUE"""),148.5)</f>
        <v>148.5</v>
      </c>
      <c r="C101" s="1">
        <f>IFERROR(__xludf.DUMMYFUNCTION("""COMPUTED_VALUE"""),151.65)</f>
        <v>151.65</v>
      </c>
      <c r="D101" s="1">
        <f>IFERROR(__xludf.DUMMYFUNCTION("""COMPUTED_VALUE"""),147.37)</f>
        <v>147.37</v>
      </c>
      <c r="E101" s="1">
        <f>IFERROR(__xludf.DUMMYFUNCTION("""COMPUTED_VALUE"""),148.38)</f>
        <v>148.38</v>
      </c>
      <c r="F101" s="1">
        <f>IFERROR(__xludf.DUMMYFUNCTION("""COMPUTED_VALUE"""),4059864.0)</f>
        <v>4059864</v>
      </c>
    </row>
    <row r="102" ht="15.75" customHeight="1">
      <c r="A102" s="10">
        <f>IFERROR(__xludf.DUMMYFUNCTION("""COMPUTED_VALUE"""),43971.66666666667)</f>
        <v>43971.66667</v>
      </c>
      <c r="B102" s="1">
        <f>IFERROR(__xludf.DUMMYFUNCTION("""COMPUTED_VALUE"""),149.87)</f>
        <v>149.87</v>
      </c>
      <c r="C102" s="1">
        <f>IFERROR(__xludf.DUMMYFUNCTION("""COMPUTED_VALUE"""),151.43)</f>
        <v>151.43</v>
      </c>
      <c r="D102" s="1">
        <f>IFERROR(__xludf.DUMMYFUNCTION("""COMPUTED_VALUE"""),148.83)</f>
        <v>148.83</v>
      </c>
      <c r="E102" s="1">
        <f>IFERROR(__xludf.DUMMYFUNCTION("""COMPUTED_VALUE"""),149.68)</f>
        <v>149.68</v>
      </c>
      <c r="F102" s="1">
        <f>IFERROR(__xludf.DUMMYFUNCTION("""COMPUTED_VALUE"""),3428789.0)</f>
        <v>3428789</v>
      </c>
    </row>
    <row r="103" ht="15.75" customHeight="1">
      <c r="A103" s="10">
        <f>IFERROR(__xludf.DUMMYFUNCTION("""COMPUTED_VALUE"""),43972.66666666667)</f>
        <v>43972.66667</v>
      </c>
      <c r="B103" s="1">
        <f>IFERROR(__xludf.DUMMYFUNCTION("""COMPUTED_VALUE"""),147.74)</f>
        <v>147.74</v>
      </c>
      <c r="C103" s="1">
        <f>IFERROR(__xludf.DUMMYFUNCTION("""COMPUTED_VALUE"""),148.64)</f>
        <v>148.64</v>
      </c>
      <c r="D103" s="1">
        <f>IFERROR(__xludf.DUMMYFUNCTION("""COMPUTED_VALUE"""),145.34)</f>
        <v>145.34</v>
      </c>
      <c r="E103" s="1">
        <f>IFERROR(__xludf.DUMMYFUNCTION("""COMPUTED_VALUE"""),145.81)</f>
        <v>145.81</v>
      </c>
      <c r="F103" s="1">
        <f>IFERROR(__xludf.DUMMYFUNCTION("""COMPUTED_VALUE"""),2789110.0)</f>
        <v>2789110</v>
      </c>
    </row>
    <row r="104" ht="15.75" customHeight="1">
      <c r="A104" s="10">
        <f>IFERROR(__xludf.DUMMYFUNCTION("""COMPUTED_VALUE"""),43973.66666666667)</f>
        <v>43973.66667</v>
      </c>
      <c r="B104" s="1">
        <f>IFERROR(__xludf.DUMMYFUNCTION("""COMPUTED_VALUE"""),145.74)</f>
        <v>145.74</v>
      </c>
      <c r="C104" s="1">
        <f>IFERROR(__xludf.DUMMYFUNCTION("""COMPUTED_VALUE"""),146.64)</f>
        <v>146.64</v>
      </c>
      <c r="D104" s="1">
        <f>IFERROR(__xludf.DUMMYFUNCTION("""COMPUTED_VALUE"""),144.6)</f>
        <v>144.6</v>
      </c>
      <c r="E104" s="1">
        <f>IFERROR(__xludf.DUMMYFUNCTION("""COMPUTED_VALUE"""),146.44)</f>
        <v>146.44</v>
      </c>
      <c r="F104" s="1">
        <f>IFERROR(__xludf.DUMMYFUNCTION("""COMPUTED_VALUE"""),2661662.0)</f>
        <v>2661662</v>
      </c>
    </row>
    <row r="105" ht="15.75" customHeight="1">
      <c r="A105" s="10">
        <f>IFERROR(__xludf.DUMMYFUNCTION("""COMPUTED_VALUE"""),43977.66666666667)</f>
        <v>43977.66667</v>
      </c>
      <c r="B105" s="1">
        <f>IFERROR(__xludf.DUMMYFUNCTION("""COMPUTED_VALUE"""),150.43)</f>
        <v>150.43</v>
      </c>
      <c r="C105" s="1">
        <f>IFERROR(__xludf.DUMMYFUNCTION("""COMPUTED_VALUE"""),152.98)</f>
        <v>152.98</v>
      </c>
      <c r="D105" s="1">
        <f>IFERROR(__xludf.DUMMYFUNCTION("""COMPUTED_VALUE"""),149.2)</f>
        <v>149.2</v>
      </c>
      <c r="E105" s="1">
        <f>IFERROR(__xludf.DUMMYFUNCTION("""COMPUTED_VALUE"""),152.08)</f>
        <v>152.08</v>
      </c>
      <c r="F105" s="1">
        <f>IFERROR(__xludf.DUMMYFUNCTION("""COMPUTED_VALUE"""),4616331.0)</f>
        <v>4616331</v>
      </c>
    </row>
    <row r="106" ht="15.75" customHeight="1">
      <c r="A106" s="10">
        <f>IFERROR(__xludf.DUMMYFUNCTION("""COMPUTED_VALUE"""),43978.66666666667)</f>
        <v>43978.66667</v>
      </c>
      <c r="B106" s="1">
        <f>IFERROR(__xludf.DUMMYFUNCTION("""COMPUTED_VALUE"""),153.99)</f>
        <v>153.99</v>
      </c>
      <c r="C106" s="1">
        <f>IFERROR(__xludf.DUMMYFUNCTION("""COMPUTED_VALUE"""),158.16)</f>
        <v>158.16</v>
      </c>
      <c r="D106" s="1">
        <f>IFERROR(__xludf.DUMMYFUNCTION("""COMPUTED_VALUE"""),153.34)</f>
        <v>153.34</v>
      </c>
      <c r="E106" s="1">
        <f>IFERROR(__xludf.DUMMYFUNCTION("""COMPUTED_VALUE"""),158.15)</f>
        <v>158.15</v>
      </c>
      <c r="F106" s="1">
        <f>IFERROR(__xludf.DUMMYFUNCTION("""COMPUTED_VALUE"""),6056347.0)</f>
        <v>6056347</v>
      </c>
    </row>
    <row r="107" ht="15.75" customHeight="1">
      <c r="A107" s="10">
        <f>IFERROR(__xludf.DUMMYFUNCTION("""COMPUTED_VALUE"""),43979.66666666667)</f>
        <v>43979.66667</v>
      </c>
      <c r="B107" s="1">
        <f>IFERROR(__xludf.DUMMYFUNCTION("""COMPUTED_VALUE"""),158.71)</f>
        <v>158.71</v>
      </c>
      <c r="C107" s="1">
        <f>IFERROR(__xludf.DUMMYFUNCTION("""COMPUTED_VALUE"""),159.87)</f>
        <v>159.87</v>
      </c>
      <c r="D107" s="1">
        <f>IFERROR(__xludf.DUMMYFUNCTION("""COMPUTED_VALUE"""),154.13)</f>
        <v>154.13</v>
      </c>
      <c r="E107" s="1">
        <f>IFERROR(__xludf.DUMMYFUNCTION("""COMPUTED_VALUE"""),156.82)</f>
        <v>156.82</v>
      </c>
      <c r="F107" s="1">
        <f>IFERROR(__xludf.DUMMYFUNCTION("""COMPUTED_VALUE"""),6731222.0)</f>
        <v>6731222</v>
      </c>
    </row>
    <row r="108" ht="15.75" customHeight="1">
      <c r="A108" s="10">
        <f>IFERROR(__xludf.DUMMYFUNCTION("""COMPUTED_VALUE"""),43980.66666666667)</f>
        <v>43980.66667</v>
      </c>
      <c r="B108" s="1">
        <f>IFERROR(__xludf.DUMMYFUNCTION("""COMPUTED_VALUE"""),155.5)</f>
        <v>155.5</v>
      </c>
      <c r="C108" s="1">
        <f>IFERROR(__xludf.DUMMYFUNCTION("""COMPUTED_VALUE"""),156.87)</f>
        <v>156.87</v>
      </c>
      <c r="D108" s="1">
        <f>IFERROR(__xludf.DUMMYFUNCTION("""COMPUTED_VALUE"""),153.05)</f>
        <v>153.05</v>
      </c>
      <c r="E108" s="1">
        <f>IFERROR(__xludf.DUMMYFUNCTION("""COMPUTED_VALUE"""),156.44)</f>
        <v>156.44</v>
      </c>
      <c r="F108" s="1">
        <f>IFERROR(__xludf.DUMMYFUNCTION("""COMPUTED_VALUE"""),8632670.0)</f>
        <v>8632670</v>
      </c>
    </row>
    <row r="109" ht="15.75" customHeight="1">
      <c r="A109" s="10">
        <f>IFERROR(__xludf.DUMMYFUNCTION("""COMPUTED_VALUE"""),43983.66666666667)</f>
        <v>43983.66667</v>
      </c>
      <c r="B109" s="1">
        <f>IFERROR(__xludf.DUMMYFUNCTION("""COMPUTED_VALUE"""),155.95)</f>
        <v>155.95</v>
      </c>
      <c r="C109" s="1">
        <f>IFERROR(__xludf.DUMMYFUNCTION("""COMPUTED_VALUE"""),157.55)</f>
        <v>157.55</v>
      </c>
      <c r="D109" s="1">
        <f>IFERROR(__xludf.DUMMYFUNCTION("""COMPUTED_VALUE"""),154.89)</f>
        <v>154.89</v>
      </c>
      <c r="E109" s="1">
        <f>IFERROR(__xludf.DUMMYFUNCTION("""COMPUTED_VALUE"""),155.58)</f>
        <v>155.58</v>
      </c>
      <c r="F109" s="1">
        <f>IFERROR(__xludf.DUMMYFUNCTION("""COMPUTED_VALUE"""),2084341.0)</f>
        <v>2084341</v>
      </c>
    </row>
    <row r="110" ht="15.75" customHeight="1">
      <c r="A110" s="10">
        <f>IFERROR(__xludf.DUMMYFUNCTION("""COMPUTED_VALUE"""),43984.66666666667)</f>
        <v>43984.66667</v>
      </c>
      <c r="B110" s="1">
        <f>IFERROR(__xludf.DUMMYFUNCTION("""COMPUTED_VALUE"""),156.75)</f>
        <v>156.75</v>
      </c>
      <c r="C110" s="1">
        <f>IFERROR(__xludf.DUMMYFUNCTION("""COMPUTED_VALUE"""),158.6)</f>
        <v>158.6</v>
      </c>
      <c r="D110" s="1">
        <f>IFERROR(__xludf.DUMMYFUNCTION("""COMPUTED_VALUE"""),156.63)</f>
        <v>156.63</v>
      </c>
      <c r="E110" s="1">
        <f>IFERROR(__xludf.DUMMYFUNCTION("""COMPUTED_VALUE"""),157.64)</f>
        <v>157.64</v>
      </c>
      <c r="F110" s="1">
        <f>IFERROR(__xludf.DUMMYFUNCTION("""COMPUTED_VALUE"""),2333820.0)</f>
        <v>2333820</v>
      </c>
    </row>
    <row r="111" ht="15.75" customHeight="1">
      <c r="A111" s="10">
        <f>IFERROR(__xludf.DUMMYFUNCTION("""COMPUTED_VALUE"""),43985.66666666667)</f>
        <v>43985.66667</v>
      </c>
      <c r="B111" s="1">
        <f>IFERROR(__xludf.DUMMYFUNCTION("""COMPUTED_VALUE"""),159.35)</f>
        <v>159.35</v>
      </c>
      <c r="C111" s="1">
        <f>IFERROR(__xludf.DUMMYFUNCTION("""COMPUTED_VALUE"""),161.66)</f>
        <v>161.66</v>
      </c>
      <c r="D111" s="1">
        <f>IFERROR(__xludf.DUMMYFUNCTION("""COMPUTED_VALUE"""),158.52)</f>
        <v>158.52</v>
      </c>
      <c r="E111" s="1">
        <f>IFERROR(__xludf.DUMMYFUNCTION("""COMPUTED_VALUE"""),161.21)</f>
        <v>161.21</v>
      </c>
      <c r="F111" s="1">
        <f>IFERROR(__xludf.DUMMYFUNCTION("""COMPUTED_VALUE"""),3674275.0)</f>
        <v>3674275</v>
      </c>
    </row>
    <row r="112" ht="15.75" customHeight="1">
      <c r="A112" s="10">
        <f>IFERROR(__xludf.DUMMYFUNCTION("""COMPUTED_VALUE"""),43986.66666666667)</f>
        <v>43986.66667</v>
      </c>
      <c r="B112" s="1">
        <f>IFERROR(__xludf.DUMMYFUNCTION("""COMPUTED_VALUE"""),159.76)</f>
        <v>159.76</v>
      </c>
      <c r="C112" s="1">
        <f>IFERROR(__xludf.DUMMYFUNCTION("""COMPUTED_VALUE"""),162.58)</f>
        <v>162.58</v>
      </c>
      <c r="D112" s="1">
        <f>IFERROR(__xludf.DUMMYFUNCTION("""COMPUTED_VALUE"""),159.18)</f>
        <v>159.18</v>
      </c>
      <c r="E112" s="1">
        <f>IFERROR(__xludf.DUMMYFUNCTION("""COMPUTED_VALUE"""),162.55)</f>
        <v>162.55</v>
      </c>
      <c r="F112" s="1">
        <f>IFERROR(__xludf.DUMMYFUNCTION("""COMPUTED_VALUE"""),2880967.0)</f>
        <v>2880967</v>
      </c>
    </row>
    <row r="113" ht="15.75" customHeight="1">
      <c r="A113" s="10">
        <f>IFERROR(__xludf.DUMMYFUNCTION("""COMPUTED_VALUE"""),43987.66666666667)</f>
        <v>43987.66667</v>
      </c>
      <c r="B113" s="1">
        <f>IFERROR(__xludf.DUMMYFUNCTION("""COMPUTED_VALUE"""),165.0)</f>
        <v>165</v>
      </c>
      <c r="C113" s="1">
        <f>IFERROR(__xludf.DUMMYFUNCTION("""COMPUTED_VALUE"""),168.35)</f>
        <v>168.35</v>
      </c>
      <c r="D113" s="1">
        <f>IFERROR(__xludf.DUMMYFUNCTION("""COMPUTED_VALUE"""),165.0)</f>
        <v>165</v>
      </c>
      <c r="E113" s="1">
        <f>IFERROR(__xludf.DUMMYFUNCTION("""COMPUTED_VALUE"""),167.41)</f>
        <v>167.41</v>
      </c>
      <c r="F113" s="1">
        <f>IFERROR(__xludf.DUMMYFUNCTION("""COMPUTED_VALUE"""),4527587.0)</f>
        <v>4527587</v>
      </c>
    </row>
    <row r="114" ht="15.75" customHeight="1">
      <c r="A114" s="10">
        <f>IFERROR(__xludf.DUMMYFUNCTION("""COMPUTED_VALUE"""),43990.66666666667)</f>
        <v>43990.66667</v>
      </c>
      <c r="B114" s="1">
        <f>IFERROR(__xludf.DUMMYFUNCTION("""COMPUTED_VALUE"""),167.1)</f>
        <v>167.1</v>
      </c>
      <c r="C114" s="1">
        <f>IFERROR(__xludf.DUMMYFUNCTION("""COMPUTED_VALUE"""),169.54)</f>
        <v>169.54</v>
      </c>
      <c r="D114" s="1">
        <f>IFERROR(__xludf.DUMMYFUNCTION("""COMPUTED_VALUE"""),165.27)</f>
        <v>165.27</v>
      </c>
      <c r="E114" s="1">
        <f>IFERROR(__xludf.DUMMYFUNCTION("""COMPUTED_VALUE"""),166.87)</f>
        <v>166.87</v>
      </c>
      <c r="F114" s="1">
        <f>IFERROR(__xludf.DUMMYFUNCTION("""COMPUTED_VALUE"""),2987595.0)</f>
        <v>2987595</v>
      </c>
    </row>
    <row r="115" ht="15.75" customHeight="1">
      <c r="A115" s="10">
        <f>IFERROR(__xludf.DUMMYFUNCTION("""COMPUTED_VALUE"""),43991.66666666667)</f>
        <v>43991.66667</v>
      </c>
      <c r="B115" s="1">
        <f>IFERROR(__xludf.DUMMYFUNCTION("""COMPUTED_VALUE"""),165.48)</f>
        <v>165.48</v>
      </c>
      <c r="C115" s="1">
        <f>IFERROR(__xludf.DUMMYFUNCTION("""COMPUTED_VALUE"""),167.96)</f>
        <v>167.96</v>
      </c>
      <c r="D115" s="1">
        <f>IFERROR(__xludf.DUMMYFUNCTION("""COMPUTED_VALUE"""),164.08)</f>
        <v>164.08</v>
      </c>
      <c r="E115" s="1">
        <f>IFERROR(__xludf.DUMMYFUNCTION("""COMPUTED_VALUE"""),166.7)</f>
        <v>166.7</v>
      </c>
      <c r="F115" s="1">
        <f>IFERROR(__xludf.DUMMYFUNCTION("""COMPUTED_VALUE"""),3161966.0)</f>
        <v>3161966</v>
      </c>
    </row>
    <row r="116" ht="15.75" customHeight="1">
      <c r="A116" s="10">
        <f>IFERROR(__xludf.DUMMYFUNCTION("""COMPUTED_VALUE"""),43992.66666666667)</f>
        <v>43992.66667</v>
      </c>
      <c r="B116" s="1">
        <f>IFERROR(__xludf.DUMMYFUNCTION("""COMPUTED_VALUE"""),166.9)</f>
        <v>166.9</v>
      </c>
      <c r="C116" s="1">
        <f>IFERROR(__xludf.DUMMYFUNCTION("""COMPUTED_VALUE"""),167.34)</f>
        <v>167.34</v>
      </c>
      <c r="D116" s="1">
        <f>IFERROR(__xludf.DUMMYFUNCTION("""COMPUTED_VALUE"""),163.81)</f>
        <v>163.81</v>
      </c>
      <c r="E116" s="1">
        <f>IFERROR(__xludf.DUMMYFUNCTION("""COMPUTED_VALUE"""),163.9)</f>
        <v>163.9</v>
      </c>
      <c r="F116" s="1">
        <f>IFERROR(__xludf.DUMMYFUNCTION("""COMPUTED_VALUE"""),2551336.0)</f>
        <v>2551336</v>
      </c>
    </row>
    <row r="117" ht="15.75" customHeight="1">
      <c r="A117" s="10">
        <f>IFERROR(__xludf.DUMMYFUNCTION("""COMPUTED_VALUE"""),43993.66666666667)</f>
        <v>43993.66667</v>
      </c>
      <c r="B117" s="1">
        <f>IFERROR(__xludf.DUMMYFUNCTION("""COMPUTED_VALUE"""),160.06)</f>
        <v>160.06</v>
      </c>
      <c r="C117" s="1">
        <f>IFERROR(__xludf.DUMMYFUNCTION("""COMPUTED_VALUE"""),160.25)</f>
        <v>160.25</v>
      </c>
      <c r="D117" s="1">
        <f>IFERROR(__xludf.DUMMYFUNCTION("""COMPUTED_VALUE"""),152.31)</f>
        <v>152.31</v>
      </c>
      <c r="E117" s="1">
        <f>IFERROR(__xludf.DUMMYFUNCTION("""COMPUTED_VALUE"""),152.38)</f>
        <v>152.38</v>
      </c>
      <c r="F117" s="1">
        <f>IFERROR(__xludf.DUMMYFUNCTION("""COMPUTED_VALUE"""),5016599.0)</f>
        <v>5016599</v>
      </c>
    </row>
    <row r="118" ht="15.75" customHeight="1">
      <c r="A118" s="10">
        <f>IFERROR(__xludf.DUMMYFUNCTION("""COMPUTED_VALUE"""),43994.66666666667)</f>
        <v>43994.66667</v>
      </c>
      <c r="B118" s="1">
        <f>IFERROR(__xludf.DUMMYFUNCTION("""COMPUTED_VALUE"""),156.28)</f>
        <v>156.28</v>
      </c>
      <c r="C118" s="1">
        <f>IFERROR(__xludf.DUMMYFUNCTION("""COMPUTED_VALUE"""),157.42)</f>
        <v>157.42</v>
      </c>
      <c r="D118" s="1">
        <f>IFERROR(__xludf.DUMMYFUNCTION("""COMPUTED_VALUE"""),151.73)</f>
        <v>151.73</v>
      </c>
      <c r="E118" s="1">
        <f>IFERROR(__xludf.DUMMYFUNCTION("""COMPUTED_VALUE"""),154.87)</f>
        <v>154.87</v>
      </c>
      <c r="F118" s="1">
        <f>IFERROR(__xludf.DUMMYFUNCTION("""COMPUTED_VALUE"""),2998771.0)</f>
        <v>2998771</v>
      </c>
    </row>
    <row r="119" ht="15.75" customHeight="1">
      <c r="A119" s="10">
        <f>IFERROR(__xludf.DUMMYFUNCTION("""COMPUTED_VALUE"""),43997.66666666667)</f>
        <v>43997.66667</v>
      </c>
      <c r="B119" s="1">
        <f>IFERROR(__xludf.DUMMYFUNCTION("""COMPUTED_VALUE"""),150.88)</f>
        <v>150.88</v>
      </c>
      <c r="C119" s="1">
        <f>IFERROR(__xludf.DUMMYFUNCTION("""COMPUTED_VALUE"""),159.62)</f>
        <v>159.62</v>
      </c>
      <c r="D119" s="1">
        <f>IFERROR(__xludf.DUMMYFUNCTION("""COMPUTED_VALUE"""),150.49)</f>
        <v>150.49</v>
      </c>
      <c r="E119" s="1">
        <f>IFERROR(__xludf.DUMMYFUNCTION("""COMPUTED_VALUE"""),157.73)</f>
        <v>157.73</v>
      </c>
      <c r="F119" s="1">
        <f>IFERROR(__xludf.DUMMYFUNCTION("""COMPUTED_VALUE"""),4094160.0)</f>
        <v>4094160</v>
      </c>
    </row>
    <row r="120" ht="15.75" customHeight="1">
      <c r="A120" s="10">
        <f>IFERROR(__xludf.DUMMYFUNCTION("""COMPUTED_VALUE"""),43998.66666666667)</f>
        <v>43998.66667</v>
      </c>
      <c r="B120" s="1">
        <f>IFERROR(__xludf.DUMMYFUNCTION("""COMPUTED_VALUE"""),162.85)</f>
        <v>162.85</v>
      </c>
      <c r="C120" s="1">
        <f>IFERROR(__xludf.DUMMYFUNCTION("""COMPUTED_VALUE"""),163.38)</f>
        <v>163.38</v>
      </c>
      <c r="D120" s="1">
        <f>IFERROR(__xludf.DUMMYFUNCTION("""COMPUTED_VALUE"""),156.89)</f>
        <v>156.89</v>
      </c>
      <c r="E120" s="1">
        <f>IFERROR(__xludf.DUMMYFUNCTION("""COMPUTED_VALUE"""),159.67)</f>
        <v>159.67</v>
      </c>
      <c r="F120" s="1">
        <f>IFERROR(__xludf.DUMMYFUNCTION("""COMPUTED_VALUE"""),3388296.0)</f>
        <v>3388296</v>
      </c>
    </row>
    <row r="121" ht="15.75" customHeight="1">
      <c r="A121" s="10">
        <f>IFERROR(__xludf.DUMMYFUNCTION("""COMPUTED_VALUE"""),43999.66666666667)</f>
        <v>43999.66667</v>
      </c>
      <c r="B121" s="1">
        <f>IFERROR(__xludf.DUMMYFUNCTION("""COMPUTED_VALUE"""),160.2)</f>
        <v>160.2</v>
      </c>
      <c r="C121" s="1">
        <f>IFERROR(__xludf.DUMMYFUNCTION("""COMPUTED_VALUE"""),160.87)</f>
        <v>160.87</v>
      </c>
      <c r="D121" s="1">
        <f>IFERROR(__xludf.DUMMYFUNCTION("""COMPUTED_VALUE"""),158.97)</f>
        <v>158.97</v>
      </c>
      <c r="E121" s="1">
        <f>IFERROR(__xludf.DUMMYFUNCTION("""COMPUTED_VALUE"""),159.22)</f>
        <v>159.22</v>
      </c>
      <c r="F121" s="1">
        <f>IFERROR(__xludf.DUMMYFUNCTION("""COMPUTED_VALUE"""),1714979.0)</f>
        <v>1714979</v>
      </c>
    </row>
    <row r="122" ht="15.75" customHeight="1">
      <c r="A122" s="10">
        <f>IFERROR(__xludf.DUMMYFUNCTION("""COMPUTED_VALUE"""),44000.66666666667)</f>
        <v>44000.66667</v>
      </c>
      <c r="B122" s="1">
        <f>IFERROR(__xludf.DUMMYFUNCTION("""COMPUTED_VALUE"""),158.07)</f>
        <v>158.07</v>
      </c>
      <c r="C122" s="1">
        <f>IFERROR(__xludf.DUMMYFUNCTION("""COMPUTED_VALUE"""),159.83)</f>
        <v>159.83</v>
      </c>
      <c r="D122" s="1">
        <f>IFERROR(__xludf.DUMMYFUNCTION("""COMPUTED_VALUE"""),157.59)</f>
        <v>157.59</v>
      </c>
      <c r="E122" s="1">
        <f>IFERROR(__xludf.DUMMYFUNCTION("""COMPUTED_VALUE"""),159.21)</f>
        <v>159.21</v>
      </c>
      <c r="F122" s="1">
        <f>IFERROR(__xludf.DUMMYFUNCTION("""COMPUTED_VALUE"""),1806269.0)</f>
        <v>1806269</v>
      </c>
    </row>
    <row r="123" ht="15.75" customHeight="1">
      <c r="A123" s="10">
        <f>IFERROR(__xludf.DUMMYFUNCTION("""COMPUTED_VALUE"""),44001.66666666667)</f>
        <v>44001.66667</v>
      </c>
      <c r="B123" s="1">
        <f>IFERROR(__xludf.DUMMYFUNCTION("""COMPUTED_VALUE"""),161.35)</f>
        <v>161.35</v>
      </c>
      <c r="C123" s="1">
        <f>IFERROR(__xludf.DUMMYFUNCTION("""COMPUTED_VALUE"""),162.09)</f>
        <v>162.09</v>
      </c>
      <c r="D123" s="1">
        <f>IFERROR(__xludf.DUMMYFUNCTION("""COMPUTED_VALUE"""),156.47)</f>
        <v>156.47</v>
      </c>
      <c r="E123" s="1">
        <f>IFERROR(__xludf.DUMMYFUNCTION("""COMPUTED_VALUE"""),158.15)</f>
        <v>158.15</v>
      </c>
      <c r="F123" s="1">
        <f>IFERROR(__xludf.DUMMYFUNCTION("""COMPUTED_VALUE"""),6402272.0)</f>
        <v>6402272</v>
      </c>
    </row>
    <row r="124" ht="15.75" customHeight="1">
      <c r="A124" s="10">
        <f>IFERROR(__xludf.DUMMYFUNCTION("""COMPUTED_VALUE"""),44004.66666666667)</f>
        <v>44004.66667</v>
      </c>
      <c r="B124" s="1">
        <f>IFERROR(__xludf.DUMMYFUNCTION("""COMPUTED_VALUE"""),157.0)</f>
        <v>157</v>
      </c>
      <c r="C124" s="1">
        <f>IFERROR(__xludf.DUMMYFUNCTION("""COMPUTED_VALUE"""),157.42)</f>
        <v>157.42</v>
      </c>
      <c r="D124" s="1">
        <f>IFERROR(__xludf.DUMMYFUNCTION("""COMPUTED_VALUE"""),155.48)</f>
        <v>155.48</v>
      </c>
      <c r="E124" s="1">
        <f>IFERROR(__xludf.DUMMYFUNCTION("""COMPUTED_VALUE"""),156.69)</f>
        <v>156.69</v>
      </c>
      <c r="F124" s="1">
        <f>IFERROR(__xludf.DUMMYFUNCTION("""COMPUTED_VALUE"""),2020861.0)</f>
        <v>2020861</v>
      </c>
    </row>
    <row r="125" ht="15.75" customHeight="1">
      <c r="A125" s="10">
        <f>IFERROR(__xludf.DUMMYFUNCTION("""COMPUTED_VALUE"""),44005.66666666667)</f>
        <v>44005.66667</v>
      </c>
      <c r="B125" s="1">
        <f>IFERROR(__xludf.DUMMYFUNCTION("""COMPUTED_VALUE"""),157.96)</f>
        <v>157.96</v>
      </c>
      <c r="C125" s="1">
        <f>IFERROR(__xludf.DUMMYFUNCTION("""COMPUTED_VALUE"""),158.67)</f>
        <v>158.67</v>
      </c>
      <c r="D125" s="1">
        <f>IFERROR(__xludf.DUMMYFUNCTION("""COMPUTED_VALUE"""),156.24)</f>
        <v>156.24</v>
      </c>
      <c r="E125" s="1">
        <f>IFERROR(__xludf.DUMMYFUNCTION("""COMPUTED_VALUE"""),157.84)</f>
        <v>157.84</v>
      </c>
      <c r="F125" s="1">
        <f>IFERROR(__xludf.DUMMYFUNCTION("""COMPUTED_VALUE"""),2302208.0)</f>
        <v>2302208</v>
      </c>
    </row>
    <row r="126" ht="15.75" customHeight="1">
      <c r="A126" s="10">
        <f>IFERROR(__xludf.DUMMYFUNCTION("""COMPUTED_VALUE"""),44006.66666666667)</f>
        <v>44006.66667</v>
      </c>
      <c r="B126" s="1">
        <f>IFERROR(__xludf.DUMMYFUNCTION("""COMPUTED_VALUE"""),156.29)</f>
        <v>156.29</v>
      </c>
      <c r="C126" s="1">
        <f>IFERROR(__xludf.DUMMYFUNCTION("""COMPUTED_VALUE"""),156.73)</f>
        <v>156.73</v>
      </c>
      <c r="D126" s="1">
        <f>IFERROR(__xludf.DUMMYFUNCTION("""COMPUTED_VALUE"""),151.71)</f>
        <v>151.71</v>
      </c>
      <c r="E126" s="1">
        <f>IFERROR(__xludf.DUMMYFUNCTION("""COMPUTED_VALUE"""),152.22)</f>
        <v>152.22</v>
      </c>
      <c r="F126" s="1">
        <f>IFERROR(__xludf.DUMMYFUNCTION("""COMPUTED_VALUE"""),3042844.0)</f>
        <v>3042844</v>
      </c>
    </row>
    <row r="127" ht="15.75" customHeight="1">
      <c r="A127" s="10">
        <f>IFERROR(__xludf.DUMMYFUNCTION("""COMPUTED_VALUE"""),44007.66666666667)</f>
        <v>44007.66667</v>
      </c>
      <c r="B127" s="1">
        <f>IFERROR(__xludf.DUMMYFUNCTION("""COMPUTED_VALUE"""),152.05)</f>
        <v>152.05</v>
      </c>
      <c r="C127" s="1">
        <f>IFERROR(__xludf.DUMMYFUNCTION("""COMPUTED_VALUE"""),155.05)</f>
        <v>155.05</v>
      </c>
      <c r="D127" s="1">
        <f>IFERROR(__xludf.DUMMYFUNCTION("""COMPUTED_VALUE"""),150.1)</f>
        <v>150.1</v>
      </c>
      <c r="E127" s="1">
        <f>IFERROR(__xludf.DUMMYFUNCTION("""COMPUTED_VALUE"""),154.67)</f>
        <v>154.67</v>
      </c>
      <c r="F127" s="1">
        <f>IFERROR(__xludf.DUMMYFUNCTION("""COMPUTED_VALUE"""),2060691.0)</f>
        <v>2060691</v>
      </c>
    </row>
    <row r="128" ht="15.75" customHeight="1">
      <c r="A128" s="10">
        <f>IFERROR(__xludf.DUMMYFUNCTION("""COMPUTED_VALUE"""),44008.66666666667)</f>
        <v>44008.66667</v>
      </c>
      <c r="B128" s="1">
        <f>IFERROR(__xludf.DUMMYFUNCTION("""COMPUTED_VALUE"""),154.6)</f>
        <v>154.6</v>
      </c>
      <c r="C128" s="1">
        <f>IFERROR(__xludf.DUMMYFUNCTION("""COMPUTED_VALUE"""),154.78)</f>
        <v>154.78</v>
      </c>
      <c r="D128" s="1">
        <f>IFERROR(__xludf.DUMMYFUNCTION("""COMPUTED_VALUE"""),151.53)</f>
        <v>151.53</v>
      </c>
      <c r="E128" s="1">
        <f>IFERROR(__xludf.DUMMYFUNCTION("""COMPUTED_VALUE"""),152.52)</f>
        <v>152.52</v>
      </c>
      <c r="F128" s="1">
        <f>IFERROR(__xludf.DUMMYFUNCTION("""COMPUTED_VALUE"""),2826495.0)</f>
        <v>2826495</v>
      </c>
    </row>
    <row r="129" ht="15.75" customHeight="1">
      <c r="A129" s="10">
        <f>IFERROR(__xludf.DUMMYFUNCTION("""COMPUTED_VALUE"""),44011.66666666667)</f>
        <v>44011.66667</v>
      </c>
      <c r="B129" s="1">
        <f>IFERROR(__xludf.DUMMYFUNCTION("""COMPUTED_VALUE"""),153.9)</f>
        <v>153.9</v>
      </c>
      <c r="C129" s="1">
        <f>IFERROR(__xludf.DUMMYFUNCTION("""COMPUTED_VALUE"""),156.51)</f>
        <v>156.51</v>
      </c>
      <c r="D129" s="1">
        <f>IFERROR(__xludf.DUMMYFUNCTION("""COMPUTED_VALUE"""),153.48)</f>
        <v>153.48</v>
      </c>
      <c r="E129" s="1">
        <f>IFERROR(__xludf.DUMMYFUNCTION("""COMPUTED_VALUE"""),155.57)</f>
        <v>155.57</v>
      </c>
      <c r="F129" s="1">
        <f>IFERROR(__xludf.DUMMYFUNCTION("""COMPUTED_VALUE"""),2145146.0)</f>
        <v>2145146</v>
      </c>
    </row>
    <row r="130" ht="15.75" customHeight="1">
      <c r="A130" s="10">
        <f>IFERROR(__xludf.DUMMYFUNCTION("""COMPUTED_VALUE"""),44012.66666666667)</f>
        <v>44012.66667</v>
      </c>
      <c r="B130" s="1">
        <f>IFERROR(__xludf.DUMMYFUNCTION("""COMPUTED_VALUE"""),154.91)</f>
        <v>154.91</v>
      </c>
      <c r="C130" s="1">
        <f>IFERROR(__xludf.DUMMYFUNCTION("""COMPUTED_VALUE"""),156.71)</f>
        <v>156.71</v>
      </c>
      <c r="D130" s="1">
        <f>IFERROR(__xludf.DUMMYFUNCTION("""COMPUTED_VALUE"""),154.05)</f>
        <v>154.05</v>
      </c>
      <c r="E130" s="1">
        <f>IFERROR(__xludf.DUMMYFUNCTION("""COMPUTED_VALUE"""),155.99)</f>
        <v>155.99</v>
      </c>
      <c r="F130" s="1">
        <f>IFERROR(__xludf.DUMMYFUNCTION("""COMPUTED_VALUE"""),2941732.0)</f>
        <v>2941732</v>
      </c>
    </row>
    <row r="131" ht="15.75" customHeight="1">
      <c r="A131" s="10">
        <f>IFERROR(__xludf.DUMMYFUNCTION("""COMPUTED_VALUE"""),44013.66666666667)</f>
        <v>44013.66667</v>
      </c>
      <c r="B131" s="1">
        <f>IFERROR(__xludf.DUMMYFUNCTION("""COMPUTED_VALUE"""),156.34)</f>
        <v>156.34</v>
      </c>
      <c r="C131" s="1">
        <f>IFERROR(__xludf.DUMMYFUNCTION("""COMPUTED_VALUE"""),157.8)</f>
        <v>157.8</v>
      </c>
      <c r="D131" s="1">
        <f>IFERROR(__xludf.DUMMYFUNCTION("""COMPUTED_VALUE"""),155.31)</f>
        <v>155.31</v>
      </c>
      <c r="E131" s="1">
        <f>IFERROR(__xludf.DUMMYFUNCTION("""COMPUTED_VALUE"""),155.43)</f>
        <v>155.43</v>
      </c>
      <c r="F131" s="1">
        <f>IFERROR(__xludf.DUMMYFUNCTION("""COMPUTED_VALUE"""),1625728.0)</f>
        <v>1625728</v>
      </c>
    </row>
    <row r="132" ht="15.75" customHeight="1">
      <c r="A132" s="10">
        <f>IFERROR(__xludf.DUMMYFUNCTION("""COMPUTED_VALUE"""),44014.66666666667)</f>
        <v>44014.66667</v>
      </c>
      <c r="B132" s="1">
        <f>IFERROR(__xludf.DUMMYFUNCTION("""COMPUTED_VALUE"""),157.62)</f>
        <v>157.62</v>
      </c>
      <c r="C132" s="1">
        <f>IFERROR(__xludf.DUMMYFUNCTION("""COMPUTED_VALUE"""),158.88)</f>
        <v>158.88</v>
      </c>
      <c r="D132" s="1">
        <f>IFERROR(__xludf.DUMMYFUNCTION("""COMPUTED_VALUE"""),156.46)</f>
        <v>156.46</v>
      </c>
      <c r="E132" s="1">
        <f>IFERROR(__xludf.DUMMYFUNCTION("""COMPUTED_VALUE"""),157.04)</f>
        <v>157.04</v>
      </c>
      <c r="F132" s="1">
        <f>IFERROR(__xludf.DUMMYFUNCTION("""COMPUTED_VALUE"""),1982976.0)</f>
        <v>1982976</v>
      </c>
    </row>
    <row r="133" ht="15.75" customHeight="1">
      <c r="A133" s="10">
        <f>IFERROR(__xludf.DUMMYFUNCTION("""COMPUTED_VALUE"""),44018.66666666667)</f>
        <v>44018.66667</v>
      </c>
      <c r="B133" s="1">
        <f>IFERROR(__xludf.DUMMYFUNCTION("""COMPUTED_VALUE"""),158.87)</f>
        <v>158.87</v>
      </c>
      <c r="C133" s="1">
        <f>IFERROR(__xludf.DUMMYFUNCTION("""COMPUTED_VALUE"""),159.96)</f>
        <v>159.96</v>
      </c>
      <c r="D133" s="1">
        <f>IFERROR(__xludf.DUMMYFUNCTION("""COMPUTED_VALUE"""),157.05)</f>
        <v>157.05</v>
      </c>
      <c r="E133" s="1">
        <f>IFERROR(__xludf.DUMMYFUNCTION("""COMPUTED_VALUE"""),158.1)</f>
        <v>158.1</v>
      </c>
      <c r="F133" s="1">
        <f>IFERROR(__xludf.DUMMYFUNCTION("""COMPUTED_VALUE"""),2099527.0)</f>
        <v>2099527</v>
      </c>
    </row>
    <row r="134" ht="15.75" customHeight="1">
      <c r="A134" s="10">
        <f>IFERROR(__xludf.DUMMYFUNCTION("""COMPUTED_VALUE"""),44019.66666666667)</f>
        <v>44019.66667</v>
      </c>
      <c r="B134" s="1">
        <f>IFERROR(__xludf.DUMMYFUNCTION("""COMPUTED_VALUE"""),156.08)</f>
        <v>156.08</v>
      </c>
      <c r="C134" s="1">
        <f>IFERROR(__xludf.DUMMYFUNCTION("""COMPUTED_VALUE"""),157.1)</f>
        <v>157.1</v>
      </c>
      <c r="D134" s="1">
        <f>IFERROR(__xludf.DUMMYFUNCTION("""COMPUTED_VALUE"""),154.69)</f>
        <v>154.69</v>
      </c>
      <c r="E134" s="1">
        <f>IFERROR(__xludf.DUMMYFUNCTION("""COMPUTED_VALUE"""),154.82)</f>
        <v>154.82</v>
      </c>
      <c r="F134" s="1">
        <f>IFERROR(__xludf.DUMMYFUNCTION("""COMPUTED_VALUE"""),1571706.0)</f>
        <v>1571706</v>
      </c>
    </row>
    <row r="135" ht="15.75" customHeight="1">
      <c r="A135" s="10">
        <f>IFERROR(__xludf.DUMMYFUNCTION("""COMPUTED_VALUE"""),44020.66666666667)</f>
        <v>44020.66667</v>
      </c>
      <c r="B135" s="1">
        <f>IFERROR(__xludf.DUMMYFUNCTION("""COMPUTED_VALUE"""),155.07)</f>
        <v>155.07</v>
      </c>
      <c r="C135" s="1">
        <f>IFERROR(__xludf.DUMMYFUNCTION("""COMPUTED_VALUE"""),155.6)</f>
        <v>155.6</v>
      </c>
      <c r="D135" s="1">
        <f>IFERROR(__xludf.DUMMYFUNCTION("""COMPUTED_VALUE"""),153.87)</f>
        <v>153.87</v>
      </c>
      <c r="E135" s="1">
        <f>IFERROR(__xludf.DUMMYFUNCTION("""COMPUTED_VALUE"""),154.58)</f>
        <v>154.58</v>
      </c>
      <c r="F135" s="1">
        <f>IFERROR(__xludf.DUMMYFUNCTION("""COMPUTED_VALUE"""),1662062.0)</f>
        <v>1662062</v>
      </c>
    </row>
    <row r="136" ht="15.75" customHeight="1">
      <c r="A136" s="10">
        <f>IFERROR(__xludf.DUMMYFUNCTION("""COMPUTED_VALUE"""),44021.66666666667)</f>
        <v>44021.66667</v>
      </c>
      <c r="B136" s="1">
        <f>IFERROR(__xludf.DUMMYFUNCTION("""COMPUTED_VALUE"""),153.92)</f>
        <v>153.92</v>
      </c>
      <c r="C136" s="1">
        <f>IFERROR(__xludf.DUMMYFUNCTION("""COMPUTED_VALUE"""),154.72)</f>
        <v>154.72</v>
      </c>
      <c r="D136" s="1">
        <f>IFERROR(__xludf.DUMMYFUNCTION("""COMPUTED_VALUE"""),151.04)</f>
        <v>151.04</v>
      </c>
      <c r="E136" s="1">
        <f>IFERROR(__xludf.DUMMYFUNCTION("""COMPUTED_VALUE"""),151.45)</f>
        <v>151.45</v>
      </c>
      <c r="F136" s="1">
        <f>IFERROR(__xludf.DUMMYFUNCTION("""COMPUTED_VALUE"""),2189954.0)</f>
        <v>2189954</v>
      </c>
    </row>
    <row r="137" ht="15.75" customHeight="1">
      <c r="A137" s="10">
        <f>IFERROR(__xludf.DUMMYFUNCTION("""COMPUTED_VALUE"""),44022.66666666667)</f>
        <v>44022.66667</v>
      </c>
      <c r="B137" s="1">
        <f>IFERROR(__xludf.DUMMYFUNCTION("""COMPUTED_VALUE"""),151.69)</f>
        <v>151.69</v>
      </c>
      <c r="C137" s="1">
        <f>IFERROR(__xludf.DUMMYFUNCTION("""COMPUTED_VALUE"""),153.25)</f>
        <v>153.25</v>
      </c>
      <c r="D137" s="1">
        <f>IFERROR(__xludf.DUMMYFUNCTION("""COMPUTED_VALUE"""),150.99)</f>
        <v>150.99</v>
      </c>
      <c r="E137" s="1">
        <f>IFERROR(__xludf.DUMMYFUNCTION("""COMPUTED_VALUE"""),152.85)</f>
        <v>152.85</v>
      </c>
      <c r="F137" s="1">
        <f>IFERROR(__xludf.DUMMYFUNCTION("""COMPUTED_VALUE"""),1954541.0)</f>
        <v>1954541</v>
      </c>
    </row>
    <row r="138" ht="15.75" customHeight="1">
      <c r="A138" s="10">
        <f>IFERROR(__xludf.DUMMYFUNCTION("""COMPUTED_VALUE"""),44025.66666666667)</f>
        <v>44025.66667</v>
      </c>
      <c r="B138" s="1">
        <f>IFERROR(__xludf.DUMMYFUNCTION("""COMPUTED_VALUE"""),154.35)</f>
        <v>154.35</v>
      </c>
      <c r="C138" s="1">
        <f>IFERROR(__xludf.DUMMYFUNCTION("""COMPUTED_VALUE"""),156.93)</f>
        <v>156.93</v>
      </c>
      <c r="D138" s="1">
        <f>IFERROR(__xludf.DUMMYFUNCTION("""COMPUTED_VALUE"""),154.16)</f>
        <v>154.16</v>
      </c>
      <c r="E138" s="1">
        <f>IFERROR(__xludf.DUMMYFUNCTION("""COMPUTED_VALUE"""),154.8)</f>
        <v>154.8</v>
      </c>
      <c r="F138" s="1">
        <f>IFERROR(__xludf.DUMMYFUNCTION("""COMPUTED_VALUE"""),2217754.0)</f>
        <v>2217754</v>
      </c>
    </row>
    <row r="139" ht="15.75" customHeight="1">
      <c r="A139" s="10">
        <f>IFERROR(__xludf.DUMMYFUNCTION("""COMPUTED_VALUE"""),44026.66666666667)</f>
        <v>44026.66667</v>
      </c>
      <c r="B139" s="1">
        <f>IFERROR(__xludf.DUMMYFUNCTION("""COMPUTED_VALUE"""),154.8)</f>
        <v>154.8</v>
      </c>
      <c r="C139" s="1">
        <f>IFERROR(__xludf.DUMMYFUNCTION("""COMPUTED_VALUE"""),159.23)</f>
        <v>159.23</v>
      </c>
      <c r="D139" s="1">
        <f>IFERROR(__xludf.DUMMYFUNCTION("""COMPUTED_VALUE"""),153.92)</f>
        <v>153.92</v>
      </c>
      <c r="E139" s="1">
        <f>IFERROR(__xludf.DUMMYFUNCTION("""COMPUTED_VALUE"""),158.54)</f>
        <v>158.54</v>
      </c>
      <c r="F139" s="1">
        <f>IFERROR(__xludf.DUMMYFUNCTION("""COMPUTED_VALUE"""),3198942.0)</f>
        <v>3198942</v>
      </c>
    </row>
    <row r="140" ht="15.75" customHeight="1">
      <c r="A140" s="10">
        <f>IFERROR(__xludf.DUMMYFUNCTION("""COMPUTED_VALUE"""),44027.66666666667)</f>
        <v>44027.66667</v>
      </c>
      <c r="B140" s="1">
        <f>IFERROR(__xludf.DUMMYFUNCTION("""COMPUTED_VALUE"""),159.98)</f>
        <v>159.98</v>
      </c>
      <c r="C140" s="1">
        <f>IFERROR(__xludf.DUMMYFUNCTION("""COMPUTED_VALUE"""),161.38)</f>
        <v>161.38</v>
      </c>
      <c r="D140" s="1">
        <f>IFERROR(__xludf.DUMMYFUNCTION("""COMPUTED_VALUE"""),159.25)</f>
        <v>159.25</v>
      </c>
      <c r="E140" s="1">
        <f>IFERROR(__xludf.DUMMYFUNCTION("""COMPUTED_VALUE"""),159.33)</f>
        <v>159.33</v>
      </c>
      <c r="F140" s="1">
        <f>IFERROR(__xludf.DUMMYFUNCTION("""COMPUTED_VALUE"""),3472254.0)</f>
        <v>3472254</v>
      </c>
    </row>
    <row r="141" ht="15.75" customHeight="1">
      <c r="A141" s="10">
        <f>IFERROR(__xludf.DUMMYFUNCTION("""COMPUTED_VALUE"""),44028.66666666667)</f>
        <v>44028.66667</v>
      </c>
      <c r="B141" s="1">
        <f>IFERROR(__xludf.DUMMYFUNCTION("""COMPUTED_VALUE"""),159.25)</f>
        <v>159.25</v>
      </c>
      <c r="C141" s="1">
        <f>IFERROR(__xludf.DUMMYFUNCTION("""COMPUTED_VALUE"""),160.91)</f>
        <v>160.91</v>
      </c>
      <c r="D141" s="1">
        <f>IFERROR(__xludf.DUMMYFUNCTION("""COMPUTED_VALUE"""),158.04)</f>
        <v>158.04</v>
      </c>
      <c r="E141" s="1">
        <f>IFERROR(__xludf.DUMMYFUNCTION("""COMPUTED_VALUE"""),160.5)</f>
        <v>160.5</v>
      </c>
      <c r="F141" s="1">
        <f>IFERROR(__xludf.DUMMYFUNCTION("""COMPUTED_VALUE"""),1801502.0)</f>
        <v>1801502</v>
      </c>
    </row>
    <row r="142" ht="15.75" customHeight="1">
      <c r="A142" s="10">
        <f>IFERROR(__xludf.DUMMYFUNCTION("""COMPUTED_VALUE"""),44029.66666666667)</f>
        <v>44029.66667</v>
      </c>
      <c r="B142" s="1">
        <f>IFERROR(__xludf.DUMMYFUNCTION("""COMPUTED_VALUE"""),160.86)</f>
        <v>160.86</v>
      </c>
      <c r="C142" s="1">
        <f>IFERROR(__xludf.DUMMYFUNCTION("""COMPUTED_VALUE"""),161.56)</f>
        <v>161.56</v>
      </c>
      <c r="D142" s="1">
        <f>IFERROR(__xludf.DUMMYFUNCTION("""COMPUTED_VALUE"""),159.51)</f>
        <v>159.51</v>
      </c>
      <c r="E142" s="1">
        <f>IFERROR(__xludf.DUMMYFUNCTION("""COMPUTED_VALUE"""),159.83)</f>
        <v>159.83</v>
      </c>
      <c r="F142" s="1">
        <f>IFERROR(__xludf.DUMMYFUNCTION("""COMPUTED_VALUE"""),2551772.0)</f>
        <v>2551772</v>
      </c>
    </row>
    <row r="143" ht="15.75" customHeight="1">
      <c r="A143" s="10">
        <f>IFERROR(__xludf.DUMMYFUNCTION("""COMPUTED_VALUE"""),44032.66666666667)</f>
        <v>44032.66667</v>
      </c>
      <c r="B143" s="1">
        <f>IFERROR(__xludf.DUMMYFUNCTION("""COMPUTED_VALUE"""),158.85)</f>
        <v>158.85</v>
      </c>
      <c r="C143" s="1">
        <f>IFERROR(__xludf.DUMMYFUNCTION("""COMPUTED_VALUE"""),158.87)</f>
        <v>158.87</v>
      </c>
      <c r="D143" s="1">
        <f>IFERROR(__xludf.DUMMYFUNCTION("""COMPUTED_VALUE"""),156.37)</f>
        <v>156.37</v>
      </c>
      <c r="E143" s="1">
        <f>IFERROR(__xludf.DUMMYFUNCTION("""COMPUTED_VALUE"""),156.37)</f>
        <v>156.37</v>
      </c>
      <c r="F143" s="1">
        <f>IFERROR(__xludf.DUMMYFUNCTION("""COMPUTED_VALUE"""),1790097.0)</f>
        <v>1790097</v>
      </c>
    </row>
    <row r="144" ht="15.75" customHeight="1">
      <c r="A144" s="10">
        <f>IFERROR(__xludf.DUMMYFUNCTION("""COMPUTED_VALUE"""),44033.66666666667)</f>
        <v>44033.66667</v>
      </c>
      <c r="B144" s="1">
        <f>IFERROR(__xludf.DUMMYFUNCTION("""COMPUTED_VALUE"""),157.0)</f>
        <v>157</v>
      </c>
      <c r="C144" s="1">
        <f>IFERROR(__xludf.DUMMYFUNCTION("""COMPUTED_VALUE"""),159.63)</f>
        <v>159.63</v>
      </c>
      <c r="D144" s="1">
        <f>IFERROR(__xludf.DUMMYFUNCTION("""COMPUTED_VALUE"""),156.99)</f>
        <v>156.99</v>
      </c>
      <c r="E144" s="1">
        <f>IFERROR(__xludf.DUMMYFUNCTION("""COMPUTED_VALUE"""),157.8)</f>
        <v>157.8</v>
      </c>
      <c r="F144" s="1">
        <f>IFERROR(__xludf.DUMMYFUNCTION("""COMPUTED_VALUE"""),2757249.0)</f>
        <v>2757249</v>
      </c>
    </row>
    <row r="145" ht="15.75" customHeight="1">
      <c r="A145" s="10">
        <f>IFERROR(__xludf.DUMMYFUNCTION("""COMPUTED_VALUE"""),44034.66666666667)</f>
        <v>44034.66667</v>
      </c>
      <c r="B145" s="1">
        <f>IFERROR(__xludf.DUMMYFUNCTION("""COMPUTED_VALUE"""),157.43)</f>
        <v>157.43</v>
      </c>
      <c r="C145" s="1">
        <f>IFERROR(__xludf.DUMMYFUNCTION("""COMPUTED_VALUE"""),159.93)</f>
        <v>159.93</v>
      </c>
      <c r="D145" s="1">
        <f>IFERROR(__xludf.DUMMYFUNCTION("""COMPUTED_VALUE"""),157.02)</f>
        <v>157.02</v>
      </c>
      <c r="E145" s="1">
        <f>IFERROR(__xludf.DUMMYFUNCTION("""COMPUTED_VALUE"""),158.71)</f>
        <v>158.71</v>
      </c>
      <c r="F145" s="1">
        <f>IFERROR(__xludf.DUMMYFUNCTION("""COMPUTED_VALUE"""),1899582.0)</f>
        <v>1899582</v>
      </c>
    </row>
    <row r="146" ht="15.75" customHeight="1">
      <c r="A146" s="10">
        <f>IFERROR(__xludf.DUMMYFUNCTION("""COMPUTED_VALUE"""),44035.66666666667)</f>
        <v>44035.66667</v>
      </c>
      <c r="B146" s="1">
        <f>IFERROR(__xludf.DUMMYFUNCTION("""COMPUTED_VALUE"""),159.0)</f>
        <v>159</v>
      </c>
      <c r="C146" s="1">
        <f>IFERROR(__xludf.DUMMYFUNCTION("""COMPUTED_VALUE"""),159.65)</f>
        <v>159.65</v>
      </c>
      <c r="D146" s="1">
        <f>IFERROR(__xludf.DUMMYFUNCTION("""COMPUTED_VALUE"""),158.36)</f>
        <v>158.36</v>
      </c>
      <c r="E146" s="1">
        <f>IFERROR(__xludf.DUMMYFUNCTION("""COMPUTED_VALUE"""),159.29)</f>
        <v>159.29</v>
      </c>
      <c r="F146" s="1">
        <f>IFERROR(__xludf.DUMMYFUNCTION("""COMPUTED_VALUE"""),2695122.0)</f>
        <v>2695122</v>
      </c>
    </row>
    <row r="147" ht="15.75" customHeight="1">
      <c r="A147" s="10">
        <f>IFERROR(__xludf.DUMMYFUNCTION("""COMPUTED_VALUE"""),44036.66666666667)</f>
        <v>44036.66667</v>
      </c>
      <c r="B147" s="1">
        <f>IFERROR(__xludf.DUMMYFUNCTION("""COMPUTED_VALUE"""),160.05)</f>
        <v>160.05</v>
      </c>
      <c r="C147" s="1">
        <f>IFERROR(__xludf.DUMMYFUNCTION("""COMPUTED_VALUE"""),161.6)</f>
        <v>161.6</v>
      </c>
      <c r="D147" s="1">
        <f>IFERROR(__xludf.DUMMYFUNCTION("""COMPUTED_VALUE"""),158.72)</f>
        <v>158.72</v>
      </c>
      <c r="E147" s="1">
        <f>IFERROR(__xludf.DUMMYFUNCTION("""COMPUTED_VALUE"""),159.84)</f>
        <v>159.84</v>
      </c>
      <c r="F147" s="1">
        <f>IFERROR(__xludf.DUMMYFUNCTION("""COMPUTED_VALUE"""),2524854.0)</f>
        <v>2524854</v>
      </c>
    </row>
    <row r="148" ht="15.75" customHeight="1">
      <c r="A148" s="10">
        <f>IFERROR(__xludf.DUMMYFUNCTION("""COMPUTED_VALUE"""),44039.66666666667)</f>
        <v>44039.66667</v>
      </c>
      <c r="B148" s="1">
        <f>IFERROR(__xludf.DUMMYFUNCTION("""COMPUTED_VALUE"""),159.53)</f>
        <v>159.53</v>
      </c>
      <c r="C148" s="1">
        <f>IFERROR(__xludf.DUMMYFUNCTION("""COMPUTED_VALUE"""),163.38)</f>
        <v>163.38</v>
      </c>
      <c r="D148" s="1">
        <f>IFERROR(__xludf.DUMMYFUNCTION("""COMPUTED_VALUE"""),159.33)</f>
        <v>159.33</v>
      </c>
      <c r="E148" s="1">
        <f>IFERROR(__xludf.DUMMYFUNCTION("""COMPUTED_VALUE"""),163.24)</f>
        <v>163.24</v>
      </c>
      <c r="F148" s="1">
        <f>IFERROR(__xludf.DUMMYFUNCTION("""COMPUTED_VALUE"""),3198457.0)</f>
        <v>3198457</v>
      </c>
    </row>
    <row r="149" ht="15.75" customHeight="1">
      <c r="A149" s="10">
        <f>IFERROR(__xludf.DUMMYFUNCTION("""COMPUTED_VALUE"""),44040.66666666667)</f>
        <v>44040.66667</v>
      </c>
      <c r="B149" s="1">
        <f>IFERROR(__xludf.DUMMYFUNCTION("""COMPUTED_VALUE"""),155.47)</f>
        <v>155.47</v>
      </c>
      <c r="C149" s="1">
        <f>IFERROR(__xludf.DUMMYFUNCTION("""COMPUTED_VALUE"""),157.48)</f>
        <v>157.48</v>
      </c>
      <c r="D149" s="1">
        <f>IFERROR(__xludf.DUMMYFUNCTION("""COMPUTED_VALUE"""),153.8)</f>
        <v>153.8</v>
      </c>
      <c r="E149" s="1">
        <f>IFERROR(__xludf.DUMMYFUNCTION("""COMPUTED_VALUE"""),155.33)</f>
        <v>155.33</v>
      </c>
      <c r="F149" s="1">
        <f>IFERROR(__xludf.DUMMYFUNCTION("""COMPUTED_VALUE"""),7738796.0)</f>
        <v>7738796</v>
      </c>
    </row>
    <row r="150" ht="15.75" customHeight="1">
      <c r="A150" s="10">
        <f>IFERROR(__xludf.DUMMYFUNCTION("""COMPUTED_VALUE"""),44041.66666666667)</f>
        <v>44041.66667</v>
      </c>
      <c r="B150" s="1">
        <f>IFERROR(__xludf.DUMMYFUNCTION("""COMPUTED_VALUE"""),156.5)</f>
        <v>156.5</v>
      </c>
      <c r="C150" s="1">
        <f>IFERROR(__xludf.DUMMYFUNCTION("""COMPUTED_VALUE"""),157.53)</f>
        <v>157.53</v>
      </c>
      <c r="D150" s="1">
        <f>IFERROR(__xludf.DUMMYFUNCTION("""COMPUTED_VALUE"""),154.92)</f>
        <v>154.92</v>
      </c>
      <c r="E150" s="1">
        <f>IFERROR(__xludf.DUMMYFUNCTION("""COMPUTED_VALUE"""),156.25)</f>
        <v>156.25</v>
      </c>
      <c r="F150" s="1">
        <f>IFERROR(__xludf.DUMMYFUNCTION("""COMPUTED_VALUE"""),3322894.0)</f>
        <v>3322894</v>
      </c>
    </row>
    <row r="151" ht="15.75" customHeight="1">
      <c r="A151" s="10">
        <f>IFERROR(__xludf.DUMMYFUNCTION("""COMPUTED_VALUE"""),44042.66666666667)</f>
        <v>44042.66667</v>
      </c>
      <c r="B151" s="1">
        <f>IFERROR(__xludf.DUMMYFUNCTION("""COMPUTED_VALUE"""),154.31)</f>
        <v>154.31</v>
      </c>
      <c r="C151" s="1">
        <f>IFERROR(__xludf.DUMMYFUNCTION("""COMPUTED_VALUE"""),154.72)</f>
        <v>154.72</v>
      </c>
      <c r="D151" s="1">
        <f>IFERROR(__xludf.DUMMYFUNCTION("""COMPUTED_VALUE"""),151.36)</f>
        <v>151.36</v>
      </c>
      <c r="E151" s="1">
        <f>IFERROR(__xludf.DUMMYFUNCTION("""COMPUTED_VALUE"""),152.12)</f>
        <v>152.12</v>
      </c>
      <c r="F151" s="1">
        <f>IFERROR(__xludf.DUMMYFUNCTION("""COMPUTED_VALUE"""),3112986.0)</f>
        <v>3112986</v>
      </c>
    </row>
    <row r="152" ht="15.75" customHeight="1">
      <c r="A152" s="10">
        <f>IFERROR(__xludf.DUMMYFUNCTION("""COMPUTED_VALUE"""),44043.66666666667)</f>
        <v>44043.66667</v>
      </c>
      <c r="B152" s="1">
        <f>IFERROR(__xludf.DUMMYFUNCTION("""COMPUTED_VALUE"""),151.68)</f>
        <v>151.68</v>
      </c>
      <c r="C152" s="1">
        <f>IFERROR(__xludf.DUMMYFUNCTION("""COMPUTED_VALUE"""),151.75)</f>
        <v>151.75</v>
      </c>
      <c r="D152" s="1">
        <f>IFERROR(__xludf.DUMMYFUNCTION("""COMPUTED_VALUE"""),148.8)</f>
        <v>148.8</v>
      </c>
      <c r="E152" s="1">
        <f>IFERROR(__xludf.DUMMYFUNCTION("""COMPUTED_VALUE"""),150.47)</f>
        <v>150.47</v>
      </c>
      <c r="F152" s="1">
        <f>IFERROR(__xludf.DUMMYFUNCTION("""COMPUTED_VALUE"""),3266644.0)</f>
        <v>3266644</v>
      </c>
    </row>
    <row r="153" ht="15.75" customHeight="1">
      <c r="A153" s="10">
        <f>IFERROR(__xludf.DUMMYFUNCTION("""COMPUTED_VALUE"""),44046.66666666667)</f>
        <v>44046.66667</v>
      </c>
      <c r="B153" s="1">
        <f>IFERROR(__xludf.DUMMYFUNCTION("""COMPUTED_VALUE"""),151.09)</f>
        <v>151.09</v>
      </c>
      <c r="C153" s="1">
        <f>IFERROR(__xludf.DUMMYFUNCTION("""COMPUTED_VALUE"""),151.42)</f>
        <v>151.42</v>
      </c>
      <c r="D153" s="1">
        <f>IFERROR(__xludf.DUMMYFUNCTION("""COMPUTED_VALUE"""),149.31)</f>
        <v>149.31</v>
      </c>
      <c r="E153" s="1">
        <f>IFERROR(__xludf.DUMMYFUNCTION("""COMPUTED_VALUE"""),150.41)</f>
        <v>150.41</v>
      </c>
      <c r="F153" s="1">
        <f>IFERROR(__xludf.DUMMYFUNCTION("""COMPUTED_VALUE"""),2265040.0)</f>
        <v>2265040</v>
      </c>
    </row>
    <row r="154" ht="15.75" customHeight="1">
      <c r="A154" s="10">
        <f>IFERROR(__xludf.DUMMYFUNCTION("""COMPUTED_VALUE"""),44047.66666666667)</f>
        <v>44047.66667</v>
      </c>
      <c r="B154" s="1">
        <f>IFERROR(__xludf.DUMMYFUNCTION("""COMPUTED_VALUE"""),149.9)</f>
        <v>149.9</v>
      </c>
      <c r="C154" s="1">
        <f>IFERROR(__xludf.DUMMYFUNCTION("""COMPUTED_VALUE"""),151.24)</f>
        <v>151.24</v>
      </c>
      <c r="D154" s="1">
        <f>IFERROR(__xludf.DUMMYFUNCTION("""COMPUTED_VALUE"""),149.66)</f>
        <v>149.66</v>
      </c>
      <c r="E154" s="1">
        <f>IFERROR(__xludf.DUMMYFUNCTION("""COMPUTED_VALUE"""),151.21)</f>
        <v>151.21</v>
      </c>
      <c r="F154" s="1">
        <f>IFERROR(__xludf.DUMMYFUNCTION("""COMPUTED_VALUE"""),1848626.0)</f>
        <v>1848626</v>
      </c>
    </row>
    <row r="155" ht="15.75" customHeight="1">
      <c r="A155" s="10">
        <f>IFERROR(__xludf.DUMMYFUNCTION("""COMPUTED_VALUE"""),44048.66666666667)</f>
        <v>44048.66667</v>
      </c>
      <c r="B155" s="1">
        <f>IFERROR(__xludf.DUMMYFUNCTION("""COMPUTED_VALUE"""),152.16)</f>
        <v>152.16</v>
      </c>
      <c r="C155" s="1">
        <f>IFERROR(__xludf.DUMMYFUNCTION("""COMPUTED_VALUE"""),155.4)</f>
        <v>155.4</v>
      </c>
      <c r="D155" s="1">
        <f>IFERROR(__xludf.DUMMYFUNCTION("""COMPUTED_VALUE"""),152.1)</f>
        <v>152.1</v>
      </c>
      <c r="E155" s="1">
        <f>IFERROR(__xludf.DUMMYFUNCTION("""COMPUTED_VALUE"""),155.35)</f>
        <v>155.35</v>
      </c>
      <c r="F155" s="1">
        <f>IFERROR(__xludf.DUMMYFUNCTION("""COMPUTED_VALUE"""),2723360.0)</f>
        <v>2723360</v>
      </c>
    </row>
    <row r="156" ht="15.75" customHeight="1">
      <c r="A156" s="10">
        <f>IFERROR(__xludf.DUMMYFUNCTION("""COMPUTED_VALUE"""),44049.66666666667)</f>
        <v>44049.66667</v>
      </c>
      <c r="B156" s="1">
        <f>IFERROR(__xludf.DUMMYFUNCTION("""COMPUTED_VALUE"""),155.93)</f>
        <v>155.93</v>
      </c>
      <c r="C156" s="1">
        <f>IFERROR(__xludf.DUMMYFUNCTION("""COMPUTED_VALUE"""),156.49)</f>
        <v>156.49</v>
      </c>
      <c r="D156" s="1">
        <f>IFERROR(__xludf.DUMMYFUNCTION("""COMPUTED_VALUE"""),154.68)</f>
        <v>154.68</v>
      </c>
      <c r="E156" s="1">
        <f>IFERROR(__xludf.DUMMYFUNCTION("""COMPUTED_VALUE"""),156.0)</f>
        <v>156</v>
      </c>
      <c r="F156" s="1">
        <f>IFERROR(__xludf.DUMMYFUNCTION("""COMPUTED_VALUE"""),2885798.0)</f>
        <v>2885798</v>
      </c>
    </row>
    <row r="157" ht="15.75" customHeight="1">
      <c r="A157" s="10">
        <f>IFERROR(__xludf.DUMMYFUNCTION("""COMPUTED_VALUE"""),44050.66666666667)</f>
        <v>44050.66667</v>
      </c>
      <c r="B157" s="1">
        <f>IFERROR(__xludf.DUMMYFUNCTION("""COMPUTED_VALUE"""),155.99)</f>
        <v>155.99</v>
      </c>
      <c r="C157" s="1">
        <f>IFERROR(__xludf.DUMMYFUNCTION("""COMPUTED_VALUE"""),158.42)</f>
        <v>158.42</v>
      </c>
      <c r="D157" s="1">
        <f>IFERROR(__xludf.DUMMYFUNCTION("""COMPUTED_VALUE"""),155.07)</f>
        <v>155.07</v>
      </c>
      <c r="E157" s="1">
        <f>IFERROR(__xludf.DUMMYFUNCTION("""COMPUTED_VALUE"""),158.33)</f>
        <v>158.33</v>
      </c>
      <c r="F157" s="1">
        <f>IFERROR(__xludf.DUMMYFUNCTION("""COMPUTED_VALUE"""),2184531.0)</f>
        <v>2184531</v>
      </c>
    </row>
    <row r="158" ht="15.75" customHeight="1">
      <c r="A158" s="10">
        <f>IFERROR(__xludf.DUMMYFUNCTION("""COMPUTED_VALUE"""),44053.66666666667)</f>
        <v>44053.66667</v>
      </c>
      <c r="B158" s="1">
        <f>IFERROR(__xludf.DUMMYFUNCTION("""COMPUTED_VALUE"""),158.55)</f>
        <v>158.55</v>
      </c>
      <c r="C158" s="1">
        <f>IFERROR(__xludf.DUMMYFUNCTION("""COMPUTED_VALUE"""),161.6)</f>
        <v>161.6</v>
      </c>
      <c r="D158" s="1">
        <f>IFERROR(__xludf.DUMMYFUNCTION("""COMPUTED_VALUE"""),158.55)</f>
        <v>158.55</v>
      </c>
      <c r="E158" s="1">
        <f>IFERROR(__xludf.DUMMYFUNCTION("""COMPUTED_VALUE"""),161.44)</f>
        <v>161.44</v>
      </c>
      <c r="F158" s="1">
        <f>IFERROR(__xludf.DUMMYFUNCTION("""COMPUTED_VALUE"""),2272795.0)</f>
        <v>2272795</v>
      </c>
    </row>
    <row r="159" ht="15.75" customHeight="1">
      <c r="A159" s="10">
        <f>IFERROR(__xludf.DUMMYFUNCTION("""COMPUTED_VALUE"""),44054.66666666667)</f>
        <v>44054.66667</v>
      </c>
      <c r="B159" s="1">
        <f>IFERROR(__xludf.DUMMYFUNCTION("""COMPUTED_VALUE"""),164.13)</f>
        <v>164.13</v>
      </c>
      <c r="C159" s="1">
        <f>IFERROR(__xludf.DUMMYFUNCTION("""COMPUTED_VALUE"""),166.64)</f>
        <v>166.64</v>
      </c>
      <c r="D159" s="1">
        <f>IFERROR(__xludf.DUMMYFUNCTION("""COMPUTED_VALUE"""),163.04)</f>
        <v>163.04</v>
      </c>
      <c r="E159" s="1">
        <f>IFERROR(__xludf.DUMMYFUNCTION("""COMPUTED_VALUE"""),163.38)</f>
        <v>163.38</v>
      </c>
      <c r="F159" s="1">
        <f>IFERROR(__xludf.DUMMYFUNCTION("""COMPUTED_VALUE"""),3764883.0)</f>
        <v>3764883</v>
      </c>
    </row>
    <row r="160" ht="15.75" customHeight="1">
      <c r="A160" s="10">
        <f>IFERROR(__xludf.DUMMYFUNCTION("""COMPUTED_VALUE"""),44055.66666666667)</f>
        <v>44055.66667</v>
      </c>
      <c r="B160" s="1">
        <f>IFERROR(__xludf.DUMMYFUNCTION("""COMPUTED_VALUE"""),165.0)</f>
        <v>165</v>
      </c>
      <c r="C160" s="1">
        <f>IFERROR(__xludf.DUMMYFUNCTION("""COMPUTED_VALUE"""),165.95)</f>
        <v>165.95</v>
      </c>
      <c r="D160" s="1">
        <f>IFERROR(__xludf.DUMMYFUNCTION("""COMPUTED_VALUE"""),163.35)</f>
        <v>163.35</v>
      </c>
      <c r="E160" s="1">
        <f>IFERROR(__xludf.DUMMYFUNCTION("""COMPUTED_VALUE"""),164.26)</f>
        <v>164.26</v>
      </c>
      <c r="F160" s="1">
        <f>IFERROR(__xludf.DUMMYFUNCTION("""COMPUTED_VALUE"""),2079670.0)</f>
        <v>2079670</v>
      </c>
    </row>
    <row r="161" ht="15.75" customHeight="1">
      <c r="A161" s="10">
        <f>IFERROR(__xludf.DUMMYFUNCTION("""COMPUTED_VALUE"""),44056.66666666667)</f>
        <v>44056.66667</v>
      </c>
      <c r="B161" s="1">
        <f>IFERROR(__xludf.DUMMYFUNCTION("""COMPUTED_VALUE"""),165.52)</f>
        <v>165.52</v>
      </c>
      <c r="C161" s="1">
        <f>IFERROR(__xludf.DUMMYFUNCTION("""COMPUTED_VALUE"""),167.49)</f>
        <v>167.49</v>
      </c>
      <c r="D161" s="1">
        <f>IFERROR(__xludf.DUMMYFUNCTION("""COMPUTED_VALUE"""),164.75)</f>
        <v>164.75</v>
      </c>
      <c r="E161" s="1">
        <f>IFERROR(__xludf.DUMMYFUNCTION("""COMPUTED_VALUE"""),165.86)</f>
        <v>165.86</v>
      </c>
      <c r="F161" s="1">
        <f>IFERROR(__xludf.DUMMYFUNCTION("""COMPUTED_VALUE"""),2884061.0)</f>
        <v>2884061</v>
      </c>
    </row>
    <row r="162" ht="15.75" customHeight="1">
      <c r="A162" s="10">
        <f>IFERROR(__xludf.DUMMYFUNCTION("""COMPUTED_VALUE"""),44057.66666666667)</f>
        <v>44057.66667</v>
      </c>
      <c r="B162" s="1">
        <f>IFERROR(__xludf.DUMMYFUNCTION("""COMPUTED_VALUE"""),164.61)</f>
        <v>164.61</v>
      </c>
      <c r="C162" s="1">
        <f>IFERROR(__xludf.DUMMYFUNCTION("""COMPUTED_VALUE"""),166.3)</f>
        <v>166.3</v>
      </c>
      <c r="D162" s="1">
        <f>IFERROR(__xludf.DUMMYFUNCTION("""COMPUTED_VALUE"""),164.52)</f>
        <v>164.52</v>
      </c>
      <c r="E162" s="1">
        <f>IFERROR(__xludf.DUMMYFUNCTION("""COMPUTED_VALUE"""),166.1)</f>
        <v>166.1</v>
      </c>
      <c r="F162" s="1">
        <f>IFERROR(__xludf.DUMMYFUNCTION("""COMPUTED_VALUE"""),1607354.0)</f>
        <v>1607354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" t="s">
        <v>167</v>
      </c>
      <c r="C2" s="2">
        <v>43678.0</v>
      </c>
      <c r="D2" s="2">
        <v>44059.0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IFERROR(__xludf.DUMMYFUNCTION("""COMPUTED_VALUE"""),43678.66666666667)</f>
        <v>43678.66667</v>
      </c>
      <c r="B6" s="1">
        <f>IFERROR(__xludf.DUMMYFUNCTION("""COMPUTED_VALUE"""),103.28)</f>
        <v>103.28</v>
      </c>
      <c r="C6" s="1">
        <f>IFERROR(__xludf.DUMMYFUNCTION("""COMPUTED_VALUE"""),103.88)</f>
        <v>103.88</v>
      </c>
      <c r="D6" s="1">
        <f>IFERROR(__xludf.DUMMYFUNCTION("""COMPUTED_VALUE"""),99.05)</f>
        <v>99.05</v>
      </c>
      <c r="E6" s="1">
        <f>IFERROR(__xludf.DUMMYFUNCTION("""COMPUTED_VALUE"""),99.31)</f>
        <v>99.31</v>
      </c>
      <c r="F6" s="1">
        <f>IFERROR(__xludf.DUMMYFUNCTION("""COMPUTED_VALUE"""),0.0)</f>
        <v>0</v>
      </c>
    </row>
    <row r="7" ht="15.75" customHeight="1">
      <c r="A7" s="10">
        <f>IFERROR(__xludf.DUMMYFUNCTION("""COMPUTED_VALUE"""),43679.66666666667)</f>
        <v>43679.66667</v>
      </c>
      <c r="B7" s="1">
        <f>IFERROR(__xludf.DUMMYFUNCTION("""COMPUTED_VALUE"""),99.09)</f>
        <v>99.09</v>
      </c>
      <c r="C7" s="1">
        <f>IFERROR(__xludf.DUMMYFUNCTION("""COMPUTED_VALUE"""),99.25)</f>
        <v>99.25</v>
      </c>
      <c r="D7" s="1">
        <f>IFERROR(__xludf.DUMMYFUNCTION("""COMPUTED_VALUE"""),97.18)</f>
        <v>97.18</v>
      </c>
      <c r="E7" s="1">
        <f>IFERROR(__xludf.DUMMYFUNCTION("""COMPUTED_VALUE"""),98.17)</f>
        <v>98.17</v>
      </c>
      <c r="F7" s="1">
        <f>IFERROR(__xludf.DUMMYFUNCTION("""COMPUTED_VALUE"""),0.0)</f>
        <v>0</v>
      </c>
    </row>
    <row r="8" ht="15.75" customHeight="1">
      <c r="A8" s="10">
        <f>IFERROR(__xludf.DUMMYFUNCTION("""COMPUTED_VALUE"""),43682.66666666667)</f>
        <v>43682.66667</v>
      </c>
      <c r="B8" s="1">
        <f>IFERROR(__xludf.DUMMYFUNCTION("""COMPUTED_VALUE"""),96.23)</f>
        <v>96.23</v>
      </c>
      <c r="C8" s="1">
        <f>IFERROR(__xludf.DUMMYFUNCTION("""COMPUTED_VALUE"""),96.28)</f>
        <v>96.28</v>
      </c>
      <c r="D8" s="1">
        <f>IFERROR(__xludf.DUMMYFUNCTION("""COMPUTED_VALUE"""),93.8)</f>
        <v>93.8</v>
      </c>
      <c r="E8" s="1">
        <f>IFERROR(__xludf.DUMMYFUNCTION("""COMPUTED_VALUE"""),95.25)</f>
        <v>95.25</v>
      </c>
      <c r="F8" s="1">
        <f>IFERROR(__xludf.DUMMYFUNCTION("""COMPUTED_VALUE"""),0.0)</f>
        <v>0</v>
      </c>
    </row>
    <row r="9" ht="15.75" customHeight="1">
      <c r="A9" s="10">
        <f>IFERROR(__xludf.DUMMYFUNCTION("""COMPUTED_VALUE"""),43683.66666666667)</f>
        <v>43683.66667</v>
      </c>
      <c r="B9" s="1">
        <f>IFERROR(__xludf.DUMMYFUNCTION("""COMPUTED_VALUE"""),95.99)</f>
        <v>95.99</v>
      </c>
      <c r="C9" s="1">
        <f>IFERROR(__xludf.DUMMYFUNCTION("""COMPUTED_VALUE"""),96.18)</f>
        <v>96.18</v>
      </c>
      <c r="D9" s="1">
        <f>IFERROR(__xludf.DUMMYFUNCTION("""COMPUTED_VALUE"""),94.22)</f>
        <v>94.22</v>
      </c>
      <c r="E9" s="1">
        <f>IFERROR(__xludf.DUMMYFUNCTION("""COMPUTED_VALUE"""),96.11)</f>
        <v>96.11</v>
      </c>
      <c r="F9" s="1">
        <f>IFERROR(__xludf.DUMMYFUNCTION("""COMPUTED_VALUE"""),0.0)</f>
        <v>0</v>
      </c>
    </row>
    <row r="10" ht="15.75" customHeight="1">
      <c r="A10" s="10">
        <f>IFERROR(__xludf.DUMMYFUNCTION("""COMPUTED_VALUE"""),43684.66666666667)</f>
        <v>43684.66667</v>
      </c>
      <c r="B10" s="1">
        <f>IFERROR(__xludf.DUMMYFUNCTION("""COMPUTED_VALUE"""),94.3)</f>
        <v>94.3</v>
      </c>
      <c r="C10" s="1">
        <f>IFERROR(__xludf.DUMMYFUNCTION("""COMPUTED_VALUE"""),95.5)</f>
        <v>95.5</v>
      </c>
      <c r="D10" s="1">
        <f>IFERROR(__xludf.DUMMYFUNCTION("""COMPUTED_VALUE"""),93.25)</f>
        <v>93.25</v>
      </c>
      <c r="E10" s="1">
        <f>IFERROR(__xludf.DUMMYFUNCTION("""COMPUTED_VALUE"""),95.22)</f>
        <v>95.22</v>
      </c>
      <c r="F10" s="1">
        <f>IFERROR(__xludf.DUMMYFUNCTION("""COMPUTED_VALUE"""),0.0)</f>
        <v>0</v>
      </c>
    </row>
    <row r="11" ht="15.75" customHeight="1">
      <c r="A11" s="10">
        <f>IFERROR(__xludf.DUMMYFUNCTION("""COMPUTED_VALUE"""),43685.66666666667)</f>
        <v>43685.66667</v>
      </c>
      <c r="B11" s="1">
        <f>IFERROR(__xludf.DUMMYFUNCTION("""COMPUTED_VALUE"""),96.05)</f>
        <v>96.05</v>
      </c>
      <c r="C11" s="1">
        <f>IFERROR(__xludf.DUMMYFUNCTION("""COMPUTED_VALUE"""),97.6)</f>
        <v>97.6</v>
      </c>
      <c r="D11" s="1">
        <f>IFERROR(__xludf.DUMMYFUNCTION("""COMPUTED_VALUE"""),96.0)</f>
        <v>96</v>
      </c>
      <c r="E11" s="1">
        <f>IFERROR(__xludf.DUMMYFUNCTION("""COMPUTED_VALUE"""),97.23)</f>
        <v>97.23</v>
      </c>
      <c r="F11" s="1">
        <f>IFERROR(__xludf.DUMMYFUNCTION("""COMPUTED_VALUE"""),0.0)</f>
        <v>0</v>
      </c>
    </row>
    <row r="12" ht="15.75" customHeight="1">
      <c r="A12" s="10">
        <f>IFERROR(__xludf.DUMMYFUNCTION("""COMPUTED_VALUE"""),43686.66666666667)</f>
        <v>43686.66667</v>
      </c>
      <c r="B12" s="1">
        <f>IFERROR(__xludf.DUMMYFUNCTION("""COMPUTED_VALUE"""),96.82)</f>
        <v>96.82</v>
      </c>
      <c r="C12" s="1">
        <f>IFERROR(__xludf.DUMMYFUNCTION("""COMPUTED_VALUE"""),97.28)</f>
        <v>97.28</v>
      </c>
      <c r="D12" s="1">
        <f>IFERROR(__xludf.DUMMYFUNCTION("""COMPUTED_VALUE"""),96.03)</f>
        <v>96.03</v>
      </c>
      <c r="E12" s="1">
        <f>IFERROR(__xludf.DUMMYFUNCTION("""COMPUTED_VALUE"""),96.84)</f>
        <v>96.84</v>
      </c>
      <c r="F12" s="1">
        <f>IFERROR(__xludf.DUMMYFUNCTION("""COMPUTED_VALUE"""),0.0)</f>
        <v>0</v>
      </c>
    </row>
    <row r="13" ht="15.75" customHeight="1">
      <c r="A13" s="10">
        <f>IFERROR(__xludf.DUMMYFUNCTION("""COMPUTED_VALUE"""),43689.66666666667)</f>
        <v>43689.66667</v>
      </c>
      <c r="B13" s="1">
        <f>IFERROR(__xludf.DUMMYFUNCTION("""COMPUTED_VALUE"""),94.98)</f>
        <v>94.98</v>
      </c>
      <c r="C13" s="1">
        <f>IFERROR(__xludf.DUMMYFUNCTION("""COMPUTED_VALUE"""),95.75)</f>
        <v>95.75</v>
      </c>
      <c r="D13" s="1">
        <f>IFERROR(__xludf.DUMMYFUNCTION("""COMPUTED_VALUE"""),94.91)</f>
        <v>94.91</v>
      </c>
      <c r="E13" s="1">
        <f>IFERROR(__xludf.DUMMYFUNCTION("""COMPUTED_VALUE"""),94.97)</f>
        <v>94.97</v>
      </c>
      <c r="F13" s="1">
        <f>IFERROR(__xludf.DUMMYFUNCTION("""COMPUTED_VALUE"""),0.0)</f>
        <v>0</v>
      </c>
    </row>
    <row r="14" ht="15.75" customHeight="1">
      <c r="A14" s="10">
        <f>IFERROR(__xludf.DUMMYFUNCTION("""COMPUTED_VALUE"""),43690.66666666667)</f>
        <v>43690.66667</v>
      </c>
      <c r="B14" s="1">
        <f>IFERROR(__xludf.DUMMYFUNCTION("""COMPUTED_VALUE"""),94.93)</f>
        <v>94.93</v>
      </c>
      <c r="C14" s="1">
        <f>IFERROR(__xludf.DUMMYFUNCTION("""COMPUTED_VALUE"""),97.52)</f>
        <v>97.52</v>
      </c>
      <c r="D14" s="1">
        <f>IFERROR(__xludf.DUMMYFUNCTION("""COMPUTED_VALUE"""),94.8)</f>
        <v>94.8</v>
      </c>
      <c r="E14" s="1">
        <f>IFERROR(__xludf.DUMMYFUNCTION("""COMPUTED_VALUE"""),95.93)</f>
        <v>95.93</v>
      </c>
      <c r="F14" s="1">
        <f>IFERROR(__xludf.DUMMYFUNCTION("""COMPUTED_VALUE"""),0.0)</f>
        <v>0</v>
      </c>
    </row>
    <row r="15" ht="15.75" customHeight="1">
      <c r="A15" s="10">
        <f>IFERROR(__xludf.DUMMYFUNCTION("""COMPUTED_VALUE"""),43691.66666666667)</f>
        <v>43691.66667</v>
      </c>
      <c r="B15" s="1">
        <f>IFERROR(__xludf.DUMMYFUNCTION("""COMPUTED_VALUE"""),94.01)</f>
        <v>94.01</v>
      </c>
      <c r="C15" s="1">
        <f>IFERROR(__xludf.DUMMYFUNCTION("""COMPUTED_VALUE"""),94.29)</f>
        <v>94.29</v>
      </c>
      <c r="D15" s="1">
        <f>IFERROR(__xludf.DUMMYFUNCTION("""COMPUTED_VALUE"""),92.31)</f>
        <v>92.31</v>
      </c>
      <c r="E15" s="1">
        <f>IFERROR(__xludf.DUMMYFUNCTION("""COMPUTED_VALUE"""),92.96)</f>
        <v>92.96</v>
      </c>
      <c r="F15" s="1">
        <f>IFERROR(__xludf.DUMMYFUNCTION("""COMPUTED_VALUE"""),0.0)</f>
        <v>0</v>
      </c>
    </row>
    <row r="16" ht="15.75" customHeight="1">
      <c r="A16" s="10">
        <f>IFERROR(__xludf.DUMMYFUNCTION("""COMPUTED_VALUE"""),43692.66666666667)</f>
        <v>43692.66667</v>
      </c>
      <c r="B16" s="1">
        <f>IFERROR(__xludf.DUMMYFUNCTION("""COMPUTED_VALUE"""),93.3)</f>
        <v>93.3</v>
      </c>
      <c r="C16" s="1">
        <f>IFERROR(__xludf.DUMMYFUNCTION("""COMPUTED_VALUE"""),93.47)</f>
        <v>93.47</v>
      </c>
      <c r="D16" s="1">
        <f>IFERROR(__xludf.DUMMYFUNCTION("""COMPUTED_VALUE"""),91.93)</f>
        <v>91.93</v>
      </c>
      <c r="E16" s="1">
        <f>IFERROR(__xludf.DUMMYFUNCTION("""COMPUTED_VALUE"""),92.03)</f>
        <v>92.03</v>
      </c>
      <c r="F16" s="1">
        <f>IFERROR(__xludf.DUMMYFUNCTION("""COMPUTED_VALUE"""),0.0)</f>
        <v>0</v>
      </c>
    </row>
    <row r="17" ht="15.75" customHeight="1">
      <c r="A17" s="10">
        <f>IFERROR(__xludf.DUMMYFUNCTION("""COMPUTED_VALUE"""),43693.66666666667)</f>
        <v>43693.66667</v>
      </c>
      <c r="B17" s="1">
        <f>IFERROR(__xludf.DUMMYFUNCTION("""COMPUTED_VALUE"""),92.73)</f>
        <v>92.73</v>
      </c>
      <c r="C17" s="1">
        <f>IFERROR(__xludf.DUMMYFUNCTION("""COMPUTED_VALUE"""),94.76)</f>
        <v>94.76</v>
      </c>
      <c r="D17" s="1">
        <f>IFERROR(__xludf.DUMMYFUNCTION("""COMPUTED_VALUE"""),92.68)</f>
        <v>92.68</v>
      </c>
      <c r="E17" s="1">
        <f>IFERROR(__xludf.DUMMYFUNCTION("""COMPUTED_VALUE"""),94.65)</f>
        <v>94.65</v>
      </c>
      <c r="F17" s="1">
        <f>IFERROR(__xludf.DUMMYFUNCTION("""COMPUTED_VALUE"""),0.0)</f>
        <v>0</v>
      </c>
    </row>
    <row r="18" ht="15.75" customHeight="1">
      <c r="A18" s="10">
        <f>IFERROR(__xludf.DUMMYFUNCTION("""COMPUTED_VALUE"""),43696.66666666667)</f>
        <v>43696.66667</v>
      </c>
      <c r="B18" s="1">
        <f>IFERROR(__xludf.DUMMYFUNCTION("""COMPUTED_VALUE"""),96.04)</f>
        <v>96.04</v>
      </c>
      <c r="C18" s="1">
        <f>IFERROR(__xludf.DUMMYFUNCTION("""COMPUTED_VALUE"""),96.13)</f>
        <v>96.13</v>
      </c>
      <c r="D18" s="1">
        <f>IFERROR(__xludf.DUMMYFUNCTION("""COMPUTED_VALUE"""),95.6)</f>
        <v>95.6</v>
      </c>
      <c r="E18" s="1">
        <f>IFERROR(__xludf.DUMMYFUNCTION("""COMPUTED_VALUE"""),95.64)</f>
        <v>95.64</v>
      </c>
      <c r="F18" s="1">
        <f>IFERROR(__xludf.DUMMYFUNCTION("""COMPUTED_VALUE"""),0.0)</f>
        <v>0</v>
      </c>
    </row>
    <row r="19" ht="15.75" customHeight="1">
      <c r="A19" s="10">
        <f>IFERROR(__xludf.DUMMYFUNCTION("""COMPUTED_VALUE"""),43697.66666666667)</f>
        <v>43697.66667</v>
      </c>
      <c r="B19" s="1">
        <f>IFERROR(__xludf.DUMMYFUNCTION("""COMPUTED_VALUE"""),95.14)</f>
        <v>95.14</v>
      </c>
      <c r="C19" s="1">
        <f>IFERROR(__xludf.DUMMYFUNCTION("""COMPUTED_VALUE"""),95.15)</f>
        <v>95.15</v>
      </c>
      <c r="D19" s="1">
        <f>IFERROR(__xludf.DUMMYFUNCTION("""COMPUTED_VALUE"""),94.1)</f>
        <v>94.1</v>
      </c>
      <c r="E19" s="1">
        <f>IFERROR(__xludf.DUMMYFUNCTION("""COMPUTED_VALUE"""),94.31)</f>
        <v>94.31</v>
      </c>
      <c r="F19" s="1">
        <f>IFERROR(__xludf.DUMMYFUNCTION("""COMPUTED_VALUE"""),0.0)</f>
        <v>0</v>
      </c>
    </row>
    <row r="20" ht="15.75" customHeight="1">
      <c r="A20" s="10">
        <f>IFERROR(__xludf.DUMMYFUNCTION("""COMPUTED_VALUE"""),43698.66666666667)</f>
        <v>43698.66667</v>
      </c>
      <c r="B20" s="1">
        <f>IFERROR(__xludf.DUMMYFUNCTION("""COMPUTED_VALUE"""),95.14)</f>
        <v>95.14</v>
      </c>
      <c r="C20" s="1">
        <f>IFERROR(__xludf.DUMMYFUNCTION("""COMPUTED_VALUE"""),95.24)</f>
        <v>95.24</v>
      </c>
      <c r="D20" s="1">
        <f>IFERROR(__xludf.DUMMYFUNCTION("""COMPUTED_VALUE"""),94.55)</f>
        <v>94.55</v>
      </c>
      <c r="E20" s="1">
        <f>IFERROR(__xludf.DUMMYFUNCTION("""COMPUTED_VALUE"""),94.95)</f>
        <v>94.95</v>
      </c>
      <c r="F20" s="1">
        <f>IFERROR(__xludf.DUMMYFUNCTION("""COMPUTED_VALUE"""),0.0)</f>
        <v>0</v>
      </c>
    </row>
    <row r="21" ht="15.75" customHeight="1">
      <c r="A21" s="10">
        <f>IFERROR(__xludf.DUMMYFUNCTION("""COMPUTED_VALUE"""),43699.66666666667)</f>
        <v>43699.66667</v>
      </c>
      <c r="B21" s="1">
        <f>IFERROR(__xludf.DUMMYFUNCTION("""COMPUTED_VALUE"""),95.61)</f>
        <v>95.61</v>
      </c>
      <c r="C21" s="1">
        <f>IFERROR(__xludf.DUMMYFUNCTION("""COMPUTED_VALUE"""),95.87)</f>
        <v>95.87</v>
      </c>
      <c r="D21" s="1">
        <f>IFERROR(__xludf.DUMMYFUNCTION("""COMPUTED_VALUE"""),94.47)</f>
        <v>94.47</v>
      </c>
      <c r="E21" s="1">
        <f>IFERROR(__xludf.DUMMYFUNCTION("""COMPUTED_VALUE"""),95.1)</f>
        <v>95.1</v>
      </c>
      <c r="F21" s="1">
        <f>IFERROR(__xludf.DUMMYFUNCTION("""COMPUTED_VALUE"""),0.0)</f>
        <v>0</v>
      </c>
    </row>
    <row r="22" ht="15.75" customHeight="1">
      <c r="A22" s="10">
        <f>IFERROR(__xludf.DUMMYFUNCTION("""COMPUTED_VALUE"""),43700.66666666667)</f>
        <v>43700.66667</v>
      </c>
      <c r="B22" s="1">
        <f>IFERROR(__xludf.DUMMYFUNCTION("""COMPUTED_VALUE"""),94.62)</f>
        <v>94.62</v>
      </c>
      <c r="C22" s="1">
        <f>IFERROR(__xludf.DUMMYFUNCTION("""COMPUTED_VALUE"""),95.53)</f>
        <v>95.53</v>
      </c>
      <c r="D22" s="1">
        <f>IFERROR(__xludf.DUMMYFUNCTION("""COMPUTED_VALUE"""),91.61)</f>
        <v>91.61</v>
      </c>
      <c r="E22" s="1">
        <f>IFERROR(__xludf.DUMMYFUNCTION("""COMPUTED_VALUE"""),91.89)</f>
        <v>91.89</v>
      </c>
      <c r="F22" s="1">
        <f>IFERROR(__xludf.DUMMYFUNCTION("""COMPUTED_VALUE"""),0.0)</f>
        <v>0</v>
      </c>
    </row>
    <row r="23" ht="15.75" customHeight="1">
      <c r="A23" s="10">
        <f>IFERROR(__xludf.DUMMYFUNCTION("""COMPUTED_VALUE"""),43703.66666666667)</f>
        <v>43703.66667</v>
      </c>
      <c r="B23" s="1">
        <f>IFERROR(__xludf.DUMMYFUNCTION("""COMPUTED_VALUE"""),92.67)</f>
        <v>92.67</v>
      </c>
      <c r="C23" s="1">
        <f>IFERROR(__xludf.DUMMYFUNCTION("""COMPUTED_VALUE"""),92.84)</f>
        <v>92.84</v>
      </c>
      <c r="D23" s="1">
        <f>IFERROR(__xludf.DUMMYFUNCTION("""COMPUTED_VALUE"""),91.75)</f>
        <v>91.75</v>
      </c>
      <c r="E23" s="1">
        <f>IFERROR(__xludf.DUMMYFUNCTION("""COMPUTED_VALUE"""),92.82)</f>
        <v>92.82</v>
      </c>
      <c r="F23" s="1">
        <f>IFERROR(__xludf.DUMMYFUNCTION("""COMPUTED_VALUE"""),0.0)</f>
        <v>0</v>
      </c>
    </row>
    <row r="24" ht="15.75" customHeight="1">
      <c r="A24" s="10">
        <f>IFERROR(__xludf.DUMMYFUNCTION("""COMPUTED_VALUE"""),43704.66666666667)</f>
        <v>43704.66667</v>
      </c>
      <c r="B24" s="1">
        <f>IFERROR(__xludf.DUMMYFUNCTION("""COMPUTED_VALUE"""),93.27)</f>
        <v>93.27</v>
      </c>
      <c r="C24" s="1">
        <f>IFERROR(__xludf.DUMMYFUNCTION("""COMPUTED_VALUE"""),93.35)</f>
        <v>93.35</v>
      </c>
      <c r="D24" s="1">
        <f>IFERROR(__xludf.DUMMYFUNCTION("""COMPUTED_VALUE"""),90.54)</f>
        <v>90.54</v>
      </c>
      <c r="E24" s="1">
        <f>IFERROR(__xludf.DUMMYFUNCTION("""COMPUTED_VALUE"""),90.97)</f>
        <v>90.97</v>
      </c>
      <c r="F24" s="1">
        <f>IFERROR(__xludf.DUMMYFUNCTION("""COMPUTED_VALUE"""),0.0)</f>
        <v>0</v>
      </c>
    </row>
    <row r="25" ht="15.75" customHeight="1">
      <c r="A25" s="10">
        <f>IFERROR(__xludf.DUMMYFUNCTION("""COMPUTED_VALUE"""),43705.66666666667)</f>
        <v>43705.66667</v>
      </c>
      <c r="B25" s="1">
        <f>IFERROR(__xludf.DUMMYFUNCTION("""COMPUTED_VALUE"""),90.63)</f>
        <v>90.63</v>
      </c>
      <c r="C25" s="1">
        <f>IFERROR(__xludf.DUMMYFUNCTION("""COMPUTED_VALUE"""),92.77)</f>
        <v>92.77</v>
      </c>
      <c r="D25" s="1">
        <f>IFERROR(__xludf.DUMMYFUNCTION("""COMPUTED_VALUE"""),90.63)</f>
        <v>90.63</v>
      </c>
      <c r="E25" s="1">
        <f>IFERROR(__xludf.DUMMYFUNCTION("""COMPUTED_VALUE"""),92.17)</f>
        <v>92.17</v>
      </c>
      <c r="F25" s="1">
        <f>IFERROR(__xludf.DUMMYFUNCTION("""COMPUTED_VALUE"""),0.0)</f>
        <v>0</v>
      </c>
    </row>
    <row r="26" ht="15.75" customHeight="1">
      <c r="A26" s="10">
        <f>IFERROR(__xludf.DUMMYFUNCTION("""COMPUTED_VALUE"""),43706.66666666667)</f>
        <v>43706.66667</v>
      </c>
      <c r="B26" s="1">
        <f>IFERROR(__xludf.DUMMYFUNCTION("""COMPUTED_VALUE"""),92.99)</f>
        <v>92.99</v>
      </c>
      <c r="C26" s="1">
        <f>IFERROR(__xludf.DUMMYFUNCTION("""COMPUTED_VALUE"""),94.28)</f>
        <v>94.28</v>
      </c>
      <c r="D26" s="1">
        <f>IFERROR(__xludf.DUMMYFUNCTION("""COMPUTED_VALUE"""),92.98)</f>
        <v>92.98</v>
      </c>
      <c r="E26" s="1">
        <f>IFERROR(__xludf.DUMMYFUNCTION("""COMPUTED_VALUE"""),94.03)</f>
        <v>94.03</v>
      </c>
      <c r="F26" s="1">
        <f>IFERROR(__xludf.DUMMYFUNCTION("""COMPUTED_VALUE"""),0.0)</f>
        <v>0</v>
      </c>
    </row>
    <row r="27" ht="15.75" customHeight="1">
      <c r="A27" s="10">
        <f>IFERROR(__xludf.DUMMYFUNCTION("""COMPUTED_VALUE"""),43707.66666666667)</f>
        <v>43707.66667</v>
      </c>
      <c r="B27" s="1">
        <f>IFERROR(__xludf.DUMMYFUNCTION("""COMPUTED_VALUE"""),94.6)</f>
        <v>94.6</v>
      </c>
      <c r="C27" s="1">
        <f>IFERROR(__xludf.DUMMYFUNCTION("""COMPUTED_VALUE"""),94.84)</f>
        <v>94.84</v>
      </c>
      <c r="D27" s="1">
        <f>IFERROR(__xludf.DUMMYFUNCTION("""COMPUTED_VALUE"""),93.88)</f>
        <v>93.88</v>
      </c>
      <c r="E27" s="1">
        <f>IFERROR(__xludf.DUMMYFUNCTION("""COMPUTED_VALUE"""),94.39)</f>
        <v>94.39</v>
      </c>
      <c r="F27" s="1">
        <f>IFERROR(__xludf.DUMMYFUNCTION("""COMPUTED_VALUE"""),0.0)</f>
        <v>0</v>
      </c>
    </row>
    <row r="28" ht="15.75" customHeight="1">
      <c r="A28" s="10">
        <f>IFERROR(__xludf.DUMMYFUNCTION("""COMPUTED_VALUE"""),43711.66666666667)</f>
        <v>43711.66667</v>
      </c>
      <c r="B28" s="1">
        <f>IFERROR(__xludf.DUMMYFUNCTION("""COMPUTED_VALUE"""),93.55)</f>
        <v>93.55</v>
      </c>
      <c r="C28" s="1">
        <f>IFERROR(__xludf.DUMMYFUNCTION("""COMPUTED_VALUE"""),93.55)</f>
        <v>93.55</v>
      </c>
      <c r="D28" s="1">
        <f>IFERROR(__xludf.DUMMYFUNCTION("""COMPUTED_VALUE"""),91.63)</f>
        <v>91.63</v>
      </c>
      <c r="E28" s="1">
        <f>IFERROR(__xludf.DUMMYFUNCTION("""COMPUTED_VALUE"""),92.13)</f>
        <v>92.13</v>
      </c>
      <c r="F28" s="1">
        <f>IFERROR(__xludf.DUMMYFUNCTION("""COMPUTED_VALUE"""),0.0)</f>
        <v>0</v>
      </c>
    </row>
    <row r="29" ht="15.75" customHeight="1">
      <c r="A29" s="10">
        <f>IFERROR(__xludf.DUMMYFUNCTION("""COMPUTED_VALUE"""),43712.66666666667)</f>
        <v>43712.66667</v>
      </c>
      <c r="B29" s="1">
        <f>IFERROR(__xludf.DUMMYFUNCTION("""COMPUTED_VALUE"""),92.94)</f>
        <v>92.94</v>
      </c>
      <c r="C29" s="1">
        <f>IFERROR(__xludf.DUMMYFUNCTION("""COMPUTED_VALUE"""),93.02)</f>
        <v>93.02</v>
      </c>
      <c r="D29" s="1">
        <f>IFERROR(__xludf.DUMMYFUNCTION("""COMPUTED_VALUE"""),92.13)</f>
        <v>92.13</v>
      </c>
      <c r="E29" s="1">
        <f>IFERROR(__xludf.DUMMYFUNCTION("""COMPUTED_VALUE"""),92.69)</f>
        <v>92.69</v>
      </c>
      <c r="F29" s="1">
        <f>IFERROR(__xludf.DUMMYFUNCTION("""COMPUTED_VALUE"""),0.0)</f>
        <v>0</v>
      </c>
    </row>
    <row r="30" ht="15.75" customHeight="1">
      <c r="A30" s="10">
        <f>IFERROR(__xludf.DUMMYFUNCTION("""COMPUTED_VALUE"""),43713.66666666667)</f>
        <v>43713.66667</v>
      </c>
      <c r="B30" s="1">
        <f>IFERROR(__xludf.DUMMYFUNCTION("""COMPUTED_VALUE"""),94.23)</f>
        <v>94.23</v>
      </c>
      <c r="C30" s="1">
        <f>IFERROR(__xludf.DUMMYFUNCTION("""COMPUTED_VALUE"""),96.14)</f>
        <v>96.14</v>
      </c>
      <c r="D30" s="1">
        <f>IFERROR(__xludf.DUMMYFUNCTION("""COMPUTED_VALUE"""),94.23)</f>
        <v>94.23</v>
      </c>
      <c r="E30" s="1">
        <f>IFERROR(__xludf.DUMMYFUNCTION("""COMPUTED_VALUE"""),95.03)</f>
        <v>95.03</v>
      </c>
      <c r="F30" s="1">
        <f>IFERROR(__xludf.DUMMYFUNCTION("""COMPUTED_VALUE"""),0.0)</f>
        <v>0</v>
      </c>
    </row>
    <row r="31" ht="15.75" customHeight="1">
      <c r="A31" s="10">
        <f>IFERROR(__xludf.DUMMYFUNCTION("""COMPUTED_VALUE"""),43714.66666666667)</f>
        <v>43714.66667</v>
      </c>
      <c r="B31" s="1">
        <f>IFERROR(__xludf.DUMMYFUNCTION("""COMPUTED_VALUE"""),95.13)</f>
        <v>95.13</v>
      </c>
      <c r="C31" s="1">
        <f>IFERROR(__xludf.DUMMYFUNCTION("""COMPUTED_VALUE"""),95.32)</f>
        <v>95.32</v>
      </c>
      <c r="D31" s="1">
        <f>IFERROR(__xludf.DUMMYFUNCTION("""COMPUTED_VALUE"""),94.31)</f>
        <v>94.31</v>
      </c>
      <c r="E31" s="1">
        <f>IFERROR(__xludf.DUMMYFUNCTION("""COMPUTED_VALUE"""),94.54)</f>
        <v>94.54</v>
      </c>
      <c r="F31" s="1">
        <f>IFERROR(__xludf.DUMMYFUNCTION("""COMPUTED_VALUE"""),0.0)</f>
        <v>0</v>
      </c>
    </row>
    <row r="32" ht="15.75" customHeight="1">
      <c r="A32" s="10">
        <f>IFERROR(__xludf.DUMMYFUNCTION("""COMPUTED_VALUE"""),43717.66666666667)</f>
        <v>43717.66667</v>
      </c>
      <c r="B32" s="1">
        <f>IFERROR(__xludf.DUMMYFUNCTION("""COMPUTED_VALUE"""),95.22)</f>
        <v>95.22</v>
      </c>
      <c r="C32" s="1">
        <f>IFERROR(__xludf.DUMMYFUNCTION("""COMPUTED_VALUE"""),97.77)</f>
        <v>97.77</v>
      </c>
      <c r="D32" s="1">
        <f>IFERROR(__xludf.DUMMYFUNCTION("""COMPUTED_VALUE"""),95.06)</f>
        <v>95.06</v>
      </c>
      <c r="E32" s="1">
        <f>IFERROR(__xludf.DUMMYFUNCTION("""COMPUTED_VALUE"""),97.45)</f>
        <v>97.45</v>
      </c>
      <c r="F32" s="1">
        <f>IFERROR(__xludf.DUMMYFUNCTION("""COMPUTED_VALUE"""),0.0)</f>
        <v>0</v>
      </c>
    </row>
    <row r="33" ht="15.75" customHeight="1">
      <c r="A33" s="10">
        <f>IFERROR(__xludf.DUMMYFUNCTION("""COMPUTED_VALUE"""),43718.66666666667)</f>
        <v>43718.66667</v>
      </c>
      <c r="B33" s="1">
        <f>IFERROR(__xludf.DUMMYFUNCTION("""COMPUTED_VALUE"""),97.89)</f>
        <v>97.89</v>
      </c>
      <c r="C33" s="1">
        <f>IFERROR(__xludf.DUMMYFUNCTION("""COMPUTED_VALUE"""),99.37)</f>
        <v>99.37</v>
      </c>
      <c r="D33" s="1">
        <f>IFERROR(__xludf.DUMMYFUNCTION("""COMPUTED_VALUE"""),97.8)</f>
        <v>97.8</v>
      </c>
      <c r="E33" s="1">
        <f>IFERROR(__xludf.DUMMYFUNCTION("""COMPUTED_VALUE"""),99.34)</f>
        <v>99.34</v>
      </c>
      <c r="F33" s="1">
        <f>IFERROR(__xludf.DUMMYFUNCTION("""COMPUTED_VALUE"""),0.0)</f>
        <v>0</v>
      </c>
    </row>
    <row r="34" ht="15.75" customHeight="1">
      <c r="A34" s="10">
        <f>IFERROR(__xludf.DUMMYFUNCTION("""COMPUTED_VALUE"""),43719.66666666667)</f>
        <v>43719.66667</v>
      </c>
      <c r="B34" s="1">
        <f>IFERROR(__xludf.DUMMYFUNCTION("""COMPUTED_VALUE"""),99.71)</f>
        <v>99.71</v>
      </c>
      <c r="C34" s="1">
        <f>IFERROR(__xludf.DUMMYFUNCTION("""COMPUTED_VALUE"""),100.85)</f>
        <v>100.85</v>
      </c>
      <c r="D34" s="1">
        <f>IFERROR(__xludf.DUMMYFUNCTION("""COMPUTED_VALUE"""),98.19)</f>
        <v>98.19</v>
      </c>
      <c r="E34" s="1">
        <f>IFERROR(__xludf.DUMMYFUNCTION("""COMPUTED_VALUE"""),100.8)</f>
        <v>100.8</v>
      </c>
      <c r="F34" s="1">
        <f>IFERROR(__xludf.DUMMYFUNCTION("""COMPUTED_VALUE"""),0.0)</f>
        <v>0</v>
      </c>
    </row>
    <row r="35" ht="15.75" customHeight="1">
      <c r="A35" s="10">
        <f>IFERROR(__xludf.DUMMYFUNCTION("""COMPUTED_VALUE"""),43720.66666666667)</f>
        <v>43720.66667</v>
      </c>
      <c r="B35" s="1">
        <f>IFERROR(__xludf.DUMMYFUNCTION("""COMPUTED_VALUE"""),99.77)</f>
        <v>99.77</v>
      </c>
      <c r="C35" s="1">
        <f>IFERROR(__xludf.DUMMYFUNCTION("""COMPUTED_VALUE"""),101.19)</f>
        <v>101.19</v>
      </c>
      <c r="D35" s="1">
        <f>IFERROR(__xludf.DUMMYFUNCTION("""COMPUTED_VALUE"""),99.31)</f>
        <v>99.31</v>
      </c>
      <c r="E35" s="1">
        <f>IFERROR(__xludf.DUMMYFUNCTION("""COMPUTED_VALUE"""),100.79)</f>
        <v>100.79</v>
      </c>
      <c r="F35" s="1">
        <f>IFERROR(__xludf.DUMMYFUNCTION("""COMPUTED_VALUE"""),0.0)</f>
        <v>0</v>
      </c>
    </row>
    <row r="36" ht="15.75" customHeight="1">
      <c r="A36" s="10">
        <f>IFERROR(__xludf.DUMMYFUNCTION("""COMPUTED_VALUE"""),43721.66666666667)</f>
        <v>43721.66667</v>
      </c>
      <c r="B36" s="1">
        <f>IFERROR(__xludf.DUMMYFUNCTION("""COMPUTED_VALUE"""),101.84)</f>
        <v>101.84</v>
      </c>
      <c r="C36" s="1">
        <f>IFERROR(__xludf.DUMMYFUNCTION("""COMPUTED_VALUE"""),102.44)</f>
        <v>102.44</v>
      </c>
      <c r="D36" s="1">
        <f>IFERROR(__xludf.DUMMYFUNCTION("""COMPUTED_VALUE"""),101.17)</f>
        <v>101.17</v>
      </c>
      <c r="E36" s="1">
        <f>IFERROR(__xludf.DUMMYFUNCTION("""COMPUTED_VALUE"""),101.7)</f>
        <v>101.7</v>
      </c>
      <c r="F36" s="1">
        <f>IFERROR(__xludf.DUMMYFUNCTION("""COMPUTED_VALUE"""),0.0)</f>
        <v>0</v>
      </c>
    </row>
    <row r="37" ht="15.75" customHeight="1">
      <c r="A37" s="10">
        <f>IFERROR(__xludf.DUMMYFUNCTION("""COMPUTED_VALUE"""),43724.66666666667)</f>
        <v>43724.66667</v>
      </c>
      <c r="B37" s="1">
        <f>IFERROR(__xludf.DUMMYFUNCTION("""COMPUTED_VALUE"""),100.62)</f>
        <v>100.62</v>
      </c>
      <c r="C37" s="1">
        <f>IFERROR(__xludf.DUMMYFUNCTION("""COMPUTED_VALUE"""),102.11)</f>
        <v>102.11</v>
      </c>
      <c r="D37" s="1">
        <f>IFERROR(__xludf.DUMMYFUNCTION("""COMPUTED_VALUE"""),100.51)</f>
        <v>100.51</v>
      </c>
      <c r="E37" s="1">
        <f>IFERROR(__xludf.DUMMYFUNCTION("""COMPUTED_VALUE"""),101.56)</f>
        <v>101.56</v>
      </c>
      <c r="F37" s="1">
        <f>IFERROR(__xludf.DUMMYFUNCTION("""COMPUTED_VALUE"""),0.0)</f>
        <v>0</v>
      </c>
    </row>
    <row r="38" ht="15.75" customHeight="1">
      <c r="A38" s="10">
        <f>IFERROR(__xludf.DUMMYFUNCTION("""COMPUTED_VALUE"""),43725.66666666667)</f>
        <v>43725.66667</v>
      </c>
      <c r="B38" s="1">
        <f>IFERROR(__xludf.DUMMYFUNCTION("""COMPUTED_VALUE"""),100.96)</f>
        <v>100.96</v>
      </c>
      <c r="C38" s="1">
        <f>IFERROR(__xludf.DUMMYFUNCTION("""COMPUTED_VALUE"""),100.96)</f>
        <v>100.96</v>
      </c>
      <c r="D38" s="1">
        <f>IFERROR(__xludf.DUMMYFUNCTION("""COMPUTED_VALUE"""),99.65)</f>
        <v>99.65</v>
      </c>
      <c r="E38" s="1">
        <f>IFERROR(__xludf.DUMMYFUNCTION("""COMPUTED_VALUE"""),100.27)</f>
        <v>100.27</v>
      </c>
      <c r="F38" s="1">
        <f>IFERROR(__xludf.DUMMYFUNCTION("""COMPUTED_VALUE"""),0.0)</f>
        <v>0</v>
      </c>
    </row>
    <row r="39" ht="15.75" customHeight="1">
      <c r="A39" s="10">
        <f>IFERROR(__xludf.DUMMYFUNCTION("""COMPUTED_VALUE"""),43726.66666666667)</f>
        <v>43726.66667</v>
      </c>
      <c r="B39" s="1">
        <f>IFERROR(__xludf.DUMMYFUNCTION("""COMPUTED_VALUE"""),99.81)</f>
        <v>99.81</v>
      </c>
      <c r="C39" s="1">
        <f>IFERROR(__xludf.DUMMYFUNCTION("""COMPUTED_VALUE"""),101.18)</f>
        <v>101.18</v>
      </c>
      <c r="D39" s="1">
        <f>IFERROR(__xludf.DUMMYFUNCTION("""COMPUTED_VALUE"""),99.59)</f>
        <v>99.59</v>
      </c>
      <c r="E39" s="1">
        <f>IFERROR(__xludf.DUMMYFUNCTION("""COMPUTED_VALUE"""),100.86)</f>
        <v>100.86</v>
      </c>
      <c r="F39" s="1">
        <f>IFERROR(__xludf.DUMMYFUNCTION("""COMPUTED_VALUE"""),0.0)</f>
        <v>0</v>
      </c>
    </row>
    <row r="40" ht="15.75" customHeight="1">
      <c r="A40" s="10">
        <f>IFERROR(__xludf.DUMMYFUNCTION("""COMPUTED_VALUE"""),43727.66666666667)</f>
        <v>43727.66667</v>
      </c>
      <c r="B40" s="1">
        <f>IFERROR(__xludf.DUMMYFUNCTION("""COMPUTED_VALUE"""),100.77)</f>
        <v>100.77</v>
      </c>
      <c r="C40" s="1">
        <f>IFERROR(__xludf.DUMMYFUNCTION("""COMPUTED_VALUE"""),101.79)</f>
        <v>101.79</v>
      </c>
      <c r="D40" s="1">
        <f>IFERROR(__xludf.DUMMYFUNCTION("""COMPUTED_VALUE"""),100.05)</f>
        <v>100.05</v>
      </c>
      <c r="E40" s="1">
        <f>IFERROR(__xludf.DUMMYFUNCTION("""COMPUTED_VALUE"""),100.14)</f>
        <v>100.14</v>
      </c>
      <c r="F40" s="1">
        <f>IFERROR(__xludf.DUMMYFUNCTION("""COMPUTED_VALUE"""),0.0)</f>
        <v>0</v>
      </c>
    </row>
    <row r="41" ht="15.75" customHeight="1">
      <c r="A41" s="10">
        <f>IFERROR(__xludf.DUMMYFUNCTION("""COMPUTED_VALUE"""),43728.66666666667)</f>
        <v>43728.66667</v>
      </c>
      <c r="B41" s="1">
        <f>IFERROR(__xludf.DUMMYFUNCTION("""COMPUTED_VALUE"""),100.24)</f>
        <v>100.24</v>
      </c>
      <c r="C41" s="1">
        <f>IFERROR(__xludf.DUMMYFUNCTION("""COMPUTED_VALUE"""),101.07)</f>
        <v>101.07</v>
      </c>
      <c r="D41" s="1">
        <f>IFERROR(__xludf.DUMMYFUNCTION("""COMPUTED_VALUE"""),99.47)</f>
        <v>99.47</v>
      </c>
      <c r="E41" s="1">
        <f>IFERROR(__xludf.DUMMYFUNCTION("""COMPUTED_VALUE"""),99.81)</f>
        <v>99.81</v>
      </c>
      <c r="F41" s="1">
        <f>IFERROR(__xludf.DUMMYFUNCTION("""COMPUTED_VALUE"""),0.0)</f>
        <v>0</v>
      </c>
    </row>
    <row r="42" ht="15.75" customHeight="1">
      <c r="A42" s="10">
        <f>IFERROR(__xludf.DUMMYFUNCTION("""COMPUTED_VALUE"""),43731.66666666667)</f>
        <v>43731.66667</v>
      </c>
      <c r="B42" s="1">
        <f>IFERROR(__xludf.DUMMYFUNCTION("""COMPUTED_VALUE"""),99.19)</f>
        <v>99.19</v>
      </c>
      <c r="C42" s="1">
        <f>IFERROR(__xludf.DUMMYFUNCTION("""COMPUTED_VALUE"""),100.47)</f>
        <v>100.47</v>
      </c>
      <c r="D42" s="1">
        <f>IFERROR(__xludf.DUMMYFUNCTION("""COMPUTED_VALUE"""),98.86)</f>
        <v>98.86</v>
      </c>
      <c r="E42" s="1">
        <f>IFERROR(__xludf.DUMMYFUNCTION("""COMPUTED_VALUE"""),100.01)</f>
        <v>100.01</v>
      </c>
      <c r="F42" s="1">
        <f>IFERROR(__xludf.DUMMYFUNCTION("""COMPUTED_VALUE"""),0.0)</f>
        <v>0</v>
      </c>
    </row>
    <row r="43" ht="15.75" customHeight="1">
      <c r="A43" s="10">
        <f>IFERROR(__xludf.DUMMYFUNCTION("""COMPUTED_VALUE"""),43732.66666666667)</f>
        <v>43732.66667</v>
      </c>
      <c r="B43" s="1">
        <f>IFERROR(__xludf.DUMMYFUNCTION("""COMPUTED_VALUE"""),100.04)</f>
        <v>100.04</v>
      </c>
      <c r="C43" s="1">
        <f>IFERROR(__xludf.DUMMYFUNCTION("""COMPUTED_VALUE"""),100.32)</f>
        <v>100.32</v>
      </c>
      <c r="D43" s="1">
        <f>IFERROR(__xludf.DUMMYFUNCTION("""COMPUTED_VALUE"""),97.94)</f>
        <v>97.94</v>
      </c>
      <c r="E43" s="1">
        <f>IFERROR(__xludf.DUMMYFUNCTION("""COMPUTED_VALUE"""),98.44)</f>
        <v>98.44</v>
      </c>
      <c r="F43" s="1">
        <f>IFERROR(__xludf.DUMMYFUNCTION("""COMPUTED_VALUE"""),0.0)</f>
        <v>0</v>
      </c>
    </row>
    <row r="44" ht="15.75" customHeight="1">
      <c r="A44" s="10">
        <f>IFERROR(__xludf.DUMMYFUNCTION("""COMPUTED_VALUE"""),43733.66666666667)</f>
        <v>43733.66667</v>
      </c>
      <c r="B44" s="1">
        <f>IFERROR(__xludf.DUMMYFUNCTION("""COMPUTED_VALUE"""),98.57)</f>
        <v>98.57</v>
      </c>
      <c r="C44" s="1">
        <f>IFERROR(__xludf.DUMMYFUNCTION("""COMPUTED_VALUE"""),100.68)</f>
        <v>100.68</v>
      </c>
      <c r="D44" s="1">
        <f>IFERROR(__xludf.DUMMYFUNCTION("""COMPUTED_VALUE"""),98.57)</f>
        <v>98.57</v>
      </c>
      <c r="E44" s="1">
        <f>IFERROR(__xludf.DUMMYFUNCTION("""COMPUTED_VALUE"""),100.51)</f>
        <v>100.51</v>
      </c>
      <c r="F44" s="1">
        <f>IFERROR(__xludf.DUMMYFUNCTION("""COMPUTED_VALUE"""),0.0)</f>
        <v>0</v>
      </c>
    </row>
    <row r="45" ht="15.75" customHeight="1">
      <c r="A45" s="10">
        <f>IFERROR(__xludf.DUMMYFUNCTION("""COMPUTED_VALUE"""),43734.66666666667)</f>
        <v>43734.66667</v>
      </c>
      <c r="B45" s="1">
        <f>IFERROR(__xludf.DUMMYFUNCTION("""COMPUTED_VALUE"""),100.15)</f>
        <v>100.15</v>
      </c>
      <c r="C45" s="1">
        <f>IFERROR(__xludf.DUMMYFUNCTION("""COMPUTED_VALUE"""),100.16)</f>
        <v>100.16</v>
      </c>
      <c r="D45" s="1">
        <f>IFERROR(__xludf.DUMMYFUNCTION("""COMPUTED_VALUE"""),99.02)</f>
        <v>99.02</v>
      </c>
      <c r="E45" s="1">
        <f>IFERROR(__xludf.DUMMYFUNCTION("""COMPUTED_VALUE"""),99.06)</f>
        <v>99.06</v>
      </c>
      <c r="F45" s="1">
        <f>IFERROR(__xludf.DUMMYFUNCTION("""COMPUTED_VALUE"""),0.0)</f>
        <v>0</v>
      </c>
    </row>
    <row r="46" ht="15.75" customHeight="1">
      <c r="A46" s="10">
        <f>IFERROR(__xludf.DUMMYFUNCTION("""COMPUTED_VALUE"""),43735.66666666667)</f>
        <v>43735.66667</v>
      </c>
      <c r="B46" s="1">
        <f>IFERROR(__xludf.DUMMYFUNCTION("""COMPUTED_VALUE"""),99.88)</f>
        <v>99.88</v>
      </c>
      <c r="C46" s="1">
        <f>IFERROR(__xludf.DUMMYFUNCTION("""COMPUTED_VALUE"""),101.14)</f>
        <v>101.14</v>
      </c>
      <c r="D46" s="1">
        <f>IFERROR(__xludf.DUMMYFUNCTION("""COMPUTED_VALUE"""),98.88)</f>
        <v>98.88</v>
      </c>
      <c r="E46" s="1">
        <f>IFERROR(__xludf.DUMMYFUNCTION("""COMPUTED_VALUE"""),99.29)</f>
        <v>99.29</v>
      </c>
      <c r="F46" s="1">
        <f>IFERROR(__xludf.DUMMYFUNCTION("""COMPUTED_VALUE"""),0.0)</f>
        <v>0</v>
      </c>
    </row>
    <row r="47" ht="15.75" customHeight="1">
      <c r="A47" s="10">
        <f>IFERROR(__xludf.DUMMYFUNCTION("""COMPUTED_VALUE"""),43738.66666666667)</f>
        <v>43738.66667</v>
      </c>
      <c r="B47" s="1">
        <f>IFERROR(__xludf.DUMMYFUNCTION("""COMPUTED_VALUE"""),99.66)</f>
        <v>99.66</v>
      </c>
      <c r="C47" s="1">
        <f>IFERROR(__xludf.DUMMYFUNCTION("""COMPUTED_VALUE"""),99.66)</f>
        <v>99.66</v>
      </c>
      <c r="D47" s="1">
        <f>IFERROR(__xludf.DUMMYFUNCTION("""COMPUTED_VALUE"""),98.71)</f>
        <v>98.71</v>
      </c>
      <c r="E47" s="1">
        <f>IFERROR(__xludf.DUMMYFUNCTION("""COMPUTED_VALUE"""),98.81)</f>
        <v>98.81</v>
      </c>
      <c r="F47" s="1">
        <f>IFERROR(__xludf.DUMMYFUNCTION("""COMPUTED_VALUE"""),0.0)</f>
        <v>0</v>
      </c>
    </row>
    <row r="48" ht="15.75" customHeight="1">
      <c r="A48" s="10">
        <f>IFERROR(__xludf.DUMMYFUNCTION("""COMPUTED_VALUE"""),43739.66666666667)</f>
        <v>43739.66667</v>
      </c>
      <c r="B48" s="1">
        <f>IFERROR(__xludf.DUMMYFUNCTION("""COMPUTED_VALUE"""),99.53)</f>
        <v>99.53</v>
      </c>
      <c r="C48" s="1">
        <f>IFERROR(__xludf.DUMMYFUNCTION("""COMPUTED_VALUE"""),100.05)</f>
        <v>100.05</v>
      </c>
      <c r="D48" s="1">
        <f>IFERROR(__xludf.DUMMYFUNCTION("""COMPUTED_VALUE"""),96.06)</f>
        <v>96.06</v>
      </c>
      <c r="E48" s="1">
        <f>IFERROR(__xludf.DUMMYFUNCTION("""COMPUTED_VALUE"""),96.45)</f>
        <v>96.45</v>
      </c>
      <c r="F48" s="1">
        <f>IFERROR(__xludf.DUMMYFUNCTION("""COMPUTED_VALUE"""),0.0)</f>
        <v>0</v>
      </c>
    </row>
    <row r="49" ht="15.75" customHeight="1">
      <c r="A49" s="10">
        <f>IFERROR(__xludf.DUMMYFUNCTION("""COMPUTED_VALUE"""),43740.66666666667)</f>
        <v>43740.66667</v>
      </c>
      <c r="B49" s="1">
        <f>IFERROR(__xludf.DUMMYFUNCTION("""COMPUTED_VALUE"""),95.72)</f>
        <v>95.72</v>
      </c>
      <c r="C49" s="1">
        <f>IFERROR(__xludf.DUMMYFUNCTION("""COMPUTED_VALUE"""),96.25)</f>
        <v>96.25</v>
      </c>
      <c r="D49" s="1">
        <f>IFERROR(__xludf.DUMMYFUNCTION("""COMPUTED_VALUE"""),94.88)</f>
        <v>94.88</v>
      </c>
      <c r="E49" s="1">
        <f>IFERROR(__xludf.DUMMYFUNCTION("""COMPUTED_VALUE"""),95.74)</f>
        <v>95.74</v>
      </c>
      <c r="F49" s="1">
        <f>IFERROR(__xludf.DUMMYFUNCTION("""COMPUTED_VALUE"""),0.0)</f>
        <v>0</v>
      </c>
    </row>
    <row r="50" ht="15.75" customHeight="1">
      <c r="A50" s="10">
        <f>IFERROR(__xludf.DUMMYFUNCTION("""COMPUTED_VALUE"""),43741.66666666667)</f>
        <v>43741.66667</v>
      </c>
      <c r="B50" s="1">
        <f>IFERROR(__xludf.DUMMYFUNCTION("""COMPUTED_VALUE"""),95.3)</f>
        <v>95.3</v>
      </c>
      <c r="C50" s="1">
        <f>IFERROR(__xludf.DUMMYFUNCTION("""COMPUTED_VALUE"""),95.74)</f>
        <v>95.74</v>
      </c>
      <c r="D50" s="1">
        <f>IFERROR(__xludf.DUMMYFUNCTION("""COMPUTED_VALUE"""),94.0)</f>
        <v>94</v>
      </c>
      <c r="E50" s="1">
        <f>IFERROR(__xludf.DUMMYFUNCTION("""COMPUTED_VALUE"""),95.72)</f>
        <v>95.72</v>
      </c>
      <c r="F50" s="1">
        <f>IFERROR(__xludf.DUMMYFUNCTION("""COMPUTED_VALUE"""),0.0)</f>
        <v>0</v>
      </c>
    </row>
    <row r="51" ht="15.75" customHeight="1">
      <c r="A51" s="10">
        <f>IFERROR(__xludf.DUMMYFUNCTION("""COMPUTED_VALUE"""),43742.66666666667)</f>
        <v>43742.66667</v>
      </c>
      <c r="B51" s="1">
        <f>IFERROR(__xludf.DUMMYFUNCTION("""COMPUTED_VALUE"""),95.88)</f>
        <v>95.88</v>
      </c>
      <c r="C51" s="1">
        <f>IFERROR(__xludf.DUMMYFUNCTION("""COMPUTED_VALUE"""),96.84)</f>
        <v>96.84</v>
      </c>
      <c r="D51" s="1">
        <f>IFERROR(__xludf.DUMMYFUNCTION("""COMPUTED_VALUE"""),95.01)</f>
        <v>95.01</v>
      </c>
      <c r="E51" s="1">
        <f>IFERROR(__xludf.DUMMYFUNCTION("""COMPUTED_VALUE"""),96.81)</f>
        <v>96.81</v>
      </c>
      <c r="F51" s="1">
        <f>IFERROR(__xludf.DUMMYFUNCTION("""COMPUTED_VALUE"""),0.0)</f>
        <v>0</v>
      </c>
    </row>
    <row r="52" ht="15.75" customHeight="1">
      <c r="A52" s="10">
        <f>IFERROR(__xludf.DUMMYFUNCTION("""COMPUTED_VALUE"""),43745.66666666667)</f>
        <v>43745.66667</v>
      </c>
      <c r="B52" s="1">
        <f>IFERROR(__xludf.DUMMYFUNCTION("""COMPUTED_VALUE"""),96.54)</f>
        <v>96.54</v>
      </c>
      <c r="C52" s="1">
        <f>IFERROR(__xludf.DUMMYFUNCTION("""COMPUTED_VALUE"""),97.25)</f>
        <v>97.25</v>
      </c>
      <c r="D52" s="1">
        <f>IFERROR(__xludf.DUMMYFUNCTION("""COMPUTED_VALUE"""),96.28)</f>
        <v>96.28</v>
      </c>
      <c r="E52" s="1">
        <f>IFERROR(__xludf.DUMMYFUNCTION("""COMPUTED_VALUE"""),96.48)</f>
        <v>96.48</v>
      </c>
      <c r="F52" s="1">
        <f>IFERROR(__xludf.DUMMYFUNCTION("""COMPUTED_VALUE"""),0.0)</f>
        <v>0</v>
      </c>
    </row>
    <row r="53" ht="15.75" customHeight="1">
      <c r="A53" s="10">
        <f>IFERROR(__xludf.DUMMYFUNCTION("""COMPUTED_VALUE"""),43746.66666666667)</f>
        <v>43746.66667</v>
      </c>
      <c r="B53" s="1">
        <f>IFERROR(__xludf.DUMMYFUNCTION("""COMPUTED_VALUE"""),95.25)</f>
        <v>95.25</v>
      </c>
      <c r="C53" s="1">
        <f>IFERROR(__xludf.DUMMYFUNCTION("""COMPUTED_VALUE"""),95.28)</f>
        <v>95.28</v>
      </c>
      <c r="D53" s="1">
        <f>IFERROR(__xludf.DUMMYFUNCTION("""COMPUTED_VALUE"""),94.03)</f>
        <v>94.03</v>
      </c>
      <c r="E53" s="1">
        <f>IFERROR(__xludf.DUMMYFUNCTION("""COMPUTED_VALUE"""),94.1)</f>
        <v>94.1</v>
      </c>
      <c r="F53" s="1">
        <f>IFERROR(__xludf.DUMMYFUNCTION("""COMPUTED_VALUE"""),0.0)</f>
        <v>0</v>
      </c>
    </row>
    <row r="54" ht="15.75" customHeight="1">
      <c r="A54" s="10">
        <f>IFERROR(__xludf.DUMMYFUNCTION("""COMPUTED_VALUE"""),43747.66666666667)</f>
        <v>43747.66667</v>
      </c>
      <c r="B54" s="1">
        <f>IFERROR(__xludf.DUMMYFUNCTION("""COMPUTED_VALUE"""),94.97)</f>
        <v>94.97</v>
      </c>
      <c r="C54" s="1">
        <f>IFERROR(__xludf.DUMMYFUNCTION("""COMPUTED_VALUE"""),95.27)</f>
        <v>95.27</v>
      </c>
      <c r="D54" s="1">
        <f>IFERROR(__xludf.DUMMYFUNCTION("""COMPUTED_VALUE"""),94.09)</f>
        <v>94.09</v>
      </c>
      <c r="E54" s="1">
        <f>IFERROR(__xludf.DUMMYFUNCTION("""COMPUTED_VALUE"""),94.83)</f>
        <v>94.83</v>
      </c>
      <c r="F54" s="1">
        <f>IFERROR(__xludf.DUMMYFUNCTION("""COMPUTED_VALUE"""),0.0)</f>
        <v>0</v>
      </c>
    </row>
    <row r="55" ht="15.75" customHeight="1">
      <c r="A55" s="10">
        <f>IFERROR(__xludf.DUMMYFUNCTION("""COMPUTED_VALUE"""),43748.66666666667)</f>
        <v>43748.66667</v>
      </c>
      <c r="B55" s="1">
        <f>IFERROR(__xludf.DUMMYFUNCTION("""COMPUTED_VALUE"""),95.29)</f>
        <v>95.29</v>
      </c>
      <c r="C55" s="1">
        <f>IFERROR(__xludf.DUMMYFUNCTION("""COMPUTED_VALUE"""),96.48)</f>
        <v>96.48</v>
      </c>
      <c r="D55" s="1">
        <f>IFERROR(__xludf.DUMMYFUNCTION("""COMPUTED_VALUE"""),95.25)</f>
        <v>95.25</v>
      </c>
      <c r="E55" s="1">
        <f>IFERROR(__xludf.DUMMYFUNCTION("""COMPUTED_VALUE"""),95.78)</f>
        <v>95.78</v>
      </c>
      <c r="F55" s="1">
        <f>IFERROR(__xludf.DUMMYFUNCTION("""COMPUTED_VALUE"""),0.0)</f>
        <v>0</v>
      </c>
    </row>
    <row r="56" ht="15.75" customHeight="1">
      <c r="A56" s="10">
        <f>IFERROR(__xludf.DUMMYFUNCTION("""COMPUTED_VALUE"""),43749.66666666667)</f>
        <v>43749.66667</v>
      </c>
      <c r="B56" s="1">
        <f>IFERROR(__xludf.DUMMYFUNCTION("""COMPUTED_VALUE"""),97.48)</f>
        <v>97.48</v>
      </c>
      <c r="C56" s="1">
        <f>IFERROR(__xludf.DUMMYFUNCTION("""COMPUTED_VALUE"""),98.8)</f>
        <v>98.8</v>
      </c>
      <c r="D56" s="1">
        <f>IFERROR(__xludf.DUMMYFUNCTION("""COMPUTED_VALUE"""),97.48)</f>
        <v>97.48</v>
      </c>
      <c r="E56" s="1">
        <f>IFERROR(__xludf.DUMMYFUNCTION("""COMPUTED_VALUE"""),97.52)</f>
        <v>97.52</v>
      </c>
      <c r="F56" s="1">
        <f>IFERROR(__xludf.DUMMYFUNCTION("""COMPUTED_VALUE"""),0.0)</f>
        <v>0</v>
      </c>
    </row>
    <row r="57" ht="15.75" customHeight="1">
      <c r="A57" s="10">
        <f>IFERROR(__xludf.DUMMYFUNCTION("""COMPUTED_VALUE"""),43752.66666666667)</f>
        <v>43752.66667</v>
      </c>
      <c r="B57" s="1">
        <f>IFERROR(__xludf.DUMMYFUNCTION("""COMPUTED_VALUE"""),96.83)</f>
        <v>96.83</v>
      </c>
      <c r="C57" s="1">
        <f>IFERROR(__xludf.DUMMYFUNCTION("""COMPUTED_VALUE"""),97.56)</f>
        <v>97.56</v>
      </c>
      <c r="D57" s="1">
        <f>IFERROR(__xludf.DUMMYFUNCTION("""COMPUTED_VALUE"""),96.65)</f>
        <v>96.65</v>
      </c>
      <c r="E57" s="1">
        <f>IFERROR(__xludf.DUMMYFUNCTION("""COMPUTED_VALUE"""),97.37)</f>
        <v>97.37</v>
      </c>
      <c r="F57" s="1">
        <f>IFERROR(__xludf.DUMMYFUNCTION("""COMPUTED_VALUE"""),0.0)</f>
        <v>0</v>
      </c>
    </row>
    <row r="58" ht="15.75" customHeight="1">
      <c r="A58" s="10">
        <f>IFERROR(__xludf.DUMMYFUNCTION("""COMPUTED_VALUE"""),43753.66666666667)</f>
        <v>43753.66667</v>
      </c>
      <c r="B58" s="1">
        <f>IFERROR(__xludf.DUMMYFUNCTION("""COMPUTED_VALUE"""),97.66)</f>
        <v>97.66</v>
      </c>
      <c r="C58" s="1">
        <f>IFERROR(__xludf.DUMMYFUNCTION("""COMPUTED_VALUE"""),99.22)</f>
        <v>99.22</v>
      </c>
      <c r="D58" s="1">
        <f>IFERROR(__xludf.DUMMYFUNCTION("""COMPUTED_VALUE"""),97.39)</f>
        <v>97.39</v>
      </c>
      <c r="E58" s="1">
        <f>IFERROR(__xludf.DUMMYFUNCTION("""COMPUTED_VALUE"""),98.77)</f>
        <v>98.77</v>
      </c>
      <c r="F58" s="1">
        <f>IFERROR(__xludf.DUMMYFUNCTION("""COMPUTED_VALUE"""),0.0)</f>
        <v>0</v>
      </c>
    </row>
    <row r="59" ht="15.75" customHeight="1">
      <c r="A59" s="10">
        <f>IFERROR(__xludf.DUMMYFUNCTION("""COMPUTED_VALUE"""),43754.66666666667)</f>
        <v>43754.66667</v>
      </c>
      <c r="B59" s="1">
        <f>IFERROR(__xludf.DUMMYFUNCTION("""COMPUTED_VALUE"""),98.77)</f>
        <v>98.77</v>
      </c>
      <c r="C59" s="1">
        <f>IFERROR(__xludf.DUMMYFUNCTION("""COMPUTED_VALUE"""),99.62)</f>
        <v>99.62</v>
      </c>
      <c r="D59" s="1">
        <f>IFERROR(__xludf.DUMMYFUNCTION("""COMPUTED_VALUE"""),97.99)</f>
        <v>97.99</v>
      </c>
      <c r="E59" s="1">
        <f>IFERROR(__xludf.DUMMYFUNCTION("""COMPUTED_VALUE"""),98.57)</f>
        <v>98.57</v>
      </c>
      <c r="F59" s="1">
        <f>IFERROR(__xludf.DUMMYFUNCTION("""COMPUTED_VALUE"""),0.0)</f>
        <v>0</v>
      </c>
    </row>
    <row r="60" ht="15.75" customHeight="1">
      <c r="A60" s="10">
        <f>IFERROR(__xludf.DUMMYFUNCTION("""COMPUTED_VALUE"""),43755.66666666667)</f>
        <v>43755.66667</v>
      </c>
      <c r="B60" s="1">
        <f>IFERROR(__xludf.DUMMYFUNCTION("""COMPUTED_VALUE"""),99.05)</f>
        <v>99.05</v>
      </c>
      <c r="C60" s="1">
        <f>IFERROR(__xludf.DUMMYFUNCTION("""COMPUTED_VALUE"""),99.05)</f>
        <v>99.05</v>
      </c>
      <c r="D60" s="1">
        <f>IFERROR(__xludf.DUMMYFUNCTION("""COMPUTED_VALUE"""),98.0)</f>
        <v>98</v>
      </c>
      <c r="E60" s="1">
        <f>IFERROR(__xludf.DUMMYFUNCTION("""COMPUTED_VALUE"""),98.94)</f>
        <v>98.94</v>
      </c>
      <c r="F60" s="1">
        <f>IFERROR(__xludf.DUMMYFUNCTION("""COMPUTED_VALUE"""),0.0)</f>
        <v>0</v>
      </c>
    </row>
    <row r="61" ht="15.75" customHeight="1">
      <c r="A61" s="10">
        <f>IFERROR(__xludf.DUMMYFUNCTION("""COMPUTED_VALUE"""),43756.66666666667)</f>
        <v>43756.66667</v>
      </c>
      <c r="B61" s="1">
        <f>IFERROR(__xludf.DUMMYFUNCTION("""COMPUTED_VALUE"""),98.59)</f>
        <v>98.59</v>
      </c>
      <c r="C61" s="1">
        <f>IFERROR(__xludf.DUMMYFUNCTION("""COMPUTED_VALUE"""),99.79)</f>
        <v>99.79</v>
      </c>
      <c r="D61" s="1">
        <f>IFERROR(__xludf.DUMMYFUNCTION("""COMPUTED_VALUE"""),98.43)</f>
        <v>98.43</v>
      </c>
      <c r="E61" s="1">
        <f>IFERROR(__xludf.DUMMYFUNCTION("""COMPUTED_VALUE"""),99.63)</f>
        <v>99.63</v>
      </c>
      <c r="F61" s="1">
        <f>IFERROR(__xludf.DUMMYFUNCTION("""COMPUTED_VALUE"""),0.0)</f>
        <v>0</v>
      </c>
    </row>
    <row r="62" ht="15.75" customHeight="1">
      <c r="A62" s="10">
        <f>IFERROR(__xludf.DUMMYFUNCTION("""COMPUTED_VALUE"""),43759.66666666667)</f>
        <v>43759.66667</v>
      </c>
      <c r="B62" s="1">
        <f>IFERROR(__xludf.DUMMYFUNCTION("""COMPUTED_VALUE"""),100.69)</f>
        <v>100.69</v>
      </c>
      <c r="C62" s="1">
        <f>IFERROR(__xludf.DUMMYFUNCTION("""COMPUTED_VALUE"""),101.51)</f>
        <v>101.51</v>
      </c>
      <c r="D62" s="1">
        <f>IFERROR(__xludf.DUMMYFUNCTION("""COMPUTED_VALUE"""),100.56)</f>
        <v>100.56</v>
      </c>
      <c r="E62" s="1">
        <f>IFERROR(__xludf.DUMMYFUNCTION("""COMPUTED_VALUE"""),100.9)</f>
        <v>100.9</v>
      </c>
      <c r="F62" s="1">
        <f>IFERROR(__xludf.DUMMYFUNCTION("""COMPUTED_VALUE"""),0.0)</f>
        <v>0</v>
      </c>
    </row>
    <row r="63" ht="15.75" customHeight="1">
      <c r="A63" s="10">
        <f>IFERROR(__xludf.DUMMYFUNCTION("""COMPUTED_VALUE"""),43760.66666666667)</f>
        <v>43760.66667</v>
      </c>
      <c r="B63" s="1">
        <f>IFERROR(__xludf.DUMMYFUNCTION("""COMPUTED_VALUE"""),100.76)</f>
        <v>100.76</v>
      </c>
      <c r="C63" s="1">
        <f>IFERROR(__xludf.DUMMYFUNCTION("""COMPUTED_VALUE"""),102.23)</f>
        <v>102.23</v>
      </c>
      <c r="D63" s="1">
        <f>IFERROR(__xludf.DUMMYFUNCTION("""COMPUTED_VALUE"""),99.9)</f>
        <v>99.9</v>
      </c>
      <c r="E63" s="1">
        <f>IFERROR(__xludf.DUMMYFUNCTION("""COMPUTED_VALUE"""),101.15)</f>
        <v>101.15</v>
      </c>
      <c r="F63" s="1">
        <f>IFERROR(__xludf.DUMMYFUNCTION("""COMPUTED_VALUE"""),0.0)</f>
        <v>0</v>
      </c>
    </row>
    <row r="64" ht="15.75" customHeight="1">
      <c r="A64" s="10">
        <f>IFERROR(__xludf.DUMMYFUNCTION("""COMPUTED_VALUE"""),43761.66666666667)</f>
        <v>43761.66667</v>
      </c>
      <c r="B64" s="1">
        <f>IFERROR(__xludf.DUMMYFUNCTION("""COMPUTED_VALUE"""),101.13)</f>
        <v>101.13</v>
      </c>
      <c r="C64" s="1">
        <f>IFERROR(__xludf.DUMMYFUNCTION("""COMPUTED_VALUE"""),101.32)</f>
        <v>101.32</v>
      </c>
      <c r="D64" s="1">
        <f>IFERROR(__xludf.DUMMYFUNCTION("""COMPUTED_VALUE"""),100.48)</f>
        <v>100.48</v>
      </c>
      <c r="E64" s="1">
        <f>IFERROR(__xludf.DUMMYFUNCTION("""COMPUTED_VALUE"""),101.2)</f>
        <v>101.2</v>
      </c>
      <c r="F64" s="1">
        <f>IFERROR(__xludf.DUMMYFUNCTION("""COMPUTED_VALUE"""),0.0)</f>
        <v>0</v>
      </c>
    </row>
    <row r="65" ht="15.75" customHeight="1">
      <c r="A65" s="10">
        <f>IFERROR(__xludf.DUMMYFUNCTION("""COMPUTED_VALUE"""),43762.66666666667)</f>
        <v>43762.66667</v>
      </c>
      <c r="B65" s="1">
        <f>IFERROR(__xludf.DUMMYFUNCTION("""COMPUTED_VALUE"""),101.35)</f>
        <v>101.35</v>
      </c>
      <c r="C65" s="1">
        <f>IFERROR(__xludf.DUMMYFUNCTION("""COMPUTED_VALUE"""),101.36)</f>
        <v>101.36</v>
      </c>
      <c r="D65" s="1">
        <f>IFERROR(__xludf.DUMMYFUNCTION("""COMPUTED_VALUE"""),99.89)</f>
        <v>99.89</v>
      </c>
      <c r="E65" s="1">
        <f>IFERROR(__xludf.DUMMYFUNCTION("""COMPUTED_VALUE"""),100.4)</f>
        <v>100.4</v>
      </c>
      <c r="F65" s="1">
        <f>IFERROR(__xludf.DUMMYFUNCTION("""COMPUTED_VALUE"""),0.0)</f>
        <v>0</v>
      </c>
    </row>
    <row r="66" ht="15.75" customHeight="1">
      <c r="A66" s="10">
        <f>IFERROR(__xludf.DUMMYFUNCTION("""COMPUTED_VALUE"""),43763.66666666667)</f>
        <v>43763.66667</v>
      </c>
      <c r="B66" s="1">
        <f>IFERROR(__xludf.DUMMYFUNCTION("""COMPUTED_VALUE"""),100.38)</f>
        <v>100.38</v>
      </c>
      <c r="C66" s="1">
        <f>IFERROR(__xludf.DUMMYFUNCTION("""COMPUTED_VALUE"""),101.66)</f>
        <v>101.66</v>
      </c>
      <c r="D66" s="1">
        <f>IFERROR(__xludf.DUMMYFUNCTION("""COMPUTED_VALUE"""),100.23)</f>
        <v>100.23</v>
      </c>
      <c r="E66" s="1">
        <f>IFERROR(__xludf.DUMMYFUNCTION("""COMPUTED_VALUE"""),101.08)</f>
        <v>101.08</v>
      </c>
      <c r="F66" s="1">
        <f>IFERROR(__xludf.DUMMYFUNCTION("""COMPUTED_VALUE"""),0.0)</f>
        <v>0</v>
      </c>
    </row>
    <row r="67" ht="15.75" customHeight="1">
      <c r="A67" s="10">
        <f>IFERROR(__xludf.DUMMYFUNCTION("""COMPUTED_VALUE"""),43766.66666666667)</f>
        <v>43766.66667</v>
      </c>
      <c r="B67" s="1">
        <f>IFERROR(__xludf.DUMMYFUNCTION("""COMPUTED_VALUE"""),101.54)</f>
        <v>101.54</v>
      </c>
      <c r="C67" s="1">
        <f>IFERROR(__xludf.DUMMYFUNCTION("""COMPUTED_VALUE"""),102.46)</f>
        <v>102.46</v>
      </c>
      <c r="D67" s="1">
        <f>IFERROR(__xludf.DUMMYFUNCTION("""COMPUTED_VALUE"""),101.54)</f>
        <v>101.54</v>
      </c>
      <c r="E67" s="1">
        <f>IFERROR(__xludf.DUMMYFUNCTION("""COMPUTED_VALUE"""),102.05)</f>
        <v>102.05</v>
      </c>
      <c r="F67" s="1">
        <f>IFERROR(__xludf.DUMMYFUNCTION("""COMPUTED_VALUE"""),0.0)</f>
        <v>0</v>
      </c>
    </row>
    <row r="68" ht="15.75" customHeight="1">
      <c r="A68" s="10">
        <f>IFERROR(__xludf.DUMMYFUNCTION("""COMPUTED_VALUE"""),43767.66666666667)</f>
        <v>43767.66667</v>
      </c>
      <c r="B68" s="1">
        <f>IFERROR(__xludf.DUMMYFUNCTION("""COMPUTED_VALUE"""),101.68)</f>
        <v>101.68</v>
      </c>
      <c r="C68" s="1">
        <f>IFERROR(__xludf.DUMMYFUNCTION("""COMPUTED_VALUE"""),103.08)</f>
        <v>103.08</v>
      </c>
      <c r="D68" s="1">
        <f>IFERROR(__xludf.DUMMYFUNCTION("""COMPUTED_VALUE"""),101.61)</f>
        <v>101.61</v>
      </c>
      <c r="E68" s="1">
        <f>IFERROR(__xludf.DUMMYFUNCTION("""COMPUTED_VALUE"""),102.87)</f>
        <v>102.87</v>
      </c>
      <c r="F68" s="1">
        <f>IFERROR(__xludf.DUMMYFUNCTION("""COMPUTED_VALUE"""),0.0)</f>
        <v>0</v>
      </c>
    </row>
    <row r="69" ht="15.75" customHeight="1">
      <c r="A69" s="10">
        <f>IFERROR(__xludf.DUMMYFUNCTION("""COMPUTED_VALUE"""),43768.66666666667)</f>
        <v>43768.66667</v>
      </c>
      <c r="B69" s="1">
        <f>IFERROR(__xludf.DUMMYFUNCTION("""COMPUTED_VALUE"""),102.49)</f>
        <v>102.49</v>
      </c>
      <c r="C69" s="1">
        <f>IFERROR(__xludf.DUMMYFUNCTION("""COMPUTED_VALUE"""),102.59)</f>
        <v>102.59</v>
      </c>
      <c r="D69" s="1">
        <f>IFERROR(__xludf.DUMMYFUNCTION("""COMPUTED_VALUE"""),101.2)</f>
        <v>101.2</v>
      </c>
      <c r="E69" s="1">
        <f>IFERROR(__xludf.DUMMYFUNCTION("""COMPUTED_VALUE"""),101.96)</f>
        <v>101.96</v>
      </c>
      <c r="F69" s="1">
        <f>IFERROR(__xludf.DUMMYFUNCTION("""COMPUTED_VALUE"""),0.0)</f>
        <v>0</v>
      </c>
    </row>
    <row r="70" ht="15.75" customHeight="1">
      <c r="A70" s="10">
        <f>IFERROR(__xludf.DUMMYFUNCTION("""COMPUTED_VALUE"""),43769.66666666667)</f>
        <v>43769.66667</v>
      </c>
      <c r="B70" s="1">
        <f>IFERROR(__xludf.DUMMYFUNCTION("""COMPUTED_VALUE"""),101.19)</f>
        <v>101.19</v>
      </c>
      <c r="C70" s="1">
        <f>IFERROR(__xludf.DUMMYFUNCTION("""COMPUTED_VALUE"""),101.19)</f>
        <v>101.19</v>
      </c>
      <c r="D70" s="1">
        <f>IFERROR(__xludf.DUMMYFUNCTION("""COMPUTED_VALUE"""),99.01)</f>
        <v>99.01</v>
      </c>
      <c r="E70" s="1">
        <f>IFERROR(__xludf.DUMMYFUNCTION("""COMPUTED_VALUE"""),100.06)</f>
        <v>100.06</v>
      </c>
      <c r="F70" s="1">
        <f>IFERROR(__xludf.DUMMYFUNCTION("""COMPUTED_VALUE"""),0.0)</f>
        <v>0</v>
      </c>
    </row>
    <row r="71" ht="15.75" customHeight="1">
      <c r="A71" s="10">
        <f>IFERROR(__xludf.DUMMYFUNCTION("""COMPUTED_VALUE"""),43770.66666666667)</f>
        <v>43770.66667</v>
      </c>
      <c r="B71" s="1">
        <f>IFERROR(__xludf.DUMMYFUNCTION("""COMPUTED_VALUE"""),100.91)</f>
        <v>100.91</v>
      </c>
      <c r="C71" s="1">
        <f>IFERROR(__xludf.DUMMYFUNCTION("""COMPUTED_VALUE"""),102.02)</f>
        <v>102.02</v>
      </c>
      <c r="D71" s="1">
        <f>IFERROR(__xludf.DUMMYFUNCTION("""COMPUTED_VALUE"""),100.77)</f>
        <v>100.77</v>
      </c>
      <c r="E71" s="1">
        <f>IFERROR(__xludf.DUMMYFUNCTION("""COMPUTED_VALUE"""),102.02)</f>
        <v>102.02</v>
      </c>
      <c r="F71" s="1">
        <f>IFERROR(__xludf.DUMMYFUNCTION("""COMPUTED_VALUE"""),0.0)</f>
        <v>0</v>
      </c>
    </row>
    <row r="72" ht="15.75" customHeight="1">
      <c r="A72" s="10">
        <f>IFERROR(__xludf.DUMMYFUNCTION("""COMPUTED_VALUE"""),43773.66666666667)</f>
        <v>43773.66667</v>
      </c>
      <c r="B72" s="1">
        <f>IFERROR(__xludf.DUMMYFUNCTION("""COMPUTED_VALUE"""),103.06)</f>
        <v>103.06</v>
      </c>
      <c r="C72" s="1">
        <f>IFERROR(__xludf.DUMMYFUNCTION("""COMPUTED_VALUE"""),103.83)</f>
        <v>103.83</v>
      </c>
      <c r="D72" s="1">
        <f>IFERROR(__xludf.DUMMYFUNCTION("""COMPUTED_VALUE"""),102.81)</f>
        <v>102.81</v>
      </c>
      <c r="E72" s="1">
        <f>IFERROR(__xludf.DUMMYFUNCTION("""COMPUTED_VALUE"""),103.7)</f>
        <v>103.7</v>
      </c>
      <c r="F72" s="1">
        <f>IFERROR(__xludf.DUMMYFUNCTION("""COMPUTED_VALUE"""),0.0)</f>
        <v>0</v>
      </c>
    </row>
    <row r="73" ht="15.75" customHeight="1">
      <c r="A73" s="10">
        <f>IFERROR(__xludf.DUMMYFUNCTION("""COMPUTED_VALUE"""),43774.66666666667)</f>
        <v>43774.66667</v>
      </c>
      <c r="B73" s="1">
        <f>IFERROR(__xludf.DUMMYFUNCTION("""COMPUTED_VALUE"""),104.29)</f>
        <v>104.29</v>
      </c>
      <c r="C73" s="1">
        <f>IFERROR(__xludf.DUMMYFUNCTION("""COMPUTED_VALUE"""),105.3)</f>
        <v>105.3</v>
      </c>
      <c r="D73" s="1">
        <f>IFERROR(__xludf.DUMMYFUNCTION("""COMPUTED_VALUE"""),104.05)</f>
        <v>104.05</v>
      </c>
      <c r="E73" s="1">
        <f>IFERROR(__xludf.DUMMYFUNCTION("""COMPUTED_VALUE"""),104.59)</f>
        <v>104.59</v>
      </c>
      <c r="F73" s="1">
        <f>IFERROR(__xludf.DUMMYFUNCTION("""COMPUTED_VALUE"""),0.0)</f>
        <v>0</v>
      </c>
    </row>
    <row r="74" ht="15.75" customHeight="1">
      <c r="A74" s="10">
        <f>IFERROR(__xludf.DUMMYFUNCTION("""COMPUTED_VALUE"""),43775.66666666667)</f>
        <v>43775.66667</v>
      </c>
      <c r="B74" s="1">
        <f>IFERROR(__xludf.DUMMYFUNCTION("""COMPUTED_VALUE"""),104.23)</f>
        <v>104.23</v>
      </c>
      <c r="C74" s="1">
        <f>IFERROR(__xludf.DUMMYFUNCTION("""COMPUTED_VALUE"""),104.33)</f>
        <v>104.33</v>
      </c>
      <c r="D74" s="1">
        <f>IFERROR(__xludf.DUMMYFUNCTION("""COMPUTED_VALUE"""),103.52)</f>
        <v>103.52</v>
      </c>
      <c r="E74" s="1">
        <f>IFERROR(__xludf.DUMMYFUNCTION("""COMPUTED_VALUE"""),104.13)</f>
        <v>104.13</v>
      </c>
      <c r="F74" s="1">
        <f>IFERROR(__xludf.DUMMYFUNCTION("""COMPUTED_VALUE"""),0.0)</f>
        <v>0</v>
      </c>
    </row>
    <row r="75" ht="15.75" customHeight="1">
      <c r="A75" s="10">
        <f>IFERROR(__xludf.DUMMYFUNCTION("""COMPUTED_VALUE"""),43776.66666666667)</f>
        <v>43776.66667</v>
      </c>
      <c r="B75" s="1">
        <f>IFERROR(__xludf.DUMMYFUNCTION("""COMPUTED_VALUE"""),105.11)</f>
        <v>105.11</v>
      </c>
      <c r="C75" s="1">
        <f>IFERROR(__xludf.DUMMYFUNCTION("""COMPUTED_VALUE"""),105.68)</f>
        <v>105.68</v>
      </c>
      <c r="D75" s="1">
        <f>IFERROR(__xludf.DUMMYFUNCTION("""COMPUTED_VALUE"""),104.43)</f>
        <v>104.43</v>
      </c>
      <c r="E75" s="1">
        <f>IFERROR(__xludf.DUMMYFUNCTION("""COMPUTED_VALUE"""),104.68)</f>
        <v>104.68</v>
      </c>
      <c r="F75" s="1">
        <f>IFERROR(__xludf.DUMMYFUNCTION("""COMPUTED_VALUE"""),0.0)</f>
        <v>0</v>
      </c>
    </row>
    <row r="76" ht="15.75" customHeight="1">
      <c r="A76" s="10">
        <f>IFERROR(__xludf.DUMMYFUNCTION("""COMPUTED_VALUE"""),43777.66666666667)</f>
        <v>43777.66667</v>
      </c>
      <c r="B76" s="1">
        <f>IFERROR(__xludf.DUMMYFUNCTION("""COMPUTED_VALUE"""),104.42)</f>
        <v>104.42</v>
      </c>
      <c r="C76" s="1">
        <f>IFERROR(__xludf.DUMMYFUNCTION("""COMPUTED_VALUE"""),105.1)</f>
        <v>105.1</v>
      </c>
      <c r="D76" s="1">
        <f>IFERROR(__xludf.DUMMYFUNCTION("""COMPUTED_VALUE"""),104.26)</f>
        <v>104.26</v>
      </c>
      <c r="E76" s="1">
        <f>IFERROR(__xludf.DUMMYFUNCTION("""COMPUTED_VALUE"""),104.84)</f>
        <v>104.84</v>
      </c>
      <c r="F76" s="1">
        <f>IFERROR(__xludf.DUMMYFUNCTION("""COMPUTED_VALUE"""),0.0)</f>
        <v>0</v>
      </c>
    </row>
    <row r="77" ht="15.75" customHeight="1">
      <c r="A77" s="10">
        <f>IFERROR(__xludf.DUMMYFUNCTION("""COMPUTED_VALUE"""),43780.66666666667)</f>
        <v>43780.66667</v>
      </c>
      <c r="B77" s="1">
        <f>IFERROR(__xludf.DUMMYFUNCTION("""COMPUTED_VALUE"""),104.15)</f>
        <v>104.15</v>
      </c>
      <c r="C77" s="1">
        <f>IFERROR(__xludf.DUMMYFUNCTION("""COMPUTED_VALUE"""),104.87)</f>
        <v>104.87</v>
      </c>
      <c r="D77" s="1">
        <f>IFERROR(__xludf.DUMMYFUNCTION("""COMPUTED_VALUE"""),104.06)</f>
        <v>104.06</v>
      </c>
      <c r="E77" s="1">
        <f>IFERROR(__xludf.DUMMYFUNCTION("""COMPUTED_VALUE"""),104.35)</f>
        <v>104.35</v>
      </c>
      <c r="F77" s="1">
        <f>IFERROR(__xludf.DUMMYFUNCTION("""COMPUTED_VALUE"""),0.0)</f>
        <v>0</v>
      </c>
    </row>
    <row r="78" ht="15.75" customHeight="1">
      <c r="A78" s="10">
        <f>IFERROR(__xludf.DUMMYFUNCTION("""COMPUTED_VALUE"""),43781.66666666667)</f>
        <v>43781.66667</v>
      </c>
      <c r="B78" s="1">
        <f>IFERROR(__xludf.DUMMYFUNCTION("""COMPUTED_VALUE"""),104.41)</f>
        <v>104.41</v>
      </c>
      <c r="C78" s="1">
        <f>IFERROR(__xludf.DUMMYFUNCTION("""COMPUTED_VALUE"""),105.0)</f>
        <v>105</v>
      </c>
      <c r="D78" s="1">
        <f>IFERROR(__xludf.DUMMYFUNCTION("""COMPUTED_VALUE"""),104.04)</f>
        <v>104.04</v>
      </c>
      <c r="E78" s="1">
        <f>IFERROR(__xludf.DUMMYFUNCTION("""COMPUTED_VALUE"""),104.58)</f>
        <v>104.58</v>
      </c>
      <c r="F78" s="1">
        <f>IFERROR(__xludf.DUMMYFUNCTION("""COMPUTED_VALUE"""),0.0)</f>
        <v>0</v>
      </c>
    </row>
    <row r="79" ht="15.75" customHeight="1">
      <c r="A79" s="10">
        <f>IFERROR(__xludf.DUMMYFUNCTION("""COMPUTED_VALUE"""),43782.66666666667)</f>
        <v>43782.66667</v>
      </c>
      <c r="B79" s="1">
        <f>IFERROR(__xludf.DUMMYFUNCTION("""COMPUTED_VALUE"""),103.49)</f>
        <v>103.49</v>
      </c>
      <c r="C79" s="1">
        <f>IFERROR(__xludf.DUMMYFUNCTION("""COMPUTED_VALUE"""),104.13)</f>
        <v>104.13</v>
      </c>
      <c r="D79" s="1">
        <f>IFERROR(__xludf.DUMMYFUNCTION("""COMPUTED_VALUE"""),103.06)</f>
        <v>103.06</v>
      </c>
      <c r="E79" s="1">
        <f>IFERROR(__xludf.DUMMYFUNCTION("""COMPUTED_VALUE"""),103.66)</f>
        <v>103.66</v>
      </c>
      <c r="F79" s="1">
        <f>IFERROR(__xludf.DUMMYFUNCTION("""COMPUTED_VALUE"""),0.0)</f>
        <v>0</v>
      </c>
    </row>
    <row r="80" ht="15.75" customHeight="1">
      <c r="A80" s="10">
        <f>IFERROR(__xludf.DUMMYFUNCTION("""COMPUTED_VALUE"""),43783.66666666667)</f>
        <v>43783.66667</v>
      </c>
      <c r="B80" s="1">
        <f>IFERROR(__xludf.DUMMYFUNCTION("""COMPUTED_VALUE"""),103.33)</f>
        <v>103.33</v>
      </c>
      <c r="C80" s="1">
        <f>IFERROR(__xludf.DUMMYFUNCTION("""COMPUTED_VALUE"""),103.84)</f>
        <v>103.84</v>
      </c>
      <c r="D80" s="1">
        <f>IFERROR(__xludf.DUMMYFUNCTION("""COMPUTED_VALUE"""),103.05)</f>
        <v>103.05</v>
      </c>
      <c r="E80" s="1">
        <f>IFERROR(__xludf.DUMMYFUNCTION("""COMPUTED_VALUE"""),103.55)</f>
        <v>103.55</v>
      </c>
      <c r="F80" s="1">
        <f>IFERROR(__xludf.DUMMYFUNCTION("""COMPUTED_VALUE"""),0.0)</f>
        <v>0</v>
      </c>
    </row>
    <row r="81" ht="15.75" customHeight="1">
      <c r="A81" s="10">
        <f>IFERROR(__xludf.DUMMYFUNCTION("""COMPUTED_VALUE"""),43784.66666666667)</f>
        <v>43784.66667</v>
      </c>
      <c r="B81" s="1">
        <f>IFERROR(__xludf.DUMMYFUNCTION("""COMPUTED_VALUE"""),104.11)</f>
        <v>104.11</v>
      </c>
      <c r="C81" s="1">
        <f>IFERROR(__xludf.DUMMYFUNCTION("""COMPUTED_VALUE"""),104.16)</f>
        <v>104.16</v>
      </c>
      <c r="D81" s="1">
        <f>IFERROR(__xludf.DUMMYFUNCTION("""COMPUTED_VALUE"""),103.26)</f>
        <v>103.26</v>
      </c>
      <c r="E81" s="1">
        <f>IFERROR(__xludf.DUMMYFUNCTION("""COMPUTED_VALUE"""),103.34)</f>
        <v>103.34</v>
      </c>
      <c r="F81" s="1">
        <f>IFERROR(__xludf.DUMMYFUNCTION("""COMPUTED_VALUE"""),0.0)</f>
        <v>0</v>
      </c>
    </row>
    <row r="82" ht="15.75" customHeight="1">
      <c r="A82" s="10">
        <f>IFERROR(__xludf.DUMMYFUNCTION("""COMPUTED_VALUE"""),43787.66666666667)</f>
        <v>43787.66667</v>
      </c>
      <c r="B82" s="1">
        <f>IFERROR(__xludf.DUMMYFUNCTION("""COMPUTED_VALUE"""),102.83)</f>
        <v>102.83</v>
      </c>
      <c r="C82" s="1">
        <f>IFERROR(__xludf.DUMMYFUNCTION("""COMPUTED_VALUE"""),102.93)</f>
        <v>102.93</v>
      </c>
      <c r="D82" s="1">
        <f>IFERROR(__xludf.DUMMYFUNCTION("""COMPUTED_VALUE"""),102.08)</f>
        <v>102.08</v>
      </c>
      <c r="E82" s="1">
        <f>IFERROR(__xludf.DUMMYFUNCTION("""COMPUTED_VALUE"""),102.79)</f>
        <v>102.79</v>
      </c>
      <c r="F82" s="1">
        <f>IFERROR(__xludf.DUMMYFUNCTION("""COMPUTED_VALUE"""),0.0)</f>
        <v>0</v>
      </c>
    </row>
    <row r="83" ht="15.75" customHeight="1">
      <c r="A83" s="10">
        <f>IFERROR(__xludf.DUMMYFUNCTION("""COMPUTED_VALUE"""),43788.66666666667)</f>
        <v>43788.66667</v>
      </c>
      <c r="B83" s="1">
        <f>IFERROR(__xludf.DUMMYFUNCTION("""COMPUTED_VALUE"""),103.16)</f>
        <v>103.16</v>
      </c>
      <c r="C83" s="1">
        <f>IFERROR(__xludf.DUMMYFUNCTION("""COMPUTED_VALUE"""),103.43)</f>
        <v>103.43</v>
      </c>
      <c r="D83" s="1">
        <f>IFERROR(__xludf.DUMMYFUNCTION("""COMPUTED_VALUE"""),102.56)</f>
        <v>102.56</v>
      </c>
      <c r="E83" s="1">
        <f>IFERROR(__xludf.DUMMYFUNCTION("""COMPUTED_VALUE"""),103.18)</f>
        <v>103.18</v>
      </c>
      <c r="F83" s="1">
        <f>IFERROR(__xludf.DUMMYFUNCTION("""COMPUTED_VALUE"""),0.0)</f>
        <v>0</v>
      </c>
    </row>
    <row r="84" ht="15.75" customHeight="1">
      <c r="A84" s="10">
        <f>IFERROR(__xludf.DUMMYFUNCTION("""COMPUTED_VALUE"""),43789.66666666667)</f>
        <v>43789.66667</v>
      </c>
      <c r="B84" s="1">
        <f>IFERROR(__xludf.DUMMYFUNCTION("""COMPUTED_VALUE"""),102.66)</f>
        <v>102.66</v>
      </c>
      <c r="C84" s="1">
        <f>IFERROR(__xludf.DUMMYFUNCTION("""COMPUTED_VALUE"""),103.36)</f>
        <v>103.36</v>
      </c>
      <c r="D84" s="1">
        <f>IFERROR(__xludf.DUMMYFUNCTION("""COMPUTED_VALUE"""),101.96)</f>
        <v>101.96</v>
      </c>
      <c r="E84" s="1">
        <f>IFERROR(__xludf.DUMMYFUNCTION("""COMPUTED_VALUE"""),102.66)</f>
        <v>102.66</v>
      </c>
      <c r="F84" s="1">
        <f>IFERROR(__xludf.DUMMYFUNCTION("""COMPUTED_VALUE"""),0.0)</f>
        <v>0</v>
      </c>
    </row>
    <row r="85" ht="15.75" customHeight="1">
      <c r="A85" s="10">
        <f>IFERROR(__xludf.DUMMYFUNCTION("""COMPUTED_VALUE"""),43790.66666666667)</f>
        <v>43790.66667</v>
      </c>
      <c r="B85" s="1">
        <f>IFERROR(__xludf.DUMMYFUNCTION("""COMPUTED_VALUE"""),103.25)</f>
        <v>103.25</v>
      </c>
      <c r="C85" s="1">
        <f>IFERROR(__xludf.DUMMYFUNCTION("""COMPUTED_VALUE"""),103.25)</f>
        <v>103.25</v>
      </c>
      <c r="D85" s="1">
        <f>IFERROR(__xludf.DUMMYFUNCTION("""COMPUTED_VALUE"""),102.04)</f>
        <v>102.04</v>
      </c>
      <c r="E85" s="1">
        <f>IFERROR(__xludf.DUMMYFUNCTION("""COMPUTED_VALUE"""),102.59)</f>
        <v>102.59</v>
      </c>
      <c r="F85" s="1">
        <f>IFERROR(__xludf.DUMMYFUNCTION("""COMPUTED_VALUE"""),0.0)</f>
        <v>0</v>
      </c>
    </row>
    <row r="86" ht="15.75" customHeight="1">
      <c r="A86" s="10">
        <f>IFERROR(__xludf.DUMMYFUNCTION("""COMPUTED_VALUE"""),43791.66666666667)</f>
        <v>43791.66667</v>
      </c>
      <c r="B86" s="1">
        <f>IFERROR(__xludf.DUMMYFUNCTION("""COMPUTED_VALUE"""),103.01)</f>
        <v>103.01</v>
      </c>
      <c r="C86" s="1">
        <f>IFERROR(__xludf.DUMMYFUNCTION("""COMPUTED_VALUE"""),103.41)</f>
        <v>103.41</v>
      </c>
      <c r="D86" s="1">
        <f>IFERROR(__xludf.DUMMYFUNCTION("""COMPUTED_VALUE"""),102.62)</f>
        <v>102.62</v>
      </c>
      <c r="E86" s="1">
        <f>IFERROR(__xludf.DUMMYFUNCTION("""COMPUTED_VALUE"""),102.99)</f>
        <v>102.99</v>
      </c>
      <c r="F86" s="1">
        <f>IFERROR(__xludf.DUMMYFUNCTION("""COMPUTED_VALUE"""),0.0)</f>
        <v>0</v>
      </c>
    </row>
    <row r="87" ht="15.75" customHeight="1">
      <c r="A87" s="10">
        <f>IFERROR(__xludf.DUMMYFUNCTION("""COMPUTED_VALUE"""),43794.66666666667)</f>
        <v>43794.66667</v>
      </c>
      <c r="B87" s="1">
        <f>IFERROR(__xludf.DUMMYFUNCTION("""COMPUTED_VALUE"""),103.12)</f>
        <v>103.12</v>
      </c>
      <c r="C87" s="1">
        <f>IFERROR(__xludf.DUMMYFUNCTION("""COMPUTED_VALUE"""),104.31)</f>
        <v>104.31</v>
      </c>
      <c r="D87" s="1">
        <f>IFERROR(__xludf.DUMMYFUNCTION("""COMPUTED_VALUE"""),102.97)</f>
        <v>102.97</v>
      </c>
      <c r="E87" s="1">
        <f>IFERROR(__xludf.DUMMYFUNCTION("""COMPUTED_VALUE"""),104.01)</f>
        <v>104.01</v>
      </c>
      <c r="F87" s="1">
        <f>IFERROR(__xludf.DUMMYFUNCTION("""COMPUTED_VALUE"""),0.0)</f>
        <v>0</v>
      </c>
    </row>
    <row r="88" ht="15.75" customHeight="1">
      <c r="A88" s="10">
        <f>IFERROR(__xludf.DUMMYFUNCTION("""COMPUTED_VALUE"""),43795.66666666667)</f>
        <v>43795.66667</v>
      </c>
      <c r="B88" s="1">
        <f>IFERROR(__xludf.DUMMYFUNCTION("""COMPUTED_VALUE"""),103.71)</f>
        <v>103.71</v>
      </c>
      <c r="C88" s="1">
        <f>IFERROR(__xludf.DUMMYFUNCTION("""COMPUTED_VALUE"""),104.0)</f>
        <v>104</v>
      </c>
      <c r="D88" s="1">
        <f>IFERROR(__xludf.DUMMYFUNCTION("""COMPUTED_VALUE"""),103.36)</f>
        <v>103.36</v>
      </c>
      <c r="E88" s="1">
        <f>IFERROR(__xludf.DUMMYFUNCTION("""COMPUTED_VALUE"""),103.56)</f>
        <v>103.56</v>
      </c>
      <c r="F88" s="1">
        <f>IFERROR(__xludf.DUMMYFUNCTION("""COMPUTED_VALUE"""),0.0)</f>
        <v>0</v>
      </c>
    </row>
    <row r="89" ht="15.75" customHeight="1">
      <c r="A89" s="10">
        <f>IFERROR(__xludf.DUMMYFUNCTION("""COMPUTED_VALUE"""),43796.66666666667)</f>
        <v>43796.66667</v>
      </c>
      <c r="B89" s="1">
        <f>IFERROR(__xludf.DUMMYFUNCTION("""COMPUTED_VALUE"""),103.95)</f>
        <v>103.95</v>
      </c>
      <c r="C89" s="1">
        <f>IFERROR(__xludf.DUMMYFUNCTION("""COMPUTED_VALUE"""),104.35)</f>
        <v>104.35</v>
      </c>
      <c r="D89" s="1">
        <f>IFERROR(__xludf.DUMMYFUNCTION("""COMPUTED_VALUE"""),103.69)</f>
        <v>103.69</v>
      </c>
      <c r="E89" s="1">
        <f>IFERROR(__xludf.DUMMYFUNCTION("""COMPUTED_VALUE"""),104.21)</f>
        <v>104.21</v>
      </c>
      <c r="F89" s="1">
        <f>IFERROR(__xludf.DUMMYFUNCTION("""COMPUTED_VALUE"""),0.0)</f>
        <v>0</v>
      </c>
    </row>
    <row r="90" ht="15.75" customHeight="1">
      <c r="A90" s="10">
        <f>IFERROR(__xludf.DUMMYFUNCTION("""COMPUTED_VALUE"""),43798.54166666667)</f>
        <v>43798.54167</v>
      </c>
      <c r="B90" s="1">
        <f>IFERROR(__xludf.DUMMYFUNCTION("""COMPUTED_VALUE"""),103.81)</f>
        <v>103.81</v>
      </c>
      <c r="C90" s="1">
        <f>IFERROR(__xludf.DUMMYFUNCTION("""COMPUTED_VALUE"""),104.31)</f>
        <v>104.31</v>
      </c>
      <c r="D90" s="1">
        <f>IFERROR(__xludf.DUMMYFUNCTION("""COMPUTED_VALUE"""),103.41)</f>
        <v>103.41</v>
      </c>
      <c r="E90" s="1">
        <f>IFERROR(__xludf.DUMMYFUNCTION("""COMPUTED_VALUE"""),103.46)</f>
        <v>103.46</v>
      </c>
      <c r="F90" s="1">
        <f>IFERROR(__xludf.DUMMYFUNCTION("""COMPUTED_VALUE"""),0.0)</f>
        <v>0</v>
      </c>
    </row>
    <row r="91" ht="15.75" customHeight="1">
      <c r="A91" s="10">
        <f>IFERROR(__xludf.DUMMYFUNCTION("""COMPUTED_VALUE"""),43801.66666666667)</f>
        <v>43801.66667</v>
      </c>
      <c r="B91" s="1">
        <f>IFERROR(__xludf.DUMMYFUNCTION("""COMPUTED_VALUE"""),104.03)</f>
        <v>104.03</v>
      </c>
      <c r="C91" s="1">
        <f>IFERROR(__xludf.DUMMYFUNCTION("""COMPUTED_VALUE"""),104.34)</f>
        <v>104.34</v>
      </c>
      <c r="D91" s="1">
        <f>IFERROR(__xludf.DUMMYFUNCTION("""COMPUTED_VALUE"""),102.6)</f>
        <v>102.6</v>
      </c>
      <c r="E91" s="1">
        <f>IFERROR(__xludf.DUMMYFUNCTION("""COMPUTED_VALUE"""),102.7)</f>
        <v>102.7</v>
      </c>
      <c r="F91" s="1">
        <f>IFERROR(__xludf.DUMMYFUNCTION("""COMPUTED_VALUE"""),0.0)</f>
        <v>0</v>
      </c>
    </row>
    <row r="92" ht="15.75" customHeight="1">
      <c r="A92" s="10">
        <f>IFERROR(__xludf.DUMMYFUNCTION("""COMPUTED_VALUE"""),43802.66666666667)</f>
        <v>43802.66667</v>
      </c>
      <c r="B92" s="1">
        <f>IFERROR(__xludf.DUMMYFUNCTION("""COMPUTED_VALUE"""),101.38)</f>
        <v>101.38</v>
      </c>
      <c r="C92" s="1">
        <f>IFERROR(__xludf.DUMMYFUNCTION("""COMPUTED_VALUE"""),101.54)</f>
        <v>101.54</v>
      </c>
      <c r="D92" s="1">
        <f>IFERROR(__xludf.DUMMYFUNCTION("""COMPUTED_VALUE"""),100.65)</f>
        <v>100.65</v>
      </c>
      <c r="E92" s="1">
        <f>IFERROR(__xludf.DUMMYFUNCTION("""COMPUTED_VALUE"""),101.51)</f>
        <v>101.51</v>
      </c>
      <c r="F92" s="1">
        <f>IFERROR(__xludf.DUMMYFUNCTION("""COMPUTED_VALUE"""),0.0)</f>
        <v>0</v>
      </c>
    </row>
    <row r="93" ht="15.75" customHeight="1">
      <c r="A93" s="10">
        <f>IFERROR(__xludf.DUMMYFUNCTION("""COMPUTED_VALUE"""),43803.66666666667)</f>
        <v>43803.66667</v>
      </c>
      <c r="B93" s="1">
        <f>IFERROR(__xludf.DUMMYFUNCTION("""COMPUTED_VALUE"""),101.9)</f>
        <v>101.9</v>
      </c>
      <c r="C93" s="1">
        <f>IFERROR(__xludf.DUMMYFUNCTION("""COMPUTED_VALUE"""),103.23)</f>
        <v>103.23</v>
      </c>
      <c r="D93" s="1">
        <f>IFERROR(__xludf.DUMMYFUNCTION("""COMPUTED_VALUE"""),101.86)</f>
        <v>101.86</v>
      </c>
      <c r="E93" s="1">
        <f>IFERROR(__xludf.DUMMYFUNCTION("""COMPUTED_VALUE"""),102.8)</f>
        <v>102.8</v>
      </c>
      <c r="F93" s="1">
        <f>IFERROR(__xludf.DUMMYFUNCTION("""COMPUTED_VALUE"""),0.0)</f>
        <v>0</v>
      </c>
    </row>
    <row r="94" ht="15.75" customHeight="1">
      <c r="A94" s="10">
        <f>IFERROR(__xludf.DUMMYFUNCTION("""COMPUTED_VALUE"""),43804.66666666667)</f>
        <v>43804.66667</v>
      </c>
      <c r="B94" s="1">
        <f>IFERROR(__xludf.DUMMYFUNCTION("""COMPUTED_VALUE"""),103.34)</f>
        <v>103.34</v>
      </c>
      <c r="C94" s="1">
        <f>IFERROR(__xludf.DUMMYFUNCTION("""COMPUTED_VALUE"""),103.6)</f>
        <v>103.6</v>
      </c>
      <c r="D94" s="1">
        <f>IFERROR(__xludf.DUMMYFUNCTION("""COMPUTED_VALUE"""),103.03)</f>
        <v>103.03</v>
      </c>
      <c r="E94" s="1">
        <f>IFERROR(__xludf.DUMMYFUNCTION("""COMPUTED_VALUE"""),103.28)</f>
        <v>103.28</v>
      </c>
      <c r="F94" s="1">
        <f>IFERROR(__xludf.DUMMYFUNCTION("""COMPUTED_VALUE"""),0.0)</f>
        <v>0</v>
      </c>
    </row>
    <row r="95" ht="15.75" customHeight="1">
      <c r="A95" s="10">
        <f>IFERROR(__xludf.DUMMYFUNCTION("""COMPUTED_VALUE"""),43805.66666666667)</f>
        <v>43805.66667</v>
      </c>
      <c r="B95" s="1">
        <f>IFERROR(__xludf.DUMMYFUNCTION("""COMPUTED_VALUE"""),104.5)</f>
        <v>104.5</v>
      </c>
      <c r="C95" s="1">
        <f>IFERROR(__xludf.DUMMYFUNCTION("""COMPUTED_VALUE"""),105.23)</f>
        <v>105.23</v>
      </c>
      <c r="D95" s="1">
        <f>IFERROR(__xludf.DUMMYFUNCTION("""COMPUTED_VALUE"""),104.32)</f>
        <v>104.32</v>
      </c>
      <c r="E95" s="1">
        <f>IFERROR(__xludf.DUMMYFUNCTION("""COMPUTED_VALUE"""),104.37)</f>
        <v>104.37</v>
      </c>
      <c r="F95" s="1">
        <f>IFERROR(__xludf.DUMMYFUNCTION("""COMPUTED_VALUE"""),0.0)</f>
        <v>0</v>
      </c>
    </row>
    <row r="96" ht="15.75" customHeight="1">
      <c r="A96" s="10">
        <f>IFERROR(__xludf.DUMMYFUNCTION("""COMPUTED_VALUE"""),43808.66666666667)</f>
        <v>43808.66667</v>
      </c>
      <c r="B96" s="1">
        <f>IFERROR(__xludf.DUMMYFUNCTION("""COMPUTED_VALUE"""),104.13)</f>
        <v>104.13</v>
      </c>
      <c r="C96" s="1">
        <f>IFERROR(__xludf.DUMMYFUNCTION("""COMPUTED_VALUE"""),104.78)</f>
        <v>104.78</v>
      </c>
      <c r="D96" s="1">
        <f>IFERROR(__xludf.DUMMYFUNCTION("""COMPUTED_VALUE"""),104.13)</f>
        <v>104.13</v>
      </c>
      <c r="E96" s="1">
        <f>IFERROR(__xludf.DUMMYFUNCTION("""COMPUTED_VALUE"""),104.4)</f>
        <v>104.4</v>
      </c>
      <c r="F96" s="1">
        <f>IFERROR(__xludf.DUMMYFUNCTION("""COMPUTED_VALUE"""),0.0)</f>
        <v>0</v>
      </c>
    </row>
    <row r="97" ht="15.75" customHeight="1">
      <c r="A97" s="10">
        <f>IFERROR(__xludf.DUMMYFUNCTION("""COMPUTED_VALUE"""),43809.66666666667)</f>
        <v>43809.66667</v>
      </c>
      <c r="B97" s="1">
        <f>IFERROR(__xludf.DUMMYFUNCTION("""COMPUTED_VALUE"""),104.42)</f>
        <v>104.42</v>
      </c>
      <c r="C97" s="1">
        <f>IFERROR(__xludf.DUMMYFUNCTION("""COMPUTED_VALUE"""),104.92)</f>
        <v>104.92</v>
      </c>
      <c r="D97" s="1">
        <f>IFERROR(__xludf.DUMMYFUNCTION("""COMPUTED_VALUE"""),104.17)</f>
        <v>104.17</v>
      </c>
      <c r="E97" s="1">
        <f>IFERROR(__xludf.DUMMYFUNCTION("""COMPUTED_VALUE"""),104.63)</f>
        <v>104.63</v>
      </c>
      <c r="F97" s="1">
        <f>IFERROR(__xludf.DUMMYFUNCTION("""COMPUTED_VALUE"""),0.0)</f>
        <v>0</v>
      </c>
    </row>
    <row r="98" ht="15.75" customHeight="1">
      <c r="A98" s="10">
        <f>IFERROR(__xludf.DUMMYFUNCTION("""COMPUTED_VALUE"""),43810.66666666667)</f>
        <v>43810.66667</v>
      </c>
      <c r="B98" s="1">
        <f>IFERROR(__xludf.DUMMYFUNCTION("""COMPUTED_VALUE"""),104.8)</f>
        <v>104.8</v>
      </c>
      <c r="C98" s="1">
        <f>IFERROR(__xludf.DUMMYFUNCTION("""COMPUTED_VALUE"""),105.03)</f>
        <v>105.03</v>
      </c>
      <c r="D98" s="1">
        <f>IFERROR(__xludf.DUMMYFUNCTION("""COMPUTED_VALUE"""),104.27)</f>
        <v>104.27</v>
      </c>
      <c r="E98" s="1">
        <f>IFERROR(__xludf.DUMMYFUNCTION("""COMPUTED_VALUE"""),104.61)</f>
        <v>104.61</v>
      </c>
      <c r="F98" s="1">
        <f>IFERROR(__xludf.DUMMYFUNCTION("""COMPUTED_VALUE"""),0.0)</f>
        <v>0</v>
      </c>
    </row>
    <row r="99" ht="15.75" customHeight="1">
      <c r="A99" s="10">
        <f>IFERROR(__xludf.DUMMYFUNCTION("""COMPUTED_VALUE"""),43811.66666666667)</f>
        <v>43811.66667</v>
      </c>
      <c r="B99" s="1">
        <f>IFERROR(__xludf.DUMMYFUNCTION("""COMPUTED_VALUE"""),104.96)</f>
        <v>104.96</v>
      </c>
      <c r="C99" s="1">
        <f>IFERROR(__xludf.DUMMYFUNCTION("""COMPUTED_VALUE"""),107.8)</f>
        <v>107.8</v>
      </c>
      <c r="D99" s="1">
        <f>IFERROR(__xludf.DUMMYFUNCTION("""COMPUTED_VALUE"""),104.91)</f>
        <v>104.91</v>
      </c>
      <c r="E99" s="1">
        <f>IFERROR(__xludf.DUMMYFUNCTION("""COMPUTED_VALUE"""),107.61)</f>
        <v>107.61</v>
      </c>
      <c r="F99" s="1">
        <f>IFERROR(__xludf.DUMMYFUNCTION("""COMPUTED_VALUE"""),0.0)</f>
        <v>0</v>
      </c>
    </row>
    <row r="100" ht="15.75" customHeight="1">
      <c r="A100" s="10">
        <f>IFERROR(__xludf.DUMMYFUNCTION("""COMPUTED_VALUE"""),43812.66666666667)</f>
        <v>43812.66667</v>
      </c>
      <c r="B100" s="1">
        <f>IFERROR(__xludf.DUMMYFUNCTION("""COMPUTED_VALUE"""),107.4)</f>
        <v>107.4</v>
      </c>
      <c r="C100" s="1">
        <f>IFERROR(__xludf.DUMMYFUNCTION("""COMPUTED_VALUE"""),108.07)</f>
        <v>108.07</v>
      </c>
      <c r="D100" s="1">
        <f>IFERROR(__xludf.DUMMYFUNCTION("""COMPUTED_VALUE"""),106.15)</f>
        <v>106.15</v>
      </c>
      <c r="E100" s="1">
        <f>IFERROR(__xludf.DUMMYFUNCTION("""COMPUTED_VALUE"""),106.82)</f>
        <v>106.82</v>
      </c>
      <c r="F100" s="1">
        <f>IFERROR(__xludf.DUMMYFUNCTION("""COMPUTED_VALUE"""),0.0)</f>
        <v>0</v>
      </c>
    </row>
    <row r="101" ht="15.75" customHeight="1">
      <c r="A101" s="10">
        <f>IFERROR(__xludf.DUMMYFUNCTION("""COMPUTED_VALUE"""),43815.66666666667)</f>
        <v>43815.66667</v>
      </c>
      <c r="B101" s="1">
        <f>IFERROR(__xludf.DUMMYFUNCTION("""COMPUTED_VALUE"""),107.82)</f>
        <v>107.82</v>
      </c>
      <c r="C101" s="1">
        <f>IFERROR(__xludf.DUMMYFUNCTION("""COMPUTED_VALUE"""),108.49)</f>
        <v>108.49</v>
      </c>
      <c r="D101" s="1">
        <f>IFERROR(__xludf.DUMMYFUNCTION("""COMPUTED_VALUE"""),107.71)</f>
        <v>107.71</v>
      </c>
      <c r="E101" s="1">
        <f>IFERROR(__xludf.DUMMYFUNCTION("""COMPUTED_VALUE"""),107.79)</f>
        <v>107.79</v>
      </c>
      <c r="F101" s="1">
        <f>IFERROR(__xludf.DUMMYFUNCTION("""COMPUTED_VALUE"""),0.0)</f>
        <v>0</v>
      </c>
    </row>
    <row r="102" ht="15.75" customHeight="1">
      <c r="A102" s="10">
        <f>IFERROR(__xludf.DUMMYFUNCTION("""COMPUTED_VALUE"""),43816.66666666667)</f>
        <v>43816.66667</v>
      </c>
      <c r="B102" s="1">
        <f>IFERROR(__xludf.DUMMYFUNCTION("""COMPUTED_VALUE"""),107.92)</f>
        <v>107.92</v>
      </c>
      <c r="C102" s="1">
        <f>IFERROR(__xludf.DUMMYFUNCTION("""COMPUTED_VALUE"""),109.12)</f>
        <v>109.12</v>
      </c>
      <c r="D102" s="1">
        <f>IFERROR(__xludf.DUMMYFUNCTION("""COMPUTED_VALUE"""),107.81)</f>
        <v>107.81</v>
      </c>
      <c r="E102" s="1">
        <f>IFERROR(__xludf.DUMMYFUNCTION("""COMPUTED_VALUE"""),108.95)</f>
        <v>108.95</v>
      </c>
      <c r="F102" s="1">
        <f>IFERROR(__xludf.DUMMYFUNCTION("""COMPUTED_VALUE"""),0.0)</f>
        <v>0</v>
      </c>
    </row>
    <row r="103" ht="15.75" customHeight="1">
      <c r="A103" s="10">
        <f>IFERROR(__xludf.DUMMYFUNCTION("""COMPUTED_VALUE"""),43817.66666666667)</f>
        <v>43817.66667</v>
      </c>
      <c r="B103" s="1">
        <f>IFERROR(__xludf.DUMMYFUNCTION("""COMPUTED_VALUE"""),109.15)</f>
        <v>109.15</v>
      </c>
      <c r="C103" s="1">
        <f>IFERROR(__xludf.DUMMYFUNCTION("""COMPUTED_VALUE"""),109.18)</f>
        <v>109.18</v>
      </c>
      <c r="D103" s="1">
        <f>IFERROR(__xludf.DUMMYFUNCTION("""COMPUTED_VALUE"""),108.35)</f>
        <v>108.35</v>
      </c>
      <c r="E103" s="1">
        <f>IFERROR(__xludf.DUMMYFUNCTION("""COMPUTED_VALUE"""),108.51)</f>
        <v>108.51</v>
      </c>
      <c r="F103" s="1">
        <f>IFERROR(__xludf.DUMMYFUNCTION("""COMPUTED_VALUE"""),0.0)</f>
        <v>0</v>
      </c>
    </row>
    <row r="104" ht="15.75" customHeight="1">
      <c r="A104" s="10">
        <f>IFERROR(__xludf.DUMMYFUNCTION("""COMPUTED_VALUE"""),43818.66666666667)</f>
        <v>43818.66667</v>
      </c>
      <c r="B104" s="1">
        <f>IFERROR(__xludf.DUMMYFUNCTION("""COMPUTED_VALUE"""),108.5)</f>
        <v>108.5</v>
      </c>
      <c r="C104" s="1">
        <f>IFERROR(__xludf.DUMMYFUNCTION("""COMPUTED_VALUE"""),108.66)</f>
        <v>108.66</v>
      </c>
      <c r="D104" s="1">
        <f>IFERROR(__xludf.DUMMYFUNCTION("""COMPUTED_VALUE"""),108.27)</f>
        <v>108.27</v>
      </c>
      <c r="E104" s="1">
        <f>IFERROR(__xludf.DUMMYFUNCTION("""COMPUTED_VALUE"""),108.53)</f>
        <v>108.53</v>
      </c>
      <c r="F104" s="1">
        <f>IFERROR(__xludf.DUMMYFUNCTION("""COMPUTED_VALUE"""),0.0)</f>
        <v>0</v>
      </c>
    </row>
    <row r="105" ht="15.75" customHeight="1">
      <c r="A105" s="10">
        <f>IFERROR(__xludf.DUMMYFUNCTION("""COMPUTED_VALUE"""),43819.66666666667)</f>
        <v>43819.66667</v>
      </c>
      <c r="B105" s="1">
        <f>IFERROR(__xludf.DUMMYFUNCTION("""COMPUTED_VALUE"""),108.85)</f>
        <v>108.85</v>
      </c>
      <c r="C105" s="1">
        <f>IFERROR(__xludf.DUMMYFUNCTION("""COMPUTED_VALUE"""),109.33)</f>
        <v>109.33</v>
      </c>
      <c r="D105" s="1">
        <f>IFERROR(__xludf.DUMMYFUNCTION("""COMPUTED_VALUE"""),108.55)</f>
        <v>108.55</v>
      </c>
      <c r="E105" s="1">
        <f>IFERROR(__xludf.DUMMYFUNCTION("""COMPUTED_VALUE"""),108.7)</f>
        <v>108.7</v>
      </c>
      <c r="F105" s="1">
        <f>IFERROR(__xludf.DUMMYFUNCTION("""COMPUTED_VALUE"""),0.0)</f>
        <v>0</v>
      </c>
    </row>
    <row r="106" ht="15.75" customHeight="1">
      <c r="A106" s="10">
        <f>IFERROR(__xludf.DUMMYFUNCTION("""COMPUTED_VALUE"""),43822.66666666667)</f>
        <v>43822.66667</v>
      </c>
      <c r="B106" s="1">
        <f>IFERROR(__xludf.DUMMYFUNCTION("""COMPUTED_VALUE"""),108.94)</f>
        <v>108.94</v>
      </c>
      <c r="C106" s="1">
        <f>IFERROR(__xludf.DUMMYFUNCTION("""COMPUTED_VALUE"""),108.95)</f>
        <v>108.95</v>
      </c>
      <c r="D106" s="1">
        <f>IFERROR(__xludf.DUMMYFUNCTION("""COMPUTED_VALUE"""),107.79)</f>
        <v>107.79</v>
      </c>
      <c r="E106" s="1">
        <f>IFERROR(__xludf.DUMMYFUNCTION("""COMPUTED_VALUE"""),108.06)</f>
        <v>108.06</v>
      </c>
      <c r="F106" s="1">
        <f>IFERROR(__xludf.DUMMYFUNCTION("""COMPUTED_VALUE"""),0.0)</f>
        <v>0</v>
      </c>
    </row>
    <row r="107" ht="15.75" customHeight="1">
      <c r="A107" s="10">
        <f>IFERROR(__xludf.DUMMYFUNCTION("""COMPUTED_VALUE"""),43823.54166666667)</f>
        <v>43823.54167</v>
      </c>
      <c r="B107" s="1">
        <f>IFERROR(__xludf.DUMMYFUNCTION("""COMPUTED_VALUE"""),108.15)</f>
        <v>108.15</v>
      </c>
      <c r="C107" s="1">
        <f>IFERROR(__xludf.DUMMYFUNCTION("""COMPUTED_VALUE"""),108.22)</f>
        <v>108.22</v>
      </c>
      <c r="D107" s="1">
        <f>IFERROR(__xludf.DUMMYFUNCTION("""COMPUTED_VALUE"""),107.86)</f>
        <v>107.86</v>
      </c>
      <c r="E107" s="1">
        <f>IFERROR(__xludf.DUMMYFUNCTION("""COMPUTED_VALUE"""),108.14)</f>
        <v>108.14</v>
      </c>
      <c r="F107" s="1">
        <f>IFERROR(__xludf.DUMMYFUNCTION("""COMPUTED_VALUE"""),0.0)</f>
        <v>0</v>
      </c>
    </row>
    <row r="108" ht="15.75" customHeight="1">
      <c r="A108" s="10">
        <f>IFERROR(__xludf.DUMMYFUNCTION("""COMPUTED_VALUE"""),43825.66666666667)</f>
        <v>43825.66667</v>
      </c>
      <c r="B108" s="1">
        <f>IFERROR(__xludf.DUMMYFUNCTION("""COMPUTED_VALUE"""),108.3)</f>
        <v>108.3</v>
      </c>
      <c r="C108" s="1">
        <f>IFERROR(__xludf.DUMMYFUNCTION("""COMPUTED_VALUE"""),108.51)</f>
        <v>108.51</v>
      </c>
      <c r="D108" s="1">
        <f>IFERROR(__xludf.DUMMYFUNCTION("""COMPUTED_VALUE"""),107.98)</f>
        <v>107.98</v>
      </c>
      <c r="E108" s="1">
        <f>IFERROR(__xludf.DUMMYFUNCTION("""COMPUTED_VALUE"""),108.23)</f>
        <v>108.23</v>
      </c>
      <c r="F108" s="1">
        <f>IFERROR(__xludf.DUMMYFUNCTION("""COMPUTED_VALUE"""),0.0)</f>
        <v>0</v>
      </c>
    </row>
    <row r="109" ht="15.75" customHeight="1">
      <c r="A109" s="10">
        <f>IFERROR(__xludf.DUMMYFUNCTION("""COMPUTED_VALUE"""),43826.66666666667)</f>
        <v>43826.66667</v>
      </c>
      <c r="B109" s="1">
        <f>IFERROR(__xludf.DUMMYFUNCTION("""COMPUTED_VALUE"""),108.3)</f>
        <v>108.3</v>
      </c>
      <c r="C109" s="1">
        <f>IFERROR(__xludf.DUMMYFUNCTION("""COMPUTED_VALUE"""),108.3)</f>
        <v>108.3</v>
      </c>
      <c r="D109" s="1">
        <f>IFERROR(__xludf.DUMMYFUNCTION("""COMPUTED_VALUE"""),107.43)</f>
        <v>107.43</v>
      </c>
      <c r="E109" s="1">
        <f>IFERROR(__xludf.DUMMYFUNCTION("""COMPUTED_VALUE"""),107.55)</f>
        <v>107.55</v>
      </c>
      <c r="F109" s="1">
        <f>IFERROR(__xludf.DUMMYFUNCTION("""COMPUTED_VALUE"""),0.0)</f>
        <v>0</v>
      </c>
    </row>
    <row r="110" ht="15.75" customHeight="1">
      <c r="A110" s="10">
        <f>IFERROR(__xludf.DUMMYFUNCTION("""COMPUTED_VALUE"""),43829.66666666667)</f>
        <v>43829.66667</v>
      </c>
      <c r="B110" s="1">
        <f>IFERROR(__xludf.DUMMYFUNCTION("""COMPUTED_VALUE"""),108.08)</f>
        <v>108.08</v>
      </c>
      <c r="C110" s="1">
        <f>IFERROR(__xludf.DUMMYFUNCTION("""COMPUTED_VALUE"""),108.21)</f>
        <v>108.21</v>
      </c>
      <c r="D110" s="1">
        <f>IFERROR(__xludf.DUMMYFUNCTION("""COMPUTED_VALUE"""),107.54)</f>
        <v>107.54</v>
      </c>
      <c r="E110" s="1">
        <f>IFERROR(__xludf.DUMMYFUNCTION("""COMPUTED_VALUE"""),107.65)</f>
        <v>107.65</v>
      </c>
      <c r="F110" s="1">
        <f>IFERROR(__xludf.DUMMYFUNCTION("""COMPUTED_VALUE"""),0.0)</f>
        <v>0</v>
      </c>
    </row>
    <row r="111" ht="15.75" customHeight="1">
      <c r="A111" s="10">
        <f>IFERROR(__xludf.DUMMYFUNCTION("""COMPUTED_VALUE"""),43830.66666666667)</f>
        <v>43830.66667</v>
      </c>
      <c r="B111" s="1">
        <f>IFERROR(__xludf.DUMMYFUNCTION("""COMPUTED_VALUE"""),107.49)</f>
        <v>107.49</v>
      </c>
      <c r="C111" s="1">
        <f>IFERROR(__xludf.DUMMYFUNCTION("""COMPUTED_VALUE"""),108.17)</f>
        <v>108.17</v>
      </c>
      <c r="D111" s="1">
        <f>IFERROR(__xludf.DUMMYFUNCTION("""COMPUTED_VALUE"""),107.48)</f>
        <v>107.48</v>
      </c>
      <c r="E111" s="1">
        <f>IFERROR(__xludf.DUMMYFUNCTION("""COMPUTED_VALUE"""),107.62)</f>
        <v>107.62</v>
      </c>
      <c r="F111" s="1">
        <f>IFERROR(__xludf.DUMMYFUNCTION("""COMPUTED_VALUE"""),0.0)</f>
        <v>0</v>
      </c>
    </row>
    <row r="112" ht="15.75" customHeight="1">
      <c r="A112" s="10">
        <f>IFERROR(__xludf.DUMMYFUNCTION("""COMPUTED_VALUE"""),43832.66666666667)</f>
        <v>43832.66667</v>
      </c>
      <c r="B112" s="1">
        <f>IFERROR(__xludf.DUMMYFUNCTION("""COMPUTED_VALUE"""),108.06)</f>
        <v>108.06</v>
      </c>
      <c r="C112" s="1">
        <f>IFERROR(__xludf.DUMMYFUNCTION("""COMPUTED_VALUE"""),108.06)</f>
        <v>108.06</v>
      </c>
      <c r="D112" s="1">
        <f>IFERROR(__xludf.DUMMYFUNCTION("""COMPUTED_VALUE"""),106.79)</f>
        <v>106.79</v>
      </c>
      <c r="E112" s="1">
        <f>IFERROR(__xludf.DUMMYFUNCTION("""COMPUTED_VALUE"""),107.82)</f>
        <v>107.82</v>
      </c>
      <c r="F112" s="1">
        <f>IFERROR(__xludf.DUMMYFUNCTION("""COMPUTED_VALUE"""),0.0)</f>
        <v>0</v>
      </c>
    </row>
    <row r="113" ht="15.75" customHeight="1">
      <c r="A113" s="10">
        <f>IFERROR(__xludf.DUMMYFUNCTION("""COMPUTED_VALUE"""),43833.66666666667)</f>
        <v>43833.66667</v>
      </c>
      <c r="B113" s="1">
        <f>IFERROR(__xludf.DUMMYFUNCTION("""COMPUTED_VALUE"""),106.44)</f>
        <v>106.44</v>
      </c>
      <c r="C113" s="1">
        <f>IFERROR(__xludf.DUMMYFUNCTION("""COMPUTED_VALUE"""),107.36)</f>
        <v>107.36</v>
      </c>
      <c r="D113" s="1">
        <f>IFERROR(__xludf.DUMMYFUNCTION("""COMPUTED_VALUE"""),105.99)</f>
        <v>105.99</v>
      </c>
      <c r="E113" s="1">
        <f>IFERROR(__xludf.DUMMYFUNCTION("""COMPUTED_VALUE"""),107.12)</f>
        <v>107.12</v>
      </c>
      <c r="F113" s="1">
        <f>IFERROR(__xludf.DUMMYFUNCTION("""COMPUTED_VALUE"""),0.0)</f>
        <v>0</v>
      </c>
    </row>
    <row r="114" ht="15.75" customHeight="1">
      <c r="A114" s="10">
        <f>IFERROR(__xludf.DUMMYFUNCTION("""COMPUTED_VALUE"""),43836.66666666667)</f>
        <v>43836.66667</v>
      </c>
      <c r="B114" s="1">
        <f>IFERROR(__xludf.DUMMYFUNCTION("""COMPUTED_VALUE"""),106.0)</f>
        <v>106</v>
      </c>
      <c r="C114" s="1">
        <f>IFERROR(__xludf.DUMMYFUNCTION("""COMPUTED_VALUE"""),106.36)</f>
        <v>106.36</v>
      </c>
      <c r="D114" s="1">
        <f>IFERROR(__xludf.DUMMYFUNCTION("""COMPUTED_VALUE"""),105.2)</f>
        <v>105.2</v>
      </c>
      <c r="E114" s="1">
        <f>IFERROR(__xludf.DUMMYFUNCTION("""COMPUTED_VALUE"""),106.19)</f>
        <v>106.19</v>
      </c>
      <c r="F114" s="1">
        <f>IFERROR(__xludf.DUMMYFUNCTION("""COMPUTED_VALUE"""),0.0)</f>
        <v>0</v>
      </c>
    </row>
    <row r="115" ht="15.75" customHeight="1">
      <c r="A115" s="10">
        <f>IFERROR(__xludf.DUMMYFUNCTION("""COMPUTED_VALUE"""),43837.66666666667)</f>
        <v>43837.66667</v>
      </c>
      <c r="B115" s="1">
        <f>IFERROR(__xludf.DUMMYFUNCTION("""COMPUTED_VALUE"""),105.87)</f>
        <v>105.87</v>
      </c>
      <c r="C115" s="1">
        <f>IFERROR(__xludf.DUMMYFUNCTION("""COMPUTED_VALUE"""),105.93)</f>
        <v>105.93</v>
      </c>
      <c r="D115" s="1">
        <f>IFERROR(__xludf.DUMMYFUNCTION("""COMPUTED_VALUE"""),105.01)</f>
        <v>105.01</v>
      </c>
      <c r="E115" s="1">
        <f>IFERROR(__xludf.DUMMYFUNCTION("""COMPUTED_VALUE"""),105.34)</f>
        <v>105.34</v>
      </c>
      <c r="F115" s="1">
        <f>IFERROR(__xludf.DUMMYFUNCTION("""COMPUTED_VALUE"""),0.0)</f>
        <v>0</v>
      </c>
    </row>
    <row r="116" ht="15.75" customHeight="1">
      <c r="A116" s="10">
        <f>IFERROR(__xludf.DUMMYFUNCTION("""COMPUTED_VALUE"""),43838.66666666667)</f>
        <v>43838.66667</v>
      </c>
      <c r="B116" s="1">
        <f>IFERROR(__xludf.DUMMYFUNCTION("""COMPUTED_VALUE"""),105.36)</f>
        <v>105.36</v>
      </c>
      <c r="C116" s="1">
        <f>IFERROR(__xludf.DUMMYFUNCTION("""COMPUTED_VALUE"""),106.6)</f>
        <v>106.6</v>
      </c>
      <c r="D116" s="1">
        <f>IFERROR(__xludf.DUMMYFUNCTION("""COMPUTED_VALUE"""),105.35)</f>
        <v>105.35</v>
      </c>
      <c r="E116" s="1">
        <f>IFERROR(__xludf.DUMMYFUNCTION("""COMPUTED_VALUE"""),106.23)</f>
        <v>106.23</v>
      </c>
      <c r="F116" s="1">
        <f>IFERROR(__xludf.DUMMYFUNCTION("""COMPUTED_VALUE"""),0.0)</f>
        <v>0</v>
      </c>
    </row>
    <row r="117" ht="15.75" customHeight="1">
      <c r="A117" s="10">
        <f>IFERROR(__xludf.DUMMYFUNCTION("""COMPUTED_VALUE"""),43839.66666666667)</f>
        <v>43839.66667</v>
      </c>
      <c r="B117" s="1">
        <f>IFERROR(__xludf.DUMMYFUNCTION("""COMPUTED_VALUE"""),106.8)</f>
        <v>106.8</v>
      </c>
      <c r="C117" s="1">
        <f>IFERROR(__xludf.DUMMYFUNCTION("""COMPUTED_VALUE"""),106.81)</f>
        <v>106.81</v>
      </c>
      <c r="D117" s="1">
        <f>IFERROR(__xludf.DUMMYFUNCTION("""COMPUTED_VALUE"""),106.14)</f>
        <v>106.14</v>
      </c>
      <c r="E117" s="1">
        <f>IFERROR(__xludf.DUMMYFUNCTION("""COMPUTED_VALUE"""),106.36)</f>
        <v>106.36</v>
      </c>
      <c r="F117" s="1">
        <f>IFERROR(__xludf.DUMMYFUNCTION("""COMPUTED_VALUE"""),0.0)</f>
        <v>0</v>
      </c>
    </row>
    <row r="118" ht="15.75" customHeight="1">
      <c r="A118" s="10">
        <f>IFERROR(__xludf.DUMMYFUNCTION("""COMPUTED_VALUE"""),43840.66666666667)</f>
        <v>43840.66667</v>
      </c>
      <c r="B118" s="1">
        <f>IFERROR(__xludf.DUMMYFUNCTION("""COMPUTED_VALUE"""),106.35)</f>
        <v>106.35</v>
      </c>
      <c r="C118" s="1">
        <f>IFERROR(__xludf.DUMMYFUNCTION("""COMPUTED_VALUE"""),106.35)</f>
        <v>106.35</v>
      </c>
      <c r="D118" s="1">
        <f>IFERROR(__xludf.DUMMYFUNCTION("""COMPUTED_VALUE"""),105.29)</f>
        <v>105.29</v>
      </c>
      <c r="E118" s="1">
        <f>IFERROR(__xludf.DUMMYFUNCTION("""COMPUTED_VALUE"""),105.46)</f>
        <v>105.46</v>
      </c>
      <c r="F118" s="1">
        <f>IFERROR(__xludf.DUMMYFUNCTION("""COMPUTED_VALUE"""),0.0)</f>
        <v>0</v>
      </c>
    </row>
    <row r="119" ht="15.75" customHeight="1">
      <c r="A119" s="10">
        <f>IFERROR(__xludf.DUMMYFUNCTION("""COMPUTED_VALUE"""),43843.66666666667)</f>
        <v>43843.66667</v>
      </c>
      <c r="B119" s="1">
        <f>IFERROR(__xludf.DUMMYFUNCTION("""COMPUTED_VALUE"""),105.65)</f>
        <v>105.65</v>
      </c>
      <c r="C119" s="1">
        <f>IFERROR(__xludf.DUMMYFUNCTION("""COMPUTED_VALUE"""),106.03)</f>
        <v>106.03</v>
      </c>
      <c r="D119" s="1">
        <f>IFERROR(__xludf.DUMMYFUNCTION("""COMPUTED_VALUE"""),105.19)</f>
        <v>105.19</v>
      </c>
      <c r="E119" s="1">
        <f>IFERROR(__xludf.DUMMYFUNCTION("""COMPUTED_VALUE"""),106.02)</f>
        <v>106.02</v>
      </c>
      <c r="F119" s="1">
        <f>IFERROR(__xludf.DUMMYFUNCTION("""COMPUTED_VALUE"""),0.0)</f>
        <v>0</v>
      </c>
    </row>
    <row r="120" ht="15.75" customHeight="1">
      <c r="A120" s="10">
        <f>IFERROR(__xludf.DUMMYFUNCTION("""COMPUTED_VALUE"""),43844.66666666667)</f>
        <v>43844.66667</v>
      </c>
      <c r="B120" s="1">
        <f>IFERROR(__xludf.DUMMYFUNCTION("""COMPUTED_VALUE"""),105.9)</f>
        <v>105.9</v>
      </c>
      <c r="C120" s="1">
        <f>IFERROR(__xludf.DUMMYFUNCTION("""COMPUTED_VALUE"""),106.6)</f>
        <v>106.6</v>
      </c>
      <c r="D120" s="1">
        <f>IFERROR(__xludf.DUMMYFUNCTION("""COMPUTED_VALUE"""),105.58)</f>
        <v>105.58</v>
      </c>
      <c r="E120" s="1">
        <f>IFERROR(__xludf.DUMMYFUNCTION("""COMPUTED_VALUE"""),106.11)</f>
        <v>106.11</v>
      </c>
      <c r="F120" s="1">
        <f>IFERROR(__xludf.DUMMYFUNCTION("""COMPUTED_VALUE"""),0.0)</f>
        <v>0</v>
      </c>
    </row>
    <row r="121" ht="15.75" customHeight="1">
      <c r="A121" s="10">
        <f>IFERROR(__xludf.DUMMYFUNCTION("""COMPUTED_VALUE"""),43845.66666666667)</f>
        <v>43845.66667</v>
      </c>
      <c r="B121" s="1">
        <f>IFERROR(__xludf.DUMMYFUNCTION("""COMPUTED_VALUE"""),105.46)</f>
        <v>105.46</v>
      </c>
      <c r="C121" s="1">
        <f>IFERROR(__xludf.DUMMYFUNCTION("""COMPUTED_VALUE"""),105.8)</f>
        <v>105.8</v>
      </c>
      <c r="D121" s="1">
        <f>IFERROR(__xludf.DUMMYFUNCTION("""COMPUTED_VALUE"""),104.63)</f>
        <v>104.63</v>
      </c>
      <c r="E121" s="1">
        <f>IFERROR(__xludf.DUMMYFUNCTION("""COMPUTED_VALUE"""),105.15)</f>
        <v>105.15</v>
      </c>
      <c r="F121" s="1">
        <f>IFERROR(__xludf.DUMMYFUNCTION("""COMPUTED_VALUE"""),0.0)</f>
        <v>0</v>
      </c>
    </row>
    <row r="122" ht="15.75" customHeight="1">
      <c r="A122" s="10">
        <f>IFERROR(__xludf.DUMMYFUNCTION("""COMPUTED_VALUE"""),43846.66666666667)</f>
        <v>43846.66667</v>
      </c>
      <c r="B122" s="1">
        <f>IFERROR(__xludf.DUMMYFUNCTION("""COMPUTED_VALUE"""),105.86)</f>
        <v>105.86</v>
      </c>
      <c r="C122" s="1">
        <f>IFERROR(__xludf.DUMMYFUNCTION("""COMPUTED_VALUE"""),106.87)</f>
        <v>106.87</v>
      </c>
      <c r="D122" s="1">
        <f>IFERROR(__xludf.DUMMYFUNCTION("""COMPUTED_VALUE"""),105.86)</f>
        <v>105.86</v>
      </c>
      <c r="E122" s="1">
        <f>IFERROR(__xludf.DUMMYFUNCTION("""COMPUTED_VALUE"""),106.85)</f>
        <v>106.85</v>
      </c>
      <c r="F122" s="1">
        <f>IFERROR(__xludf.DUMMYFUNCTION("""COMPUTED_VALUE"""),0.0)</f>
        <v>0</v>
      </c>
    </row>
    <row r="123" ht="15.75" customHeight="1">
      <c r="A123" s="10">
        <f>IFERROR(__xludf.DUMMYFUNCTION("""COMPUTED_VALUE"""),43847.66666666667)</f>
        <v>43847.66667</v>
      </c>
      <c r="B123" s="1">
        <f>IFERROR(__xludf.DUMMYFUNCTION("""COMPUTED_VALUE"""),107.44)</f>
        <v>107.44</v>
      </c>
      <c r="C123" s="1">
        <f>IFERROR(__xludf.DUMMYFUNCTION("""COMPUTED_VALUE"""),107.51)</f>
        <v>107.51</v>
      </c>
      <c r="D123" s="1">
        <f>IFERROR(__xludf.DUMMYFUNCTION("""COMPUTED_VALUE"""),106.93)</f>
        <v>106.93</v>
      </c>
      <c r="E123" s="1">
        <f>IFERROR(__xludf.DUMMYFUNCTION("""COMPUTED_VALUE"""),107.13)</f>
        <v>107.13</v>
      </c>
      <c r="F123" s="1">
        <f>IFERROR(__xludf.DUMMYFUNCTION("""COMPUTED_VALUE"""),0.0)</f>
        <v>0</v>
      </c>
    </row>
    <row r="124" ht="15.75" customHeight="1">
      <c r="A124" s="10">
        <f>IFERROR(__xludf.DUMMYFUNCTION("""COMPUTED_VALUE"""),43851.66666666667)</f>
        <v>43851.66667</v>
      </c>
      <c r="B124" s="1">
        <f>IFERROR(__xludf.DUMMYFUNCTION("""COMPUTED_VALUE"""),106.57)</f>
        <v>106.57</v>
      </c>
      <c r="C124" s="1">
        <f>IFERROR(__xludf.DUMMYFUNCTION("""COMPUTED_VALUE"""),106.84)</f>
        <v>106.84</v>
      </c>
      <c r="D124" s="1">
        <f>IFERROR(__xludf.DUMMYFUNCTION("""COMPUTED_VALUE"""),105.58)</f>
        <v>105.58</v>
      </c>
      <c r="E124" s="1">
        <f>IFERROR(__xludf.DUMMYFUNCTION("""COMPUTED_VALUE"""),105.66)</f>
        <v>105.66</v>
      </c>
      <c r="F124" s="1">
        <f>IFERROR(__xludf.DUMMYFUNCTION("""COMPUTED_VALUE"""),0.0)</f>
        <v>0</v>
      </c>
    </row>
    <row r="125" ht="15.75" customHeight="1">
      <c r="A125" s="10">
        <f>IFERROR(__xludf.DUMMYFUNCTION("""COMPUTED_VALUE"""),43852.66666666667)</f>
        <v>43852.66667</v>
      </c>
      <c r="B125" s="1">
        <f>IFERROR(__xludf.DUMMYFUNCTION("""COMPUTED_VALUE"""),105.84)</f>
        <v>105.84</v>
      </c>
      <c r="C125" s="1">
        <f>IFERROR(__xludf.DUMMYFUNCTION("""COMPUTED_VALUE"""),105.97)</f>
        <v>105.97</v>
      </c>
      <c r="D125" s="1">
        <f>IFERROR(__xludf.DUMMYFUNCTION("""COMPUTED_VALUE"""),105.3)</f>
        <v>105.3</v>
      </c>
      <c r="E125" s="1">
        <f>IFERROR(__xludf.DUMMYFUNCTION("""COMPUTED_VALUE"""),105.62)</f>
        <v>105.62</v>
      </c>
      <c r="F125" s="1">
        <f>IFERROR(__xludf.DUMMYFUNCTION("""COMPUTED_VALUE"""),0.0)</f>
        <v>0</v>
      </c>
    </row>
    <row r="126" ht="15.75" customHeight="1">
      <c r="A126" s="10">
        <f>IFERROR(__xludf.DUMMYFUNCTION("""COMPUTED_VALUE"""),43853.66666666667)</f>
        <v>43853.66667</v>
      </c>
      <c r="B126" s="1">
        <f>IFERROR(__xludf.DUMMYFUNCTION("""COMPUTED_VALUE"""),105.63)</f>
        <v>105.63</v>
      </c>
      <c r="C126" s="1">
        <f>IFERROR(__xludf.DUMMYFUNCTION("""COMPUTED_VALUE"""),105.99)</f>
        <v>105.99</v>
      </c>
      <c r="D126" s="1">
        <f>IFERROR(__xludf.DUMMYFUNCTION("""COMPUTED_VALUE"""),104.52)</f>
        <v>104.52</v>
      </c>
      <c r="E126" s="1">
        <f>IFERROR(__xludf.DUMMYFUNCTION("""COMPUTED_VALUE"""),105.77)</f>
        <v>105.77</v>
      </c>
      <c r="F126" s="1">
        <f>IFERROR(__xludf.DUMMYFUNCTION("""COMPUTED_VALUE"""),0.0)</f>
        <v>0</v>
      </c>
    </row>
    <row r="127" ht="15.75" customHeight="1">
      <c r="A127" s="10">
        <f>IFERROR(__xludf.DUMMYFUNCTION("""COMPUTED_VALUE"""),43854.66666666667)</f>
        <v>43854.66667</v>
      </c>
      <c r="B127" s="1">
        <f>IFERROR(__xludf.DUMMYFUNCTION("""COMPUTED_VALUE"""),105.93)</f>
        <v>105.93</v>
      </c>
      <c r="C127" s="1">
        <f>IFERROR(__xludf.DUMMYFUNCTION("""COMPUTED_VALUE"""),106.01)</f>
        <v>106.01</v>
      </c>
      <c r="D127" s="1">
        <f>IFERROR(__xludf.DUMMYFUNCTION("""COMPUTED_VALUE"""),103.23)</f>
        <v>103.23</v>
      </c>
      <c r="E127" s="1">
        <f>IFERROR(__xludf.DUMMYFUNCTION("""COMPUTED_VALUE"""),104.21)</f>
        <v>104.21</v>
      </c>
      <c r="F127" s="1">
        <f>IFERROR(__xludf.DUMMYFUNCTION("""COMPUTED_VALUE"""),0.0)</f>
        <v>0</v>
      </c>
    </row>
    <row r="128" ht="15.75" customHeight="1">
      <c r="A128" s="10">
        <f>IFERROR(__xludf.DUMMYFUNCTION("""COMPUTED_VALUE"""),43857.66666666667)</f>
        <v>43857.66667</v>
      </c>
      <c r="B128" s="1">
        <f>IFERROR(__xludf.DUMMYFUNCTION("""COMPUTED_VALUE"""),102.4)</f>
        <v>102.4</v>
      </c>
      <c r="C128" s="1">
        <f>IFERROR(__xludf.DUMMYFUNCTION("""COMPUTED_VALUE"""),103.39)</f>
        <v>103.39</v>
      </c>
      <c r="D128" s="1">
        <f>IFERROR(__xludf.DUMMYFUNCTION("""COMPUTED_VALUE"""),102.19)</f>
        <v>102.19</v>
      </c>
      <c r="E128" s="1">
        <f>IFERROR(__xludf.DUMMYFUNCTION("""COMPUTED_VALUE"""),102.67)</f>
        <v>102.67</v>
      </c>
      <c r="F128" s="1">
        <f>IFERROR(__xludf.DUMMYFUNCTION("""COMPUTED_VALUE"""),0.0)</f>
        <v>0</v>
      </c>
    </row>
    <row r="129" ht="15.75" customHeight="1">
      <c r="A129" s="10">
        <f>IFERROR(__xludf.DUMMYFUNCTION("""COMPUTED_VALUE"""),43858.66666666667)</f>
        <v>43858.66667</v>
      </c>
      <c r="B129" s="1">
        <f>IFERROR(__xludf.DUMMYFUNCTION("""COMPUTED_VALUE"""),103.51)</f>
        <v>103.51</v>
      </c>
      <c r="C129" s="1">
        <f>IFERROR(__xludf.DUMMYFUNCTION("""COMPUTED_VALUE"""),104.01)</f>
        <v>104.01</v>
      </c>
      <c r="D129" s="1">
        <f>IFERROR(__xludf.DUMMYFUNCTION("""COMPUTED_VALUE"""),102.99)</f>
        <v>102.99</v>
      </c>
      <c r="E129" s="1">
        <f>IFERROR(__xludf.DUMMYFUNCTION("""COMPUTED_VALUE"""),103.29)</f>
        <v>103.29</v>
      </c>
      <c r="F129" s="1">
        <f>IFERROR(__xludf.DUMMYFUNCTION("""COMPUTED_VALUE"""),0.0)</f>
        <v>0</v>
      </c>
    </row>
    <row r="130" ht="15.75" customHeight="1">
      <c r="A130" s="10">
        <f>IFERROR(__xludf.DUMMYFUNCTION("""COMPUTED_VALUE"""),43859.66666666667)</f>
        <v>43859.66667</v>
      </c>
      <c r="B130" s="1">
        <f>IFERROR(__xludf.DUMMYFUNCTION("""COMPUTED_VALUE"""),103.46)</f>
        <v>103.46</v>
      </c>
      <c r="C130" s="1">
        <f>IFERROR(__xludf.DUMMYFUNCTION("""COMPUTED_VALUE"""),103.88)</f>
        <v>103.88</v>
      </c>
      <c r="D130" s="1">
        <f>IFERROR(__xludf.DUMMYFUNCTION("""COMPUTED_VALUE"""),102.1)</f>
        <v>102.1</v>
      </c>
      <c r="E130" s="1">
        <f>IFERROR(__xludf.DUMMYFUNCTION("""COMPUTED_VALUE"""),102.1)</f>
        <v>102.1</v>
      </c>
      <c r="F130" s="1">
        <f>IFERROR(__xludf.DUMMYFUNCTION("""COMPUTED_VALUE"""),0.0)</f>
        <v>0</v>
      </c>
    </row>
    <row r="131" ht="15.75" customHeight="1">
      <c r="A131" s="10">
        <f>IFERROR(__xludf.DUMMYFUNCTION("""COMPUTED_VALUE"""),43860.66666666667)</f>
        <v>43860.66667</v>
      </c>
      <c r="B131" s="1">
        <f>IFERROR(__xludf.DUMMYFUNCTION("""COMPUTED_VALUE"""),101.51)</f>
        <v>101.51</v>
      </c>
      <c r="C131" s="1">
        <f>IFERROR(__xludf.DUMMYFUNCTION("""COMPUTED_VALUE"""),103.22)</f>
        <v>103.22</v>
      </c>
      <c r="D131" s="1">
        <f>IFERROR(__xludf.DUMMYFUNCTION("""COMPUTED_VALUE"""),101.23)</f>
        <v>101.23</v>
      </c>
      <c r="E131" s="1">
        <f>IFERROR(__xludf.DUMMYFUNCTION("""COMPUTED_VALUE"""),103.21)</f>
        <v>103.21</v>
      </c>
      <c r="F131" s="1">
        <f>IFERROR(__xludf.DUMMYFUNCTION("""COMPUTED_VALUE"""),0.0)</f>
        <v>0</v>
      </c>
    </row>
    <row r="132" ht="15.75" customHeight="1">
      <c r="A132" s="10">
        <f>IFERROR(__xludf.DUMMYFUNCTION("""COMPUTED_VALUE"""),43861.66666666667)</f>
        <v>43861.66667</v>
      </c>
      <c r="B132" s="1">
        <f>IFERROR(__xludf.DUMMYFUNCTION("""COMPUTED_VALUE"""),102.23)</f>
        <v>102.23</v>
      </c>
      <c r="C132" s="1">
        <f>IFERROR(__xludf.DUMMYFUNCTION("""COMPUTED_VALUE"""),102.31)</f>
        <v>102.31</v>
      </c>
      <c r="D132" s="1">
        <f>IFERROR(__xludf.DUMMYFUNCTION("""COMPUTED_VALUE"""),100.83)</f>
        <v>100.83</v>
      </c>
      <c r="E132" s="1">
        <f>IFERROR(__xludf.DUMMYFUNCTION("""COMPUTED_VALUE"""),101.05)</f>
        <v>101.05</v>
      </c>
      <c r="F132" s="1">
        <f>IFERROR(__xludf.DUMMYFUNCTION("""COMPUTED_VALUE"""),0.0)</f>
        <v>0</v>
      </c>
    </row>
    <row r="133" ht="15.75" customHeight="1">
      <c r="A133" s="10">
        <f>IFERROR(__xludf.DUMMYFUNCTION("""COMPUTED_VALUE"""),43864.66666666667)</f>
        <v>43864.66667</v>
      </c>
      <c r="B133" s="1">
        <f>IFERROR(__xludf.DUMMYFUNCTION("""COMPUTED_VALUE"""),101.77)</f>
        <v>101.77</v>
      </c>
      <c r="C133" s="1">
        <f>IFERROR(__xludf.DUMMYFUNCTION("""COMPUTED_VALUE"""),102.82)</f>
        <v>102.82</v>
      </c>
      <c r="D133" s="1">
        <f>IFERROR(__xludf.DUMMYFUNCTION("""COMPUTED_VALUE"""),101.74)</f>
        <v>101.74</v>
      </c>
      <c r="E133" s="1">
        <f>IFERROR(__xludf.DUMMYFUNCTION("""COMPUTED_VALUE"""),102.42)</f>
        <v>102.42</v>
      </c>
      <c r="F133" s="1">
        <f>IFERROR(__xludf.DUMMYFUNCTION("""COMPUTED_VALUE"""),0.0)</f>
        <v>0</v>
      </c>
    </row>
    <row r="134" ht="15.75" customHeight="1">
      <c r="A134" s="10">
        <f>IFERROR(__xludf.DUMMYFUNCTION("""COMPUTED_VALUE"""),43865.66666666667)</f>
        <v>43865.66667</v>
      </c>
      <c r="B134" s="1">
        <f>IFERROR(__xludf.DUMMYFUNCTION("""COMPUTED_VALUE"""),103.85)</f>
        <v>103.85</v>
      </c>
      <c r="C134" s="1">
        <f>IFERROR(__xludf.DUMMYFUNCTION("""COMPUTED_VALUE"""),104.19)</f>
        <v>104.19</v>
      </c>
      <c r="D134" s="1">
        <f>IFERROR(__xludf.DUMMYFUNCTION("""COMPUTED_VALUE"""),103.44)</f>
        <v>103.44</v>
      </c>
      <c r="E134" s="1">
        <f>IFERROR(__xludf.DUMMYFUNCTION("""COMPUTED_VALUE"""),103.52)</f>
        <v>103.52</v>
      </c>
      <c r="F134" s="1">
        <f>IFERROR(__xludf.DUMMYFUNCTION("""COMPUTED_VALUE"""),0.0)</f>
        <v>0</v>
      </c>
    </row>
    <row r="135" ht="15.75" customHeight="1">
      <c r="A135" s="10">
        <f>IFERROR(__xludf.DUMMYFUNCTION("""COMPUTED_VALUE"""),43866.66666666667)</f>
        <v>43866.66667</v>
      </c>
      <c r="B135" s="1">
        <f>IFERROR(__xludf.DUMMYFUNCTION("""COMPUTED_VALUE"""),104.82)</f>
        <v>104.82</v>
      </c>
      <c r="C135" s="1">
        <f>IFERROR(__xludf.DUMMYFUNCTION("""COMPUTED_VALUE"""),105.96)</f>
        <v>105.96</v>
      </c>
      <c r="D135" s="1">
        <f>IFERROR(__xludf.DUMMYFUNCTION("""COMPUTED_VALUE"""),104.82)</f>
        <v>104.82</v>
      </c>
      <c r="E135" s="1">
        <f>IFERROR(__xludf.DUMMYFUNCTION("""COMPUTED_VALUE"""),105.79)</f>
        <v>105.79</v>
      </c>
      <c r="F135" s="1">
        <f>IFERROR(__xludf.DUMMYFUNCTION("""COMPUTED_VALUE"""),0.0)</f>
        <v>0</v>
      </c>
    </row>
    <row r="136" ht="15.75" customHeight="1">
      <c r="A136" s="10">
        <f>IFERROR(__xludf.DUMMYFUNCTION("""COMPUTED_VALUE"""),43867.66666666667)</f>
        <v>43867.66667</v>
      </c>
      <c r="B136" s="1">
        <f>IFERROR(__xludf.DUMMYFUNCTION("""COMPUTED_VALUE"""),106.32)</f>
        <v>106.32</v>
      </c>
      <c r="C136" s="1">
        <f>IFERROR(__xludf.DUMMYFUNCTION("""COMPUTED_VALUE"""),106.43)</f>
        <v>106.43</v>
      </c>
      <c r="D136" s="1">
        <f>IFERROR(__xludf.DUMMYFUNCTION("""COMPUTED_VALUE"""),104.42)</f>
        <v>104.42</v>
      </c>
      <c r="E136" s="1">
        <f>IFERROR(__xludf.DUMMYFUNCTION("""COMPUTED_VALUE"""),104.48)</f>
        <v>104.48</v>
      </c>
      <c r="F136" s="1">
        <f>IFERROR(__xludf.DUMMYFUNCTION("""COMPUTED_VALUE"""),0.0)</f>
        <v>0</v>
      </c>
    </row>
    <row r="137" ht="15.75" customHeight="1">
      <c r="A137" s="10">
        <f>IFERROR(__xludf.DUMMYFUNCTION("""COMPUTED_VALUE"""),43868.66666666667)</f>
        <v>43868.66667</v>
      </c>
      <c r="B137" s="1">
        <f>IFERROR(__xludf.DUMMYFUNCTION("""COMPUTED_VALUE"""),103.83)</f>
        <v>103.83</v>
      </c>
      <c r="C137" s="1">
        <f>IFERROR(__xludf.DUMMYFUNCTION("""COMPUTED_VALUE"""),103.96)</f>
        <v>103.96</v>
      </c>
      <c r="D137" s="1">
        <f>IFERROR(__xludf.DUMMYFUNCTION("""COMPUTED_VALUE"""),103.16)</f>
        <v>103.16</v>
      </c>
      <c r="E137" s="1">
        <f>IFERROR(__xludf.DUMMYFUNCTION("""COMPUTED_VALUE"""),103.29)</f>
        <v>103.29</v>
      </c>
      <c r="F137" s="1">
        <f>IFERROR(__xludf.DUMMYFUNCTION("""COMPUTED_VALUE"""),0.0)</f>
        <v>0</v>
      </c>
    </row>
    <row r="138" ht="15.75" customHeight="1">
      <c r="A138" s="10">
        <f>IFERROR(__xludf.DUMMYFUNCTION("""COMPUTED_VALUE"""),43871.66666666667)</f>
        <v>43871.66667</v>
      </c>
      <c r="B138" s="1">
        <f>IFERROR(__xludf.DUMMYFUNCTION("""COMPUTED_VALUE"""),102.8)</f>
        <v>102.8</v>
      </c>
      <c r="C138" s="1">
        <f>IFERROR(__xludf.DUMMYFUNCTION("""COMPUTED_VALUE"""),103.39)</f>
        <v>103.39</v>
      </c>
      <c r="D138" s="1">
        <f>IFERROR(__xludf.DUMMYFUNCTION("""COMPUTED_VALUE"""),102.7)</f>
        <v>102.7</v>
      </c>
      <c r="E138" s="1">
        <f>IFERROR(__xludf.DUMMYFUNCTION("""COMPUTED_VALUE"""),103.37)</f>
        <v>103.37</v>
      </c>
      <c r="F138" s="1">
        <f>IFERROR(__xludf.DUMMYFUNCTION("""COMPUTED_VALUE"""),0.0)</f>
        <v>0</v>
      </c>
    </row>
    <row r="139" ht="15.75" customHeight="1">
      <c r="A139" s="10">
        <f>IFERROR(__xludf.DUMMYFUNCTION("""COMPUTED_VALUE"""),43872.66666666667)</f>
        <v>43872.66667</v>
      </c>
      <c r="B139" s="1">
        <f>IFERROR(__xludf.DUMMYFUNCTION("""COMPUTED_VALUE"""),103.78)</f>
        <v>103.78</v>
      </c>
      <c r="C139" s="1">
        <f>IFERROR(__xludf.DUMMYFUNCTION("""COMPUTED_VALUE"""),104.76)</f>
        <v>104.76</v>
      </c>
      <c r="D139" s="1">
        <f>IFERROR(__xludf.DUMMYFUNCTION("""COMPUTED_VALUE"""),103.78)</f>
        <v>103.78</v>
      </c>
      <c r="E139" s="1">
        <f>IFERROR(__xludf.DUMMYFUNCTION("""COMPUTED_VALUE"""),103.83)</f>
        <v>103.83</v>
      </c>
      <c r="F139" s="1">
        <f>IFERROR(__xludf.DUMMYFUNCTION("""COMPUTED_VALUE"""),0.0)</f>
        <v>0</v>
      </c>
    </row>
    <row r="140" ht="15.75" customHeight="1">
      <c r="A140" s="10">
        <f>IFERROR(__xludf.DUMMYFUNCTION("""COMPUTED_VALUE"""),43873.66666666667)</f>
        <v>43873.66667</v>
      </c>
      <c r="B140" s="1">
        <f>IFERROR(__xludf.DUMMYFUNCTION("""COMPUTED_VALUE"""),104.67)</f>
        <v>104.67</v>
      </c>
      <c r="C140" s="1">
        <f>IFERROR(__xludf.DUMMYFUNCTION("""COMPUTED_VALUE"""),104.82)</f>
        <v>104.82</v>
      </c>
      <c r="D140" s="1">
        <f>IFERROR(__xludf.DUMMYFUNCTION("""COMPUTED_VALUE"""),103.7)</f>
        <v>103.7</v>
      </c>
      <c r="E140" s="1">
        <f>IFERROR(__xludf.DUMMYFUNCTION("""COMPUTED_VALUE"""),104.2)</f>
        <v>104.2</v>
      </c>
      <c r="F140" s="1">
        <f>IFERROR(__xludf.DUMMYFUNCTION("""COMPUTED_VALUE"""),0.0)</f>
        <v>0</v>
      </c>
    </row>
    <row r="141" ht="15.75" customHeight="1">
      <c r="A141" s="10">
        <f>IFERROR(__xludf.DUMMYFUNCTION("""COMPUTED_VALUE"""),43874.66666666667)</f>
        <v>43874.66667</v>
      </c>
      <c r="B141" s="1">
        <f>IFERROR(__xludf.DUMMYFUNCTION("""COMPUTED_VALUE"""),103.59)</f>
        <v>103.59</v>
      </c>
      <c r="C141" s="1">
        <f>IFERROR(__xludf.DUMMYFUNCTION("""COMPUTED_VALUE"""),104.77)</f>
        <v>104.77</v>
      </c>
      <c r="D141" s="1">
        <f>IFERROR(__xludf.DUMMYFUNCTION("""COMPUTED_VALUE"""),103.55)</f>
        <v>103.55</v>
      </c>
      <c r="E141" s="1">
        <f>IFERROR(__xludf.DUMMYFUNCTION("""COMPUTED_VALUE"""),104.73)</f>
        <v>104.73</v>
      </c>
      <c r="F141" s="1">
        <f>IFERROR(__xludf.DUMMYFUNCTION("""COMPUTED_VALUE"""),0.0)</f>
        <v>0</v>
      </c>
    </row>
    <row r="142" ht="15.75" customHeight="1">
      <c r="A142" s="10">
        <f>IFERROR(__xludf.DUMMYFUNCTION("""COMPUTED_VALUE"""),43875.66666666667)</f>
        <v>43875.66667</v>
      </c>
      <c r="B142" s="1">
        <f>IFERROR(__xludf.DUMMYFUNCTION("""COMPUTED_VALUE"""),104.64)</f>
        <v>104.64</v>
      </c>
      <c r="C142" s="1">
        <f>IFERROR(__xludf.DUMMYFUNCTION("""COMPUTED_VALUE"""),104.68)</f>
        <v>104.68</v>
      </c>
      <c r="D142" s="1">
        <f>IFERROR(__xludf.DUMMYFUNCTION("""COMPUTED_VALUE"""),103.67)</f>
        <v>103.67</v>
      </c>
      <c r="E142" s="1">
        <f>IFERROR(__xludf.DUMMYFUNCTION("""COMPUTED_VALUE"""),103.88)</f>
        <v>103.88</v>
      </c>
      <c r="F142" s="1">
        <f>IFERROR(__xludf.DUMMYFUNCTION("""COMPUTED_VALUE"""),0.0)</f>
        <v>0</v>
      </c>
    </row>
    <row r="143" ht="15.75" customHeight="1">
      <c r="A143" s="10">
        <f>IFERROR(__xludf.DUMMYFUNCTION("""COMPUTED_VALUE"""),43879.66666666667)</f>
        <v>43879.66667</v>
      </c>
      <c r="B143" s="1">
        <f>IFERROR(__xludf.DUMMYFUNCTION("""COMPUTED_VALUE"""),103.4)</f>
        <v>103.4</v>
      </c>
      <c r="C143" s="1">
        <f>IFERROR(__xludf.DUMMYFUNCTION("""COMPUTED_VALUE"""),103.68)</f>
        <v>103.68</v>
      </c>
      <c r="D143" s="1">
        <f>IFERROR(__xludf.DUMMYFUNCTION("""COMPUTED_VALUE"""),102.08)</f>
        <v>102.08</v>
      </c>
      <c r="E143" s="1">
        <f>IFERROR(__xludf.DUMMYFUNCTION("""COMPUTED_VALUE"""),102.56)</f>
        <v>102.56</v>
      </c>
      <c r="F143" s="1">
        <f>IFERROR(__xludf.DUMMYFUNCTION("""COMPUTED_VALUE"""),0.0)</f>
        <v>0</v>
      </c>
    </row>
    <row r="144" ht="15.75" customHeight="1">
      <c r="A144" s="10">
        <f>IFERROR(__xludf.DUMMYFUNCTION("""COMPUTED_VALUE"""),43880.66666666667)</f>
        <v>43880.66667</v>
      </c>
      <c r="B144" s="1">
        <f>IFERROR(__xludf.DUMMYFUNCTION("""COMPUTED_VALUE"""),102.92)</f>
        <v>102.92</v>
      </c>
      <c r="C144" s="1">
        <f>IFERROR(__xludf.DUMMYFUNCTION("""COMPUTED_VALUE"""),103.3)</f>
        <v>103.3</v>
      </c>
      <c r="D144" s="1">
        <f>IFERROR(__xludf.DUMMYFUNCTION("""COMPUTED_VALUE"""),102.87)</f>
        <v>102.87</v>
      </c>
      <c r="E144" s="1">
        <f>IFERROR(__xludf.DUMMYFUNCTION("""COMPUTED_VALUE"""),102.97)</f>
        <v>102.97</v>
      </c>
      <c r="F144" s="1">
        <f>IFERROR(__xludf.DUMMYFUNCTION("""COMPUTED_VALUE"""),0.0)</f>
        <v>0</v>
      </c>
    </row>
    <row r="145" ht="15.75" customHeight="1">
      <c r="A145" s="10">
        <f>IFERROR(__xludf.DUMMYFUNCTION("""COMPUTED_VALUE"""),43881.66666666667)</f>
        <v>43881.66667</v>
      </c>
      <c r="B145" s="1">
        <f>IFERROR(__xludf.DUMMYFUNCTION("""COMPUTED_VALUE"""),102.77)</f>
        <v>102.77</v>
      </c>
      <c r="C145" s="1">
        <f>IFERROR(__xludf.DUMMYFUNCTION("""COMPUTED_VALUE"""),104.31)</f>
        <v>104.31</v>
      </c>
      <c r="D145" s="1">
        <f>IFERROR(__xludf.DUMMYFUNCTION("""COMPUTED_VALUE"""),102.76)</f>
        <v>102.76</v>
      </c>
      <c r="E145" s="1">
        <f>IFERROR(__xludf.DUMMYFUNCTION("""COMPUTED_VALUE"""),104.01)</f>
        <v>104.01</v>
      </c>
      <c r="F145" s="1">
        <f>IFERROR(__xludf.DUMMYFUNCTION("""COMPUTED_VALUE"""),0.0)</f>
        <v>0</v>
      </c>
    </row>
    <row r="146" ht="15.75" customHeight="1">
      <c r="A146" s="10">
        <f>IFERROR(__xludf.DUMMYFUNCTION("""COMPUTED_VALUE"""),43882.66666666667)</f>
        <v>43882.66667</v>
      </c>
      <c r="B146" s="1">
        <f>IFERROR(__xludf.DUMMYFUNCTION("""COMPUTED_VALUE"""),103.47)</f>
        <v>103.47</v>
      </c>
      <c r="C146" s="1">
        <f>IFERROR(__xludf.DUMMYFUNCTION("""COMPUTED_VALUE"""),103.49)</f>
        <v>103.49</v>
      </c>
      <c r="D146" s="1">
        <f>IFERROR(__xludf.DUMMYFUNCTION("""COMPUTED_VALUE"""),102.11)</f>
        <v>102.11</v>
      </c>
      <c r="E146" s="1">
        <f>IFERROR(__xludf.DUMMYFUNCTION("""COMPUTED_VALUE"""),102.5)</f>
        <v>102.5</v>
      </c>
      <c r="F146" s="1">
        <f>IFERROR(__xludf.DUMMYFUNCTION("""COMPUTED_VALUE"""),0.0)</f>
        <v>0</v>
      </c>
    </row>
    <row r="147" ht="15.75" customHeight="1">
      <c r="A147" s="10">
        <f>IFERROR(__xludf.DUMMYFUNCTION("""COMPUTED_VALUE"""),43885.66666666667)</f>
        <v>43885.66667</v>
      </c>
      <c r="B147" s="1">
        <f>IFERROR(__xludf.DUMMYFUNCTION("""COMPUTED_VALUE"""),99.83)</f>
        <v>99.83</v>
      </c>
      <c r="C147" s="1">
        <f>IFERROR(__xludf.DUMMYFUNCTION("""COMPUTED_VALUE"""),100.03)</f>
        <v>100.03</v>
      </c>
      <c r="D147" s="1">
        <f>IFERROR(__xludf.DUMMYFUNCTION("""COMPUTED_VALUE"""),98.75)</f>
        <v>98.75</v>
      </c>
      <c r="E147" s="1">
        <f>IFERROR(__xludf.DUMMYFUNCTION("""COMPUTED_VALUE"""),99.52)</f>
        <v>99.52</v>
      </c>
      <c r="F147" s="1">
        <f>IFERROR(__xludf.DUMMYFUNCTION("""COMPUTED_VALUE"""),0.0)</f>
        <v>0</v>
      </c>
    </row>
    <row r="148" ht="15.75" customHeight="1">
      <c r="A148" s="10">
        <f>IFERROR(__xludf.DUMMYFUNCTION("""COMPUTED_VALUE"""),43886.66666666667)</f>
        <v>43886.66667</v>
      </c>
      <c r="B148" s="1">
        <f>IFERROR(__xludf.DUMMYFUNCTION("""COMPUTED_VALUE"""),99.59)</f>
        <v>99.59</v>
      </c>
      <c r="C148" s="1">
        <f>IFERROR(__xludf.DUMMYFUNCTION("""COMPUTED_VALUE"""),99.6)</f>
        <v>99.6</v>
      </c>
      <c r="D148" s="1">
        <f>IFERROR(__xludf.DUMMYFUNCTION("""COMPUTED_VALUE"""),95.7)</f>
        <v>95.7</v>
      </c>
      <c r="E148" s="1">
        <f>IFERROR(__xludf.DUMMYFUNCTION("""COMPUTED_VALUE"""),95.92)</f>
        <v>95.92</v>
      </c>
      <c r="F148" s="1">
        <f>IFERROR(__xludf.DUMMYFUNCTION("""COMPUTED_VALUE"""),0.0)</f>
        <v>0</v>
      </c>
    </row>
    <row r="149" ht="15.75" customHeight="1">
      <c r="A149" s="10">
        <f>IFERROR(__xludf.DUMMYFUNCTION("""COMPUTED_VALUE"""),43887.66666666667)</f>
        <v>43887.66667</v>
      </c>
      <c r="B149" s="1">
        <f>IFERROR(__xludf.DUMMYFUNCTION("""COMPUTED_VALUE"""),96.65)</f>
        <v>96.65</v>
      </c>
      <c r="C149" s="1">
        <f>IFERROR(__xludf.DUMMYFUNCTION("""COMPUTED_VALUE"""),97.07)</f>
        <v>97.07</v>
      </c>
      <c r="D149" s="1">
        <f>IFERROR(__xludf.DUMMYFUNCTION("""COMPUTED_VALUE"""),94.47)</f>
        <v>94.47</v>
      </c>
      <c r="E149" s="1">
        <f>IFERROR(__xludf.DUMMYFUNCTION("""COMPUTED_VALUE"""),94.65)</f>
        <v>94.65</v>
      </c>
      <c r="F149" s="1">
        <f>IFERROR(__xludf.DUMMYFUNCTION("""COMPUTED_VALUE"""),0.0)</f>
        <v>0</v>
      </c>
    </row>
    <row r="150" ht="15.75" customHeight="1">
      <c r="A150" s="10">
        <f>IFERROR(__xludf.DUMMYFUNCTION("""COMPUTED_VALUE"""),43888.66666666667)</f>
        <v>43888.66667</v>
      </c>
      <c r="B150" s="1">
        <f>IFERROR(__xludf.DUMMYFUNCTION("""COMPUTED_VALUE"""),92.69)</f>
        <v>92.69</v>
      </c>
      <c r="C150" s="1">
        <f>IFERROR(__xludf.DUMMYFUNCTION("""COMPUTED_VALUE"""),95.24)</f>
        <v>95.24</v>
      </c>
      <c r="D150" s="1">
        <f>IFERROR(__xludf.DUMMYFUNCTION("""COMPUTED_VALUE"""),91.25)</f>
        <v>91.25</v>
      </c>
      <c r="E150" s="1">
        <f>IFERROR(__xludf.DUMMYFUNCTION("""COMPUTED_VALUE"""),91.32)</f>
        <v>91.32</v>
      </c>
      <c r="F150" s="1">
        <f>IFERROR(__xludf.DUMMYFUNCTION("""COMPUTED_VALUE"""),0.0)</f>
        <v>0</v>
      </c>
    </row>
    <row r="151" ht="15.75" customHeight="1">
      <c r="A151" s="10">
        <f>IFERROR(__xludf.DUMMYFUNCTION("""COMPUTED_VALUE"""),43889.66666666667)</f>
        <v>43889.66667</v>
      </c>
      <c r="B151" s="1">
        <f>IFERROR(__xludf.DUMMYFUNCTION("""COMPUTED_VALUE"""),88.91)</f>
        <v>88.91</v>
      </c>
      <c r="C151" s="1">
        <f>IFERROR(__xludf.DUMMYFUNCTION("""COMPUTED_VALUE"""),89.89)</f>
        <v>89.89</v>
      </c>
      <c r="D151" s="1">
        <f>IFERROR(__xludf.DUMMYFUNCTION("""COMPUTED_VALUE"""),86.31)</f>
        <v>86.31</v>
      </c>
      <c r="E151" s="1">
        <f>IFERROR(__xludf.DUMMYFUNCTION("""COMPUTED_VALUE"""),87.88)</f>
        <v>87.88</v>
      </c>
      <c r="F151" s="1">
        <f>IFERROR(__xludf.DUMMYFUNCTION("""COMPUTED_VALUE"""),0.0)</f>
        <v>0</v>
      </c>
    </row>
    <row r="152" ht="15.75" customHeight="1">
      <c r="A152" s="10">
        <f>IFERROR(__xludf.DUMMYFUNCTION("""COMPUTED_VALUE"""),43892.66666666667)</f>
        <v>43892.66667</v>
      </c>
      <c r="B152" s="1">
        <f>IFERROR(__xludf.DUMMYFUNCTION("""COMPUTED_VALUE"""),88.0)</f>
        <v>88</v>
      </c>
      <c r="C152" s="1">
        <f>IFERROR(__xludf.DUMMYFUNCTION("""COMPUTED_VALUE"""),92.13)</f>
        <v>92.13</v>
      </c>
      <c r="D152" s="1">
        <f>IFERROR(__xludf.DUMMYFUNCTION("""COMPUTED_VALUE"""),87.4)</f>
        <v>87.4</v>
      </c>
      <c r="E152" s="1">
        <f>IFERROR(__xludf.DUMMYFUNCTION("""COMPUTED_VALUE"""),92.13)</f>
        <v>92.13</v>
      </c>
      <c r="F152" s="1">
        <f>IFERROR(__xludf.DUMMYFUNCTION("""COMPUTED_VALUE"""),0.0)</f>
        <v>0</v>
      </c>
    </row>
    <row r="153" ht="15.75" customHeight="1">
      <c r="A153" s="10">
        <f>IFERROR(__xludf.DUMMYFUNCTION("""COMPUTED_VALUE"""),43893.66666666667)</f>
        <v>43893.66667</v>
      </c>
      <c r="B153" s="1">
        <f>IFERROR(__xludf.DUMMYFUNCTION("""COMPUTED_VALUE"""),91.82)</f>
        <v>91.82</v>
      </c>
      <c r="C153" s="1">
        <f>IFERROR(__xludf.DUMMYFUNCTION("""COMPUTED_VALUE"""),92.86)</f>
        <v>92.86</v>
      </c>
      <c r="D153" s="1">
        <f>IFERROR(__xludf.DUMMYFUNCTION("""COMPUTED_VALUE"""),87.99)</f>
        <v>87.99</v>
      </c>
      <c r="E153" s="1">
        <f>IFERROR(__xludf.DUMMYFUNCTION("""COMPUTED_VALUE"""),88.85)</f>
        <v>88.85</v>
      </c>
      <c r="F153" s="1">
        <f>IFERROR(__xludf.DUMMYFUNCTION("""COMPUTED_VALUE"""),0.0)</f>
        <v>0</v>
      </c>
    </row>
    <row r="154" ht="15.75" customHeight="1">
      <c r="A154" s="10">
        <f>IFERROR(__xludf.DUMMYFUNCTION("""COMPUTED_VALUE"""),43894.66666666667)</f>
        <v>43894.66667</v>
      </c>
      <c r="B154" s="1">
        <f>IFERROR(__xludf.DUMMYFUNCTION("""COMPUTED_VALUE"""),89.85)</f>
        <v>89.85</v>
      </c>
      <c r="C154" s="1">
        <f>IFERROR(__xludf.DUMMYFUNCTION("""COMPUTED_VALUE"""),90.77)</f>
        <v>90.77</v>
      </c>
      <c r="D154" s="1">
        <f>IFERROR(__xludf.DUMMYFUNCTION("""COMPUTED_VALUE"""),87.55)</f>
        <v>87.55</v>
      </c>
      <c r="E154" s="1">
        <f>IFERROR(__xludf.DUMMYFUNCTION("""COMPUTED_VALUE"""),90.58)</f>
        <v>90.58</v>
      </c>
      <c r="F154" s="1">
        <f>IFERROR(__xludf.DUMMYFUNCTION("""COMPUTED_VALUE"""),0.0)</f>
        <v>0</v>
      </c>
    </row>
    <row r="155" ht="15.75" customHeight="1">
      <c r="A155" s="10">
        <f>IFERROR(__xludf.DUMMYFUNCTION("""COMPUTED_VALUE"""),43895.66666666667)</f>
        <v>43895.66667</v>
      </c>
      <c r="B155" s="1">
        <f>IFERROR(__xludf.DUMMYFUNCTION("""COMPUTED_VALUE"""),88.24)</f>
        <v>88.24</v>
      </c>
      <c r="C155" s="1">
        <f>IFERROR(__xludf.DUMMYFUNCTION("""COMPUTED_VALUE"""),88.24)</f>
        <v>88.24</v>
      </c>
      <c r="D155" s="1">
        <f>IFERROR(__xludf.DUMMYFUNCTION("""COMPUTED_VALUE"""),85.15)</f>
        <v>85.15</v>
      </c>
      <c r="E155" s="1">
        <f>IFERROR(__xludf.DUMMYFUNCTION("""COMPUTED_VALUE"""),86.29)</f>
        <v>86.29</v>
      </c>
      <c r="F155" s="1">
        <f>IFERROR(__xludf.DUMMYFUNCTION("""COMPUTED_VALUE"""),0.0)</f>
        <v>0</v>
      </c>
    </row>
    <row r="156" ht="15.75" customHeight="1">
      <c r="A156" s="10">
        <f>IFERROR(__xludf.DUMMYFUNCTION("""COMPUTED_VALUE"""),43896.66666666667)</f>
        <v>43896.66667</v>
      </c>
      <c r="B156" s="1">
        <f>IFERROR(__xludf.DUMMYFUNCTION("""COMPUTED_VALUE"""),83.88)</f>
        <v>83.88</v>
      </c>
      <c r="C156" s="1">
        <f>IFERROR(__xludf.DUMMYFUNCTION("""COMPUTED_VALUE"""),85.19)</f>
        <v>85.19</v>
      </c>
      <c r="D156" s="1">
        <f>IFERROR(__xludf.DUMMYFUNCTION("""COMPUTED_VALUE"""),81.53)</f>
        <v>81.53</v>
      </c>
      <c r="E156" s="1">
        <f>IFERROR(__xludf.DUMMYFUNCTION("""COMPUTED_VALUE"""),83.14)</f>
        <v>83.14</v>
      </c>
      <c r="F156" s="1">
        <f>IFERROR(__xludf.DUMMYFUNCTION("""COMPUTED_VALUE"""),0.0)</f>
        <v>0</v>
      </c>
    </row>
    <row r="157" ht="15.75" customHeight="1">
      <c r="A157" s="10">
        <f>IFERROR(__xludf.DUMMYFUNCTION("""COMPUTED_VALUE"""),43899.66666666667)</f>
        <v>43899.66667</v>
      </c>
      <c r="B157" s="1">
        <f>IFERROR(__xludf.DUMMYFUNCTION("""COMPUTED_VALUE"""),78.17)</f>
        <v>78.17</v>
      </c>
      <c r="C157" s="1">
        <f>IFERROR(__xludf.DUMMYFUNCTION("""COMPUTED_VALUE"""),78.47)</f>
        <v>78.47</v>
      </c>
      <c r="D157" s="1">
        <f>IFERROR(__xludf.DUMMYFUNCTION("""COMPUTED_VALUE"""),70.49)</f>
        <v>70.49</v>
      </c>
      <c r="E157" s="1">
        <f>IFERROR(__xludf.DUMMYFUNCTION("""COMPUTED_VALUE"""),70.52)</f>
        <v>70.52</v>
      </c>
      <c r="F157" s="1">
        <f>IFERROR(__xludf.DUMMYFUNCTION("""COMPUTED_VALUE"""),0.0)</f>
        <v>0</v>
      </c>
    </row>
    <row r="158" ht="15.75" customHeight="1">
      <c r="A158" s="10">
        <f>IFERROR(__xludf.DUMMYFUNCTION("""COMPUTED_VALUE"""),43900.66666666667)</f>
        <v>43900.66667</v>
      </c>
      <c r="B158" s="1">
        <f>IFERROR(__xludf.DUMMYFUNCTION("""COMPUTED_VALUE"""),73.3)</f>
        <v>73.3</v>
      </c>
      <c r="C158" s="1">
        <f>IFERROR(__xludf.DUMMYFUNCTION("""COMPUTED_VALUE"""),75.32)</f>
        <v>75.32</v>
      </c>
      <c r="D158" s="1">
        <f>IFERROR(__xludf.DUMMYFUNCTION("""COMPUTED_VALUE"""),70.63)</f>
        <v>70.63</v>
      </c>
      <c r="E158" s="1">
        <f>IFERROR(__xludf.DUMMYFUNCTION("""COMPUTED_VALUE"""),75.32)</f>
        <v>75.32</v>
      </c>
      <c r="F158" s="1">
        <f>IFERROR(__xludf.DUMMYFUNCTION("""COMPUTED_VALUE"""),0.0)</f>
        <v>0</v>
      </c>
    </row>
    <row r="159" ht="15.75" customHeight="1">
      <c r="A159" s="10">
        <f>IFERROR(__xludf.DUMMYFUNCTION("""COMPUTED_VALUE"""),43901.66666666667)</f>
        <v>43901.66667</v>
      </c>
      <c r="B159" s="1">
        <f>IFERROR(__xludf.DUMMYFUNCTION("""COMPUTED_VALUE"""),72.91)</f>
        <v>72.91</v>
      </c>
      <c r="C159" s="1">
        <f>IFERROR(__xludf.DUMMYFUNCTION("""COMPUTED_VALUE"""),73.61)</f>
        <v>73.61</v>
      </c>
      <c r="D159" s="1">
        <f>IFERROR(__xludf.DUMMYFUNCTION("""COMPUTED_VALUE"""),69.36)</f>
        <v>69.36</v>
      </c>
      <c r="E159" s="1">
        <f>IFERROR(__xludf.DUMMYFUNCTION("""COMPUTED_VALUE"""),70.25)</f>
        <v>70.25</v>
      </c>
      <c r="F159" s="1">
        <f>IFERROR(__xludf.DUMMYFUNCTION("""COMPUTED_VALUE"""),0.0)</f>
        <v>0</v>
      </c>
    </row>
    <row r="160" ht="15.75" customHeight="1">
      <c r="A160" s="10">
        <f>IFERROR(__xludf.DUMMYFUNCTION("""COMPUTED_VALUE"""),43902.66666666667)</f>
        <v>43902.66667</v>
      </c>
      <c r="B160" s="1">
        <f>IFERROR(__xludf.DUMMYFUNCTION("""COMPUTED_VALUE"""),65.8)</f>
        <v>65.8</v>
      </c>
      <c r="C160" s="1">
        <f>IFERROR(__xludf.DUMMYFUNCTION("""COMPUTED_VALUE"""),69.75)</f>
        <v>69.75</v>
      </c>
      <c r="D160" s="1">
        <f>IFERROR(__xludf.DUMMYFUNCTION("""COMPUTED_VALUE"""),62.48)</f>
        <v>62.48</v>
      </c>
      <c r="E160" s="1">
        <f>IFERROR(__xludf.DUMMYFUNCTION("""COMPUTED_VALUE"""),64.6)</f>
        <v>64.6</v>
      </c>
      <c r="F160" s="1">
        <f>IFERROR(__xludf.DUMMYFUNCTION("""COMPUTED_VALUE"""),0.0)</f>
        <v>0</v>
      </c>
    </row>
    <row r="161" ht="15.75" customHeight="1">
      <c r="A161" s="10">
        <f>IFERROR(__xludf.DUMMYFUNCTION("""COMPUTED_VALUE"""),43903.66666666667)</f>
        <v>43903.66667</v>
      </c>
      <c r="B161" s="1">
        <f>IFERROR(__xludf.DUMMYFUNCTION("""COMPUTED_VALUE"""),68.38)</f>
        <v>68.38</v>
      </c>
      <c r="C161" s="1">
        <f>IFERROR(__xludf.DUMMYFUNCTION("""COMPUTED_VALUE"""),71.7)</f>
        <v>71.7</v>
      </c>
      <c r="D161" s="1">
        <f>IFERROR(__xludf.DUMMYFUNCTION("""COMPUTED_VALUE"""),65.78)</f>
        <v>65.78</v>
      </c>
      <c r="E161" s="1">
        <f>IFERROR(__xludf.DUMMYFUNCTION("""COMPUTED_VALUE"""),71.7)</f>
        <v>71.7</v>
      </c>
      <c r="F161" s="1">
        <f>IFERROR(__xludf.DUMMYFUNCTION("""COMPUTED_VALUE"""),0.0)</f>
        <v>0</v>
      </c>
    </row>
    <row r="162" ht="15.75" customHeight="1">
      <c r="A162" s="10">
        <f>IFERROR(__xludf.DUMMYFUNCTION("""COMPUTED_VALUE"""),43906.66666666667)</f>
        <v>43906.66667</v>
      </c>
      <c r="B162" s="1">
        <f>IFERROR(__xludf.DUMMYFUNCTION("""COMPUTED_VALUE"""),68.75)</f>
        <v>68.75</v>
      </c>
      <c r="C162" s="1">
        <f>IFERROR(__xludf.DUMMYFUNCTION("""COMPUTED_VALUE"""),68.75)</f>
        <v>68.75</v>
      </c>
      <c r="D162" s="1">
        <f>IFERROR(__xludf.DUMMYFUNCTION("""COMPUTED_VALUE"""),63.41)</f>
        <v>63.41</v>
      </c>
      <c r="E162" s="1">
        <f>IFERROR(__xludf.DUMMYFUNCTION("""COMPUTED_VALUE"""),63.47)</f>
        <v>63.47</v>
      </c>
      <c r="F162" s="1">
        <f>IFERROR(__xludf.DUMMYFUNCTION("""COMPUTED_VALUE"""),0.0)</f>
        <v>0</v>
      </c>
    </row>
    <row r="163" ht="15.75" customHeight="1">
      <c r="A163" s="10">
        <f>IFERROR(__xludf.DUMMYFUNCTION("""COMPUTED_VALUE"""),43907.66666666667)</f>
        <v>43907.66667</v>
      </c>
      <c r="B163" s="1">
        <f>IFERROR(__xludf.DUMMYFUNCTION("""COMPUTED_VALUE"""),64.57)</f>
        <v>64.57</v>
      </c>
      <c r="C163" s="1">
        <f>IFERROR(__xludf.DUMMYFUNCTION("""COMPUTED_VALUE"""),69.14)</f>
        <v>69.14</v>
      </c>
      <c r="D163" s="1">
        <f>IFERROR(__xludf.DUMMYFUNCTION("""COMPUTED_VALUE"""),62.52)</f>
        <v>62.52</v>
      </c>
      <c r="E163" s="1">
        <f>IFERROR(__xludf.DUMMYFUNCTION("""COMPUTED_VALUE"""),69.11)</f>
        <v>69.11</v>
      </c>
      <c r="F163" s="1">
        <f>IFERROR(__xludf.DUMMYFUNCTION("""COMPUTED_VALUE"""),0.0)</f>
        <v>0</v>
      </c>
    </row>
    <row r="164" ht="15.75" customHeight="1">
      <c r="A164" s="10">
        <f>IFERROR(__xludf.DUMMYFUNCTION("""COMPUTED_VALUE"""),43908.66666666667)</f>
        <v>43908.66667</v>
      </c>
      <c r="B164" s="1">
        <f>IFERROR(__xludf.DUMMYFUNCTION("""COMPUTED_VALUE"""),65.02)</f>
        <v>65.02</v>
      </c>
      <c r="C164" s="1">
        <f>IFERROR(__xludf.DUMMYFUNCTION("""COMPUTED_VALUE"""),66.01)</f>
        <v>66.01</v>
      </c>
      <c r="D164" s="1">
        <f>IFERROR(__xludf.DUMMYFUNCTION("""COMPUTED_VALUE"""),60.1)</f>
        <v>60.1</v>
      </c>
      <c r="E164" s="1">
        <f>IFERROR(__xludf.DUMMYFUNCTION("""COMPUTED_VALUE"""),61.67)</f>
        <v>61.67</v>
      </c>
      <c r="F164" s="1">
        <f>IFERROR(__xludf.DUMMYFUNCTION("""COMPUTED_VALUE"""),0.0)</f>
        <v>0</v>
      </c>
    </row>
    <row r="165" ht="15.75" customHeight="1">
      <c r="A165" s="10">
        <f>IFERROR(__xludf.DUMMYFUNCTION("""COMPUTED_VALUE"""),43909.66666666667)</f>
        <v>43909.66667</v>
      </c>
      <c r="B165" s="1">
        <f>IFERROR(__xludf.DUMMYFUNCTION("""COMPUTED_VALUE"""),60.58)</f>
        <v>60.58</v>
      </c>
      <c r="C165" s="1">
        <f>IFERROR(__xludf.DUMMYFUNCTION("""COMPUTED_VALUE"""),66.59)</f>
        <v>66.59</v>
      </c>
      <c r="D165" s="1">
        <f>IFERROR(__xludf.DUMMYFUNCTION("""COMPUTED_VALUE"""),57.97)</f>
        <v>57.97</v>
      </c>
      <c r="E165" s="1">
        <f>IFERROR(__xludf.DUMMYFUNCTION("""COMPUTED_VALUE"""),65.3)</f>
        <v>65.3</v>
      </c>
      <c r="F165" s="1">
        <f>IFERROR(__xludf.DUMMYFUNCTION("""COMPUTED_VALUE"""),0.0)</f>
        <v>0</v>
      </c>
    </row>
    <row r="166" ht="15.75" customHeight="1">
      <c r="A166" s="10">
        <f>IFERROR(__xludf.DUMMYFUNCTION("""COMPUTED_VALUE"""),43910.66666666667)</f>
        <v>43910.66667</v>
      </c>
      <c r="B166" s="1">
        <f>IFERROR(__xludf.DUMMYFUNCTION("""COMPUTED_VALUE"""),65.37)</f>
        <v>65.37</v>
      </c>
      <c r="C166" s="1">
        <f>IFERROR(__xludf.DUMMYFUNCTION("""COMPUTED_VALUE"""),66.28)</f>
        <v>66.28</v>
      </c>
      <c r="D166" s="1">
        <f>IFERROR(__xludf.DUMMYFUNCTION("""COMPUTED_VALUE"""),59.77)</f>
        <v>59.77</v>
      </c>
      <c r="E166" s="1">
        <f>IFERROR(__xludf.DUMMYFUNCTION("""COMPUTED_VALUE"""),60.27)</f>
        <v>60.27</v>
      </c>
      <c r="F166" s="1">
        <f>IFERROR(__xludf.DUMMYFUNCTION("""COMPUTED_VALUE"""),0.0)</f>
        <v>0</v>
      </c>
    </row>
    <row r="167" ht="15.75" customHeight="1">
      <c r="A167" s="10">
        <f>IFERROR(__xludf.DUMMYFUNCTION("""COMPUTED_VALUE"""),43913.66666666667)</f>
        <v>43913.66667</v>
      </c>
      <c r="B167" s="1">
        <f>IFERROR(__xludf.DUMMYFUNCTION("""COMPUTED_VALUE"""),59.89)</f>
        <v>59.89</v>
      </c>
      <c r="C167" s="1">
        <f>IFERROR(__xludf.DUMMYFUNCTION("""COMPUTED_VALUE"""),59.93)</f>
        <v>59.93</v>
      </c>
      <c r="D167" s="1">
        <f>IFERROR(__xludf.DUMMYFUNCTION("""COMPUTED_VALUE"""),53.44)</f>
        <v>53.44</v>
      </c>
      <c r="E167" s="1">
        <f>IFERROR(__xludf.DUMMYFUNCTION("""COMPUTED_VALUE"""),55.12)</f>
        <v>55.12</v>
      </c>
      <c r="F167" s="1">
        <f>IFERROR(__xludf.DUMMYFUNCTION("""COMPUTED_VALUE"""),0.0)</f>
        <v>0</v>
      </c>
    </row>
    <row r="168" ht="15.75" customHeight="1">
      <c r="A168" s="10">
        <f>IFERROR(__xludf.DUMMYFUNCTION("""COMPUTED_VALUE"""),43914.66666666667)</f>
        <v>43914.66667</v>
      </c>
      <c r="B168" s="1">
        <f>IFERROR(__xludf.DUMMYFUNCTION("""COMPUTED_VALUE"""),58.34)</f>
        <v>58.34</v>
      </c>
      <c r="C168" s="1">
        <f>IFERROR(__xludf.DUMMYFUNCTION("""COMPUTED_VALUE"""),61.4)</f>
        <v>61.4</v>
      </c>
      <c r="D168" s="1">
        <f>IFERROR(__xludf.DUMMYFUNCTION("""COMPUTED_VALUE"""),57.79)</f>
        <v>57.79</v>
      </c>
      <c r="E168" s="1">
        <f>IFERROR(__xludf.DUMMYFUNCTION("""COMPUTED_VALUE"""),61.29)</f>
        <v>61.29</v>
      </c>
      <c r="F168" s="1">
        <f>IFERROR(__xludf.DUMMYFUNCTION("""COMPUTED_VALUE"""),0.0)</f>
        <v>0</v>
      </c>
    </row>
    <row r="169" ht="15.75" customHeight="1">
      <c r="A169" s="10">
        <f>IFERROR(__xludf.DUMMYFUNCTION("""COMPUTED_VALUE"""),43915.66666666667)</f>
        <v>43915.66667</v>
      </c>
      <c r="B169" s="1">
        <f>IFERROR(__xludf.DUMMYFUNCTION("""COMPUTED_VALUE"""),62.01)</f>
        <v>62.01</v>
      </c>
      <c r="C169" s="1">
        <f>IFERROR(__xludf.DUMMYFUNCTION("""COMPUTED_VALUE"""),63.57)</f>
        <v>63.57</v>
      </c>
      <c r="D169" s="1">
        <f>IFERROR(__xludf.DUMMYFUNCTION("""COMPUTED_VALUE"""),58.89)</f>
        <v>58.89</v>
      </c>
      <c r="E169" s="1">
        <f>IFERROR(__xludf.DUMMYFUNCTION("""COMPUTED_VALUE"""),60.98)</f>
        <v>60.98</v>
      </c>
      <c r="F169" s="1">
        <f>IFERROR(__xludf.DUMMYFUNCTION("""COMPUTED_VALUE"""),0.0)</f>
        <v>0</v>
      </c>
    </row>
    <row r="170" ht="15.75" customHeight="1">
      <c r="A170" s="10">
        <f>IFERROR(__xludf.DUMMYFUNCTION("""COMPUTED_VALUE"""),43916.66666666667)</f>
        <v>43916.66667</v>
      </c>
      <c r="B170" s="1">
        <f>IFERROR(__xludf.DUMMYFUNCTION("""COMPUTED_VALUE"""),61.63)</f>
        <v>61.63</v>
      </c>
      <c r="C170" s="1">
        <f>IFERROR(__xludf.DUMMYFUNCTION("""COMPUTED_VALUE"""),66.71)</f>
        <v>66.71</v>
      </c>
      <c r="D170" s="1">
        <f>IFERROR(__xludf.DUMMYFUNCTION("""COMPUTED_VALUE"""),61.06)</f>
        <v>61.06</v>
      </c>
      <c r="E170" s="1">
        <f>IFERROR(__xludf.DUMMYFUNCTION("""COMPUTED_VALUE"""),66.42)</f>
        <v>66.42</v>
      </c>
      <c r="F170" s="1">
        <f>IFERROR(__xludf.DUMMYFUNCTION("""COMPUTED_VALUE"""),0.0)</f>
        <v>0</v>
      </c>
    </row>
    <row r="171" ht="15.75" customHeight="1">
      <c r="A171" s="10">
        <f>IFERROR(__xludf.DUMMYFUNCTION("""COMPUTED_VALUE"""),43917.66666666667)</f>
        <v>43917.66667</v>
      </c>
      <c r="B171" s="1">
        <f>IFERROR(__xludf.DUMMYFUNCTION("""COMPUTED_VALUE"""),63.32)</f>
        <v>63.32</v>
      </c>
      <c r="C171" s="1">
        <f>IFERROR(__xludf.DUMMYFUNCTION("""COMPUTED_VALUE"""),65.72)</f>
        <v>65.72</v>
      </c>
      <c r="D171" s="1">
        <f>IFERROR(__xludf.DUMMYFUNCTION("""COMPUTED_VALUE"""),62.89)</f>
        <v>62.89</v>
      </c>
      <c r="E171" s="1">
        <f>IFERROR(__xludf.DUMMYFUNCTION("""COMPUTED_VALUE"""),63.71)</f>
        <v>63.71</v>
      </c>
      <c r="F171" s="1">
        <f>IFERROR(__xludf.DUMMYFUNCTION("""COMPUTED_VALUE"""),0.0)</f>
        <v>0</v>
      </c>
    </row>
    <row r="172" ht="15.75" customHeight="1">
      <c r="A172" s="10">
        <f>IFERROR(__xludf.DUMMYFUNCTION("""COMPUTED_VALUE"""),43920.66666666667)</f>
        <v>43920.66667</v>
      </c>
      <c r="B172" s="1">
        <f>IFERROR(__xludf.DUMMYFUNCTION("""COMPUTED_VALUE"""),63.58)</f>
        <v>63.58</v>
      </c>
      <c r="C172" s="1">
        <f>IFERROR(__xludf.DUMMYFUNCTION("""COMPUTED_VALUE"""),64.49)</f>
        <v>64.49</v>
      </c>
      <c r="D172" s="1">
        <f>IFERROR(__xludf.DUMMYFUNCTION("""COMPUTED_VALUE"""),62.06)</f>
        <v>62.06</v>
      </c>
      <c r="E172" s="1">
        <f>IFERROR(__xludf.DUMMYFUNCTION("""COMPUTED_VALUE"""),64.3)</f>
        <v>64.3</v>
      </c>
      <c r="F172" s="1">
        <f>IFERROR(__xludf.DUMMYFUNCTION("""COMPUTED_VALUE"""),0.0)</f>
        <v>0</v>
      </c>
    </row>
    <row r="173" ht="15.75" customHeight="1">
      <c r="A173" s="10">
        <f>IFERROR(__xludf.DUMMYFUNCTION("""COMPUTED_VALUE"""),43921.66666666667)</f>
        <v>43921.66667</v>
      </c>
      <c r="B173" s="1">
        <f>IFERROR(__xludf.DUMMYFUNCTION("""COMPUTED_VALUE"""),63.65)</f>
        <v>63.65</v>
      </c>
      <c r="C173" s="1">
        <f>IFERROR(__xludf.DUMMYFUNCTION("""COMPUTED_VALUE"""),65.0)</f>
        <v>65</v>
      </c>
      <c r="D173" s="1">
        <f>IFERROR(__xludf.DUMMYFUNCTION("""COMPUTED_VALUE"""),62.22)</f>
        <v>62.22</v>
      </c>
      <c r="E173" s="1">
        <f>IFERROR(__xludf.DUMMYFUNCTION("""COMPUTED_VALUE"""),63.62)</f>
        <v>63.62</v>
      </c>
      <c r="F173" s="1">
        <f>IFERROR(__xludf.DUMMYFUNCTION("""COMPUTED_VALUE"""),0.0)</f>
        <v>0</v>
      </c>
    </row>
    <row r="174" ht="15.75" customHeight="1">
      <c r="A174" s="10">
        <f>IFERROR(__xludf.DUMMYFUNCTION("""COMPUTED_VALUE"""),43922.66666666667)</f>
        <v>43922.66667</v>
      </c>
      <c r="B174" s="1">
        <f>IFERROR(__xludf.DUMMYFUNCTION("""COMPUTED_VALUE"""),60.33)</f>
        <v>60.33</v>
      </c>
      <c r="C174" s="1">
        <f>IFERROR(__xludf.DUMMYFUNCTION("""COMPUTED_VALUE"""),60.92)</f>
        <v>60.92</v>
      </c>
      <c r="D174" s="1">
        <f>IFERROR(__xludf.DUMMYFUNCTION("""COMPUTED_VALUE"""),59.43)</f>
        <v>59.43</v>
      </c>
      <c r="E174" s="1">
        <f>IFERROR(__xludf.DUMMYFUNCTION("""COMPUTED_VALUE"""),60.17)</f>
        <v>60.17</v>
      </c>
      <c r="F174" s="1">
        <f>IFERROR(__xludf.DUMMYFUNCTION("""COMPUTED_VALUE"""),0.0)</f>
        <v>0</v>
      </c>
    </row>
    <row r="175" ht="15.75" customHeight="1">
      <c r="A175" s="10">
        <f>IFERROR(__xludf.DUMMYFUNCTION("""COMPUTED_VALUE"""),43923.66666666667)</f>
        <v>43923.66667</v>
      </c>
      <c r="B175" s="1">
        <f>IFERROR(__xludf.DUMMYFUNCTION("""COMPUTED_VALUE"""),59.65)</f>
        <v>59.65</v>
      </c>
      <c r="C175" s="1">
        <f>IFERROR(__xludf.DUMMYFUNCTION("""COMPUTED_VALUE"""),62.79)</f>
        <v>62.79</v>
      </c>
      <c r="D175" s="1">
        <f>IFERROR(__xludf.DUMMYFUNCTION("""COMPUTED_VALUE"""),59.65)</f>
        <v>59.65</v>
      </c>
      <c r="E175" s="1">
        <f>IFERROR(__xludf.DUMMYFUNCTION("""COMPUTED_VALUE"""),61.77)</f>
        <v>61.77</v>
      </c>
      <c r="F175" s="1">
        <f>IFERROR(__xludf.DUMMYFUNCTION("""COMPUTED_VALUE"""),0.0)</f>
        <v>0</v>
      </c>
    </row>
    <row r="176" ht="15.75" customHeight="1">
      <c r="A176" s="10">
        <f>IFERROR(__xludf.DUMMYFUNCTION("""COMPUTED_VALUE"""),43924.66666666667)</f>
        <v>43924.66667</v>
      </c>
      <c r="B176" s="1">
        <f>IFERROR(__xludf.DUMMYFUNCTION("""COMPUTED_VALUE"""),61.29)</f>
        <v>61.29</v>
      </c>
      <c r="C176" s="1">
        <f>IFERROR(__xludf.DUMMYFUNCTION("""COMPUTED_VALUE"""),61.82)</f>
        <v>61.82</v>
      </c>
      <c r="D176" s="1">
        <f>IFERROR(__xludf.DUMMYFUNCTION("""COMPUTED_VALUE"""),57.84)</f>
        <v>57.84</v>
      </c>
      <c r="E176" s="1">
        <f>IFERROR(__xludf.DUMMYFUNCTION("""COMPUTED_VALUE"""),58.79)</f>
        <v>58.79</v>
      </c>
      <c r="F176" s="1">
        <f>IFERROR(__xludf.DUMMYFUNCTION("""COMPUTED_VALUE"""),0.0)</f>
        <v>0</v>
      </c>
    </row>
    <row r="177" ht="15.75" customHeight="1">
      <c r="A177" s="10">
        <f>IFERROR(__xludf.DUMMYFUNCTION("""COMPUTED_VALUE"""),43927.66666666667)</f>
        <v>43927.66667</v>
      </c>
      <c r="B177" s="1">
        <f>IFERROR(__xludf.DUMMYFUNCTION("""COMPUTED_VALUE"""),61.98)</f>
        <v>61.98</v>
      </c>
      <c r="C177" s="1">
        <f>IFERROR(__xludf.DUMMYFUNCTION("""COMPUTED_VALUE"""),63.03)</f>
        <v>63.03</v>
      </c>
      <c r="D177" s="1">
        <f>IFERROR(__xludf.DUMMYFUNCTION("""COMPUTED_VALUE"""),60.98)</f>
        <v>60.98</v>
      </c>
      <c r="E177" s="1">
        <f>IFERROR(__xludf.DUMMYFUNCTION("""COMPUTED_VALUE"""),62.42)</f>
        <v>62.42</v>
      </c>
      <c r="F177" s="1">
        <f>IFERROR(__xludf.DUMMYFUNCTION("""COMPUTED_VALUE"""),0.0)</f>
        <v>0</v>
      </c>
    </row>
    <row r="178" ht="15.75" customHeight="1">
      <c r="A178" s="10">
        <f>IFERROR(__xludf.DUMMYFUNCTION("""COMPUTED_VALUE"""),43928.66666666667)</f>
        <v>43928.66667</v>
      </c>
      <c r="B178" s="1">
        <f>IFERROR(__xludf.DUMMYFUNCTION("""COMPUTED_VALUE"""),65.46)</f>
        <v>65.46</v>
      </c>
      <c r="C178" s="1">
        <f>IFERROR(__xludf.DUMMYFUNCTION("""COMPUTED_VALUE"""),66.92)</f>
        <v>66.92</v>
      </c>
      <c r="D178" s="1">
        <f>IFERROR(__xludf.DUMMYFUNCTION("""COMPUTED_VALUE"""),63.43)</f>
        <v>63.43</v>
      </c>
      <c r="E178" s="1">
        <f>IFERROR(__xludf.DUMMYFUNCTION("""COMPUTED_VALUE"""),64.02)</f>
        <v>64.02</v>
      </c>
      <c r="F178" s="1">
        <f>IFERROR(__xludf.DUMMYFUNCTION("""COMPUTED_VALUE"""),0.0)</f>
        <v>0</v>
      </c>
    </row>
    <row r="179" ht="15.75" customHeight="1">
      <c r="A179" s="10">
        <f>IFERROR(__xludf.DUMMYFUNCTION("""COMPUTED_VALUE"""),43929.66666666667)</f>
        <v>43929.66667</v>
      </c>
      <c r="B179" s="1">
        <f>IFERROR(__xludf.DUMMYFUNCTION("""COMPUTED_VALUE"""),65.27)</f>
        <v>65.27</v>
      </c>
      <c r="C179" s="1">
        <f>IFERROR(__xludf.DUMMYFUNCTION("""COMPUTED_VALUE"""),67.43)</f>
        <v>67.43</v>
      </c>
      <c r="D179" s="1">
        <f>IFERROR(__xludf.DUMMYFUNCTION("""COMPUTED_VALUE"""),63.97)</f>
        <v>63.97</v>
      </c>
      <c r="E179" s="1">
        <f>IFERROR(__xludf.DUMMYFUNCTION("""COMPUTED_VALUE"""),67.01)</f>
        <v>67.01</v>
      </c>
      <c r="F179" s="1">
        <f>IFERROR(__xludf.DUMMYFUNCTION("""COMPUTED_VALUE"""),0.0)</f>
        <v>0</v>
      </c>
    </row>
    <row r="180" ht="15.75" customHeight="1">
      <c r="A180" s="10">
        <f>IFERROR(__xludf.DUMMYFUNCTION("""COMPUTED_VALUE"""),43930.66666666667)</f>
        <v>43930.66667</v>
      </c>
      <c r="B180" s="1">
        <f>IFERROR(__xludf.DUMMYFUNCTION("""COMPUTED_VALUE"""),69.23)</f>
        <v>69.23</v>
      </c>
      <c r="C180" s="1">
        <f>IFERROR(__xludf.DUMMYFUNCTION("""COMPUTED_VALUE"""),72.7)</f>
        <v>72.7</v>
      </c>
      <c r="D180" s="1">
        <f>IFERROR(__xludf.DUMMYFUNCTION("""COMPUTED_VALUE"""),69.13)</f>
        <v>69.13</v>
      </c>
      <c r="E180" s="1">
        <f>IFERROR(__xludf.DUMMYFUNCTION("""COMPUTED_VALUE"""),72.41)</f>
        <v>72.41</v>
      </c>
      <c r="F180" s="1">
        <f>IFERROR(__xludf.DUMMYFUNCTION("""COMPUTED_VALUE"""),0.0)</f>
        <v>0</v>
      </c>
    </row>
    <row r="181" ht="15.75" customHeight="1">
      <c r="A181" s="10">
        <f>IFERROR(__xludf.DUMMYFUNCTION("""COMPUTED_VALUE"""),43934.66666666667)</f>
        <v>43934.66667</v>
      </c>
      <c r="B181" s="1">
        <f>IFERROR(__xludf.DUMMYFUNCTION("""COMPUTED_VALUE"""),72.34)</f>
        <v>72.34</v>
      </c>
      <c r="C181" s="1">
        <f>IFERROR(__xludf.DUMMYFUNCTION("""COMPUTED_VALUE"""),72.34)</f>
        <v>72.34</v>
      </c>
      <c r="D181" s="1">
        <f>IFERROR(__xludf.DUMMYFUNCTION("""COMPUTED_VALUE"""),67.07)</f>
        <v>67.07</v>
      </c>
      <c r="E181" s="1">
        <f>IFERROR(__xludf.DUMMYFUNCTION("""COMPUTED_VALUE"""),67.6)</f>
        <v>67.6</v>
      </c>
      <c r="F181" s="1">
        <f>IFERROR(__xludf.DUMMYFUNCTION("""COMPUTED_VALUE"""),0.0)</f>
        <v>0</v>
      </c>
    </row>
    <row r="182" ht="15.75" customHeight="1">
      <c r="A182" s="10">
        <f>IFERROR(__xludf.DUMMYFUNCTION("""COMPUTED_VALUE"""),43935.66666666667)</f>
        <v>43935.66667</v>
      </c>
      <c r="B182" s="1">
        <f>IFERROR(__xludf.DUMMYFUNCTION("""COMPUTED_VALUE"""),69.49)</f>
        <v>69.49</v>
      </c>
      <c r="C182" s="1">
        <f>IFERROR(__xludf.DUMMYFUNCTION("""COMPUTED_VALUE"""),69.71)</f>
        <v>69.71</v>
      </c>
      <c r="D182" s="1">
        <f>IFERROR(__xludf.DUMMYFUNCTION("""COMPUTED_VALUE"""),65.55)</f>
        <v>65.55</v>
      </c>
      <c r="E182" s="1">
        <f>IFERROR(__xludf.DUMMYFUNCTION("""COMPUTED_VALUE"""),66.65)</f>
        <v>66.65</v>
      </c>
      <c r="F182" s="1">
        <f>IFERROR(__xludf.DUMMYFUNCTION("""COMPUTED_VALUE"""),0.0)</f>
        <v>0</v>
      </c>
    </row>
    <row r="183" ht="15.75" customHeight="1">
      <c r="A183" s="10">
        <f>IFERROR(__xludf.DUMMYFUNCTION("""COMPUTED_VALUE"""),43936.66666666667)</f>
        <v>43936.66667</v>
      </c>
      <c r="B183" s="1">
        <f>IFERROR(__xludf.DUMMYFUNCTION("""COMPUTED_VALUE"""),63.66)</f>
        <v>63.66</v>
      </c>
      <c r="C183" s="1">
        <f>IFERROR(__xludf.DUMMYFUNCTION("""COMPUTED_VALUE"""),63.96)</f>
        <v>63.96</v>
      </c>
      <c r="D183" s="1">
        <f>IFERROR(__xludf.DUMMYFUNCTION("""COMPUTED_VALUE"""),62.23)</f>
        <v>62.23</v>
      </c>
      <c r="E183" s="1">
        <f>IFERROR(__xludf.DUMMYFUNCTION("""COMPUTED_VALUE"""),62.47)</f>
        <v>62.47</v>
      </c>
      <c r="F183" s="1">
        <f>IFERROR(__xludf.DUMMYFUNCTION("""COMPUTED_VALUE"""),0.0)</f>
        <v>0</v>
      </c>
    </row>
    <row r="184" ht="15.75" customHeight="1">
      <c r="A184" s="10">
        <f>IFERROR(__xludf.DUMMYFUNCTION("""COMPUTED_VALUE"""),43937.66666666667)</f>
        <v>43937.66667</v>
      </c>
      <c r="B184" s="1">
        <f>IFERROR(__xludf.DUMMYFUNCTION("""COMPUTED_VALUE"""),62.46)</f>
        <v>62.46</v>
      </c>
      <c r="C184" s="1">
        <f>IFERROR(__xludf.DUMMYFUNCTION("""COMPUTED_VALUE"""),62.49)</f>
        <v>62.49</v>
      </c>
      <c r="D184" s="1">
        <f>IFERROR(__xludf.DUMMYFUNCTION("""COMPUTED_VALUE"""),59.26)</f>
        <v>59.26</v>
      </c>
      <c r="E184" s="1">
        <f>IFERROR(__xludf.DUMMYFUNCTION("""COMPUTED_VALUE"""),60.61)</f>
        <v>60.61</v>
      </c>
      <c r="F184" s="1">
        <f>IFERROR(__xludf.DUMMYFUNCTION("""COMPUTED_VALUE"""),0.0)</f>
        <v>0</v>
      </c>
    </row>
    <row r="185" ht="15.75" customHeight="1">
      <c r="A185" s="10">
        <f>IFERROR(__xludf.DUMMYFUNCTION("""COMPUTED_VALUE"""),43938.66666666667)</f>
        <v>43938.66667</v>
      </c>
      <c r="B185" s="1">
        <f>IFERROR(__xludf.DUMMYFUNCTION("""COMPUTED_VALUE"""),63.26)</f>
        <v>63.26</v>
      </c>
      <c r="C185" s="1">
        <f>IFERROR(__xludf.DUMMYFUNCTION("""COMPUTED_VALUE"""),65.73)</f>
        <v>65.73</v>
      </c>
      <c r="D185" s="1">
        <f>IFERROR(__xludf.DUMMYFUNCTION("""COMPUTED_VALUE"""),63.26)</f>
        <v>63.26</v>
      </c>
      <c r="E185" s="1">
        <f>IFERROR(__xludf.DUMMYFUNCTION("""COMPUTED_VALUE"""),65.28)</f>
        <v>65.28</v>
      </c>
      <c r="F185" s="1">
        <f>IFERROR(__xludf.DUMMYFUNCTION("""COMPUTED_VALUE"""),0.0)</f>
        <v>0</v>
      </c>
    </row>
    <row r="186" ht="15.75" customHeight="1">
      <c r="A186" s="10">
        <f>IFERROR(__xludf.DUMMYFUNCTION("""COMPUTED_VALUE"""),43941.66666666667)</f>
        <v>43941.66667</v>
      </c>
      <c r="B186" s="1">
        <f>IFERROR(__xludf.DUMMYFUNCTION("""COMPUTED_VALUE"""),63.32)</f>
        <v>63.32</v>
      </c>
      <c r="C186" s="1">
        <f>IFERROR(__xludf.DUMMYFUNCTION("""COMPUTED_VALUE"""),66.59)</f>
        <v>66.59</v>
      </c>
      <c r="D186" s="1">
        <f>IFERROR(__xludf.DUMMYFUNCTION("""COMPUTED_VALUE"""),62.86)</f>
        <v>62.86</v>
      </c>
      <c r="E186" s="1">
        <f>IFERROR(__xludf.DUMMYFUNCTION("""COMPUTED_VALUE"""),65.02)</f>
        <v>65.02</v>
      </c>
      <c r="F186" s="1">
        <f>IFERROR(__xludf.DUMMYFUNCTION("""COMPUTED_VALUE"""),0.0)</f>
        <v>0</v>
      </c>
    </row>
    <row r="187" ht="15.75" customHeight="1">
      <c r="A187" s="10">
        <f>IFERROR(__xludf.DUMMYFUNCTION("""COMPUTED_VALUE"""),43942.66666666667)</f>
        <v>43942.66667</v>
      </c>
      <c r="B187" s="1">
        <f>IFERROR(__xludf.DUMMYFUNCTION("""COMPUTED_VALUE"""),62.7)</f>
        <v>62.7</v>
      </c>
      <c r="C187" s="1">
        <f>IFERROR(__xludf.DUMMYFUNCTION("""COMPUTED_VALUE"""),64.26)</f>
        <v>64.26</v>
      </c>
      <c r="D187" s="1">
        <f>IFERROR(__xludf.DUMMYFUNCTION("""COMPUTED_VALUE"""),62.2)</f>
        <v>62.2</v>
      </c>
      <c r="E187" s="1">
        <f>IFERROR(__xludf.DUMMYFUNCTION("""COMPUTED_VALUE"""),63.21)</f>
        <v>63.21</v>
      </c>
      <c r="F187" s="1">
        <f>IFERROR(__xludf.DUMMYFUNCTION("""COMPUTED_VALUE"""),0.0)</f>
        <v>0</v>
      </c>
    </row>
    <row r="188" ht="15.75" customHeight="1">
      <c r="A188" s="10">
        <f>IFERROR(__xludf.DUMMYFUNCTION("""COMPUTED_VALUE"""),43943.66666666667)</f>
        <v>43943.66667</v>
      </c>
      <c r="B188" s="1">
        <f>IFERROR(__xludf.DUMMYFUNCTION("""COMPUTED_VALUE"""),64.69)</f>
        <v>64.69</v>
      </c>
      <c r="C188" s="1">
        <f>IFERROR(__xludf.DUMMYFUNCTION("""COMPUTED_VALUE"""),64.93)</f>
        <v>64.93</v>
      </c>
      <c r="D188" s="1">
        <f>IFERROR(__xludf.DUMMYFUNCTION("""COMPUTED_VALUE"""),62.28)</f>
        <v>62.28</v>
      </c>
      <c r="E188" s="1">
        <f>IFERROR(__xludf.DUMMYFUNCTION("""COMPUTED_VALUE"""),62.54)</f>
        <v>62.54</v>
      </c>
      <c r="F188" s="1">
        <f>IFERROR(__xludf.DUMMYFUNCTION("""COMPUTED_VALUE"""),0.0)</f>
        <v>0</v>
      </c>
    </row>
    <row r="189" ht="15.75" customHeight="1">
      <c r="A189" s="10">
        <f>IFERROR(__xludf.DUMMYFUNCTION("""COMPUTED_VALUE"""),43944.66666666667)</f>
        <v>43944.66667</v>
      </c>
      <c r="B189" s="1">
        <f>IFERROR(__xludf.DUMMYFUNCTION("""COMPUTED_VALUE"""),63.03)</f>
        <v>63.03</v>
      </c>
      <c r="C189" s="1">
        <f>IFERROR(__xludf.DUMMYFUNCTION("""COMPUTED_VALUE"""),65.14)</f>
        <v>65.14</v>
      </c>
      <c r="D189" s="1">
        <f>IFERROR(__xludf.DUMMYFUNCTION("""COMPUTED_VALUE"""),62.96)</f>
        <v>62.96</v>
      </c>
      <c r="E189" s="1">
        <f>IFERROR(__xludf.DUMMYFUNCTION("""COMPUTED_VALUE"""),63.93)</f>
        <v>63.93</v>
      </c>
      <c r="F189" s="1">
        <f>IFERROR(__xludf.DUMMYFUNCTION("""COMPUTED_VALUE"""),0.0)</f>
        <v>0</v>
      </c>
    </row>
    <row r="190" ht="15.75" customHeight="1">
      <c r="A190" s="10">
        <f>IFERROR(__xludf.DUMMYFUNCTION("""COMPUTED_VALUE"""),43945.66666666667)</f>
        <v>43945.66667</v>
      </c>
      <c r="B190" s="1">
        <f>IFERROR(__xludf.DUMMYFUNCTION("""COMPUTED_VALUE"""),64.59)</f>
        <v>64.59</v>
      </c>
      <c r="C190" s="1">
        <f>IFERROR(__xludf.DUMMYFUNCTION("""COMPUTED_VALUE"""),65.89)</f>
        <v>65.89</v>
      </c>
      <c r="D190" s="1">
        <f>IFERROR(__xludf.DUMMYFUNCTION("""COMPUTED_VALUE"""),63.71)</f>
        <v>63.71</v>
      </c>
      <c r="E190" s="1">
        <f>IFERROR(__xludf.DUMMYFUNCTION("""COMPUTED_VALUE"""),65.36)</f>
        <v>65.36</v>
      </c>
      <c r="F190" s="1">
        <f>IFERROR(__xludf.DUMMYFUNCTION("""COMPUTED_VALUE"""),0.0)</f>
        <v>0</v>
      </c>
    </row>
    <row r="191" ht="15.75" customHeight="1">
      <c r="A191" s="10">
        <f>IFERROR(__xludf.DUMMYFUNCTION("""COMPUTED_VALUE"""),43948.66666666667)</f>
        <v>43948.66667</v>
      </c>
      <c r="B191" s="1">
        <f>IFERROR(__xludf.DUMMYFUNCTION("""COMPUTED_VALUE"""),66.39)</f>
        <v>66.39</v>
      </c>
      <c r="C191" s="1">
        <f>IFERROR(__xludf.DUMMYFUNCTION("""COMPUTED_VALUE"""),70.67)</f>
        <v>70.67</v>
      </c>
      <c r="D191" s="1">
        <f>IFERROR(__xludf.DUMMYFUNCTION("""COMPUTED_VALUE"""),66.11)</f>
        <v>66.11</v>
      </c>
      <c r="E191" s="1">
        <f>IFERROR(__xludf.DUMMYFUNCTION("""COMPUTED_VALUE"""),70.04)</f>
        <v>70.04</v>
      </c>
      <c r="F191" s="1">
        <f>IFERROR(__xludf.DUMMYFUNCTION("""COMPUTED_VALUE"""),0.0)</f>
        <v>0</v>
      </c>
    </row>
    <row r="192" ht="15.75" customHeight="1">
      <c r="A192" s="10">
        <f>IFERROR(__xludf.DUMMYFUNCTION("""COMPUTED_VALUE"""),43949.66666666667)</f>
        <v>43949.66667</v>
      </c>
      <c r="B192" s="1">
        <f>IFERROR(__xludf.DUMMYFUNCTION("""COMPUTED_VALUE"""),72.38)</f>
        <v>72.38</v>
      </c>
      <c r="C192" s="1">
        <f>IFERROR(__xludf.DUMMYFUNCTION("""COMPUTED_VALUE"""),73.45)</f>
        <v>73.45</v>
      </c>
      <c r="D192" s="1">
        <f>IFERROR(__xludf.DUMMYFUNCTION("""COMPUTED_VALUE"""),71.05)</f>
        <v>71.05</v>
      </c>
      <c r="E192" s="1">
        <f>IFERROR(__xludf.DUMMYFUNCTION("""COMPUTED_VALUE"""),72.1)</f>
        <v>72.1</v>
      </c>
      <c r="F192" s="1">
        <f>IFERROR(__xludf.DUMMYFUNCTION("""COMPUTED_VALUE"""),0.0)</f>
        <v>0</v>
      </c>
    </row>
    <row r="193" ht="15.75" customHeight="1">
      <c r="A193" s="10">
        <f>IFERROR(__xludf.DUMMYFUNCTION("""COMPUTED_VALUE"""),43950.66666666667)</f>
        <v>43950.66667</v>
      </c>
      <c r="B193" s="1">
        <f>IFERROR(__xludf.DUMMYFUNCTION("""COMPUTED_VALUE"""),74.5)</f>
        <v>74.5</v>
      </c>
      <c r="C193" s="1">
        <f>IFERROR(__xludf.DUMMYFUNCTION("""COMPUTED_VALUE"""),77.77)</f>
        <v>77.77</v>
      </c>
      <c r="D193" s="1">
        <f>IFERROR(__xludf.DUMMYFUNCTION("""COMPUTED_VALUE"""),74.09)</f>
        <v>74.09</v>
      </c>
      <c r="E193" s="1">
        <f>IFERROR(__xludf.DUMMYFUNCTION("""COMPUTED_VALUE"""),76.72)</f>
        <v>76.72</v>
      </c>
      <c r="F193" s="1">
        <f>IFERROR(__xludf.DUMMYFUNCTION("""COMPUTED_VALUE"""),0.0)</f>
        <v>0</v>
      </c>
    </row>
    <row r="194" ht="15.75" customHeight="1">
      <c r="A194" s="10">
        <f>IFERROR(__xludf.DUMMYFUNCTION("""COMPUTED_VALUE"""),43951.66666666667)</f>
        <v>43951.66667</v>
      </c>
      <c r="B194" s="1">
        <f>IFERROR(__xludf.DUMMYFUNCTION("""COMPUTED_VALUE"""),74.36)</f>
        <v>74.36</v>
      </c>
      <c r="C194" s="1">
        <f>IFERROR(__xludf.DUMMYFUNCTION("""COMPUTED_VALUE"""),74.74)</f>
        <v>74.74</v>
      </c>
      <c r="D194" s="1">
        <f>IFERROR(__xludf.DUMMYFUNCTION("""COMPUTED_VALUE"""),72.85)</f>
        <v>72.85</v>
      </c>
      <c r="E194" s="1">
        <f>IFERROR(__xludf.DUMMYFUNCTION("""COMPUTED_VALUE"""),73.71)</f>
        <v>73.71</v>
      </c>
      <c r="F194" s="1">
        <f>IFERROR(__xludf.DUMMYFUNCTION("""COMPUTED_VALUE"""),0.0)</f>
        <v>0</v>
      </c>
    </row>
    <row r="195" ht="15.75" customHeight="1">
      <c r="A195" s="10">
        <f>IFERROR(__xludf.DUMMYFUNCTION("""COMPUTED_VALUE"""),43952.66666666667)</f>
        <v>43952.66667</v>
      </c>
      <c r="B195" s="1">
        <f>IFERROR(__xludf.DUMMYFUNCTION("""COMPUTED_VALUE"""),71.51)</f>
        <v>71.51</v>
      </c>
      <c r="C195" s="1">
        <f>IFERROR(__xludf.DUMMYFUNCTION("""COMPUTED_VALUE"""),71.63)</f>
        <v>71.63</v>
      </c>
      <c r="D195" s="1">
        <f>IFERROR(__xludf.DUMMYFUNCTION("""COMPUTED_VALUE"""),69.23)</f>
        <v>69.23</v>
      </c>
      <c r="E195" s="1">
        <f>IFERROR(__xludf.DUMMYFUNCTION("""COMPUTED_VALUE"""),70.24)</f>
        <v>70.24</v>
      </c>
      <c r="F195" s="1">
        <f>IFERROR(__xludf.DUMMYFUNCTION("""COMPUTED_VALUE"""),0.0)</f>
        <v>0</v>
      </c>
    </row>
    <row r="196" ht="15.75" customHeight="1">
      <c r="A196" s="10">
        <f>IFERROR(__xludf.DUMMYFUNCTION("""COMPUTED_VALUE"""),43955.66666666667)</f>
        <v>43955.66667</v>
      </c>
      <c r="B196" s="1">
        <f>IFERROR(__xludf.DUMMYFUNCTION("""COMPUTED_VALUE"""),68.56)</f>
        <v>68.56</v>
      </c>
      <c r="C196" s="1">
        <f>IFERROR(__xludf.DUMMYFUNCTION("""COMPUTED_VALUE"""),69.8)</f>
        <v>69.8</v>
      </c>
      <c r="D196" s="1">
        <f>IFERROR(__xludf.DUMMYFUNCTION("""COMPUTED_VALUE"""),68.07)</f>
        <v>68.07</v>
      </c>
      <c r="E196" s="1">
        <f>IFERROR(__xludf.DUMMYFUNCTION("""COMPUTED_VALUE"""),69.58)</f>
        <v>69.58</v>
      </c>
      <c r="F196" s="1">
        <f>IFERROR(__xludf.DUMMYFUNCTION("""COMPUTED_VALUE"""),0.0)</f>
        <v>0</v>
      </c>
    </row>
    <row r="197" ht="15.75" customHeight="1">
      <c r="A197" s="10">
        <f>IFERROR(__xludf.DUMMYFUNCTION("""COMPUTED_VALUE"""),43956.66666666667)</f>
        <v>43956.66667</v>
      </c>
      <c r="B197" s="1">
        <f>IFERROR(__xludf.DUMMYFUNCTION("""COMPUTED_VALUE"""),71.38)</f>
        <v>71.38</v>
      </c>
      <c r="C197" s="1">
        <f>IFERROR(__xludf.DUMMYFUNCTION("""COMPUTED_VALUE"""),71.84)</f>
        <v>71.84</v>
      </c>
      <c r="D197" s="1">
        <f>IFERROR(__xludf.DUMMYFUNCTION("""COMPUTED_VALUE"""),67.95)</f>
        <v>67.95</v>
      </c>
      <c r="E197" s="1">
        <f>IFERROR(__xludf.DUMMYFUNCTION("""COMPUTED_VALUE"""),68.14)</f>
        <v>68.14</v>
      </c>
      <c r="F197" s="1">
        <f>IFERROR(__xludf.DUMMYFUNCTION("""COMPUTED_VALUE"""),0.0)</f>
        <v>0</v>
      </c>
    </row>
    <row r="198" ht="15.75" customHeight="1">
      <c r="A198" s="10">
        <f>IFERROR(__xludf.DUMMYFUNCTION("""COMPUTED_VALUE"""),43957.66666666667)</f>
        <v>43957.66667</v>
      </c>
      <c r="B198" s="1">
        <f>IFERROR(__xludf.DUMMYFUNCTION("""COMPUTED_VALUE"""),69.0)</f>
        <v>69</v>
      </c>
      <c r="C198" s="1">
        <f>IFERROR(__xludf.DUMMYFUNCTION("""COMPUTED_VALUE"""),69.13)</f>
        <v>69.13</v>
      </c>
      <c r="D198" s="1">
        <f>IFERROR(__xludf.DUMMYFUNCTION("""COMPUTED_VALUE"""),66.0)</f>
        <v>66</v>
      </c>
      <c r="E198" s="1">
        <f>IFERROR(__xludf.DUMMYFUNCTION("""COMPUTED_VALUE"""),66.16)</f>
        <v>66.16</v>
      </c>
      <c r="F198" s="1">
        <f>IFERROR(__xludf.DUMMYFUNCTION("""COMPUTED_VALUE"""),0.0)</f>
        <v>0</v>
      </c>
    </row>
    <row r="199" ht="15.75" customHeight="1">
      <c r="A199" s="10">
        <f>IFERROR(__xludf.DUMMYFUNCTION("""COMPUTED_VALUE"""),43958.66666666667)</f>
        <v>43958.66667</v>
      </c>
      <c r="B199" s="1">
        <f>IFERROR(__xludf.DUMMYFUNCTION("""COMPUTED_VALUE"""),67.0)</f>
        <v>67</v>
      </c>
      <c r="C199" s="1">
        <f>IFERROR(__xludf.DUMMYFUNCTION("""COMPUTED_VALUE"""),68.82)</f>
        <v>68.82</v>
      </c>
      <c r="D199" s="1">
        <f>IFERROR(__xludf.DUMMYFUNCTION("""COMPUTED_VALUE"""),66.19)</f>
        <v>66.19</v>
      </c>
      <c r="E199" s="1">
        <f>IFERROR(__xludf.DUMMYFUNCTION("""COMPUTED_VALUE"""),66.46)</f>
        <v>66.46</v>
      </c>
      <c r="F199" s="1">
        <f>IFERROR(__xludf.DUMMYFUNCTION("""COMPUTED_VALUE"""),0.0)</f>
        <v>0</v>
      </c>
    </row>
    <row r="200" ht="15.75" customHeight="1">
      <c r="A200" s="10">
        <f>IFERROR(__xludf.DUMMYFUNCTION("""COMPUTED_VALUE"""),43959.66666666667)</f>
        <v>43959.66667</v>
      </c>
      <c r="B200" s="1">
        <f>IFERROR(__xludf.DUMMYFUNCTION("""COMPUTED_VALUE"""),68.23)</f>
        <v>68.23</v>
      </c>
      <c r="C200" s="1">
        <f>IFERROR(__xludf.DUMMYFUNCTION("""COMPUTED_VALUE"""),70.37)</f>
        <v>70.37</v>
      </c>
      <c r="D200" s="1">
        <f>IFERROR(__xludf.DUMMYFUNCTION("""COMPUTED_VALUE"""),68.2)</f>
        <v>68.2</v>
      </c>
      <c r="E200" s="1">
        <f>IFERROR(__xludf.DUMMYFUNCTION("""COMPUTED_VALUE"""),70.21)</f>
        <v>70.21</v>
      </c>
      <c r="F200" s="1">
        <f>IFERROR(__xludf.DUMMYFUNCTION("""COMPUTED_VALUE"""),0.0)</f>
        <v>0</v>
      </c>
    </row>
    <row r="201" ht="15.75" customHeight="1">
      <c r="A201" s="10">
        <f>IFERROR(__xludf.DUMMYFUNCTION("""COMPUTED_VALUE"""),43962.66666666667)</f>
        <v>43962.66667</v>
      </c>
      <c r="B201" s="1">
        <f>IFERROR(__xludf.DUMMYFUNCTION("""COMPUTED_VALUE"""),68.83)</f>
        <v>68.83</v>
      </c>
      <c r="C201" s="1">
        <f>IFERROR(__xludf.DUMMYFUNCTION("""COMPUTED_VALUE"""),68.83)</f>
        <v>68.83</v>
      </c>
      <c r="D201" s="1">
        <f>IFERROR(__xludf.DUMMYFUNCTION("""COMPUTED_VALUE"""),66.66)</f>
        <v>66.66</v>
      </c>
      <c r="E201" s="1">
        <f>IFERROR(__xludf.DUMMYFUNCTION("""COMPUTED_VALUE"""),67.46)</f>
        <v>67.46</v>
      </c>
      <c r="F201" s="1">
        <f>IFERROR(__xludf.DUMMYFUNCTION("""COMPUTED_VALUE"""),0.0)</f>
        <v>0</v>
      </c>
    </row>
    <row r="202" ht="15.75" customHeight="1">
      <c r="A202" s="10">
        <f>IFERROR(__xludf.DUMMYFUNCTION("""COMPUTED_VALUE"""),43963.66666666667)</f>
        <v>43963.66667</v>
      </c>
      <c r="B202" s="1">
        <f>IFERROR(__xludf.DUMMYFUNCTION("""COMPUTED_VALUE"""),67.57)</f>
        <v>67.57</v>
      </c>
      <c r="C202" s="1">
        <f>IFERROR(__xludf.DUMMYFUNCTION("""COMPUTED_VALUE"""),67.87)</f>
        <v>67.87</v>
      </c>
      <c r="D202" s="1">
        <f>IFERROR(__xludf.DUMMYFUNCTION("""COMPUTED_VALUE"""),63.64)</f>
        <v>63.64</v>
      </c>
      <c r="E202" s="1">
        <f>IFERROR(__xludf.DUMMYFUNCTION("""COMPUTED_VALUE"""),63.72)</f>
        <v>63.72</v>
      </c>
      <c r="F202" s="1">
        <f>IFERROR(__xludf.DUMMYFUNCTION("""COMPUTED_VALUE"""),0.0)</f>
        <v>0</v>
      </c>
    </row>
    <row r="203" ht="15.75" customHeight="1">
      <c r="A203" s="10">
        <f>IFERROR(__xludf.DUMMYFUNCTION("""COMPUTED_VALUE"""),43964.66666666667)</f>
        <v>43964.66667</v>
      </c>
      <c r="B203" s="1">
        <f>IFERROR(__xludf.DUMMYFUNCTION("""COMPUTED_VALUE"""),63.08)</f>
        <v>63.08</v>
      </c>
      <c r="C203" s="1">
        <f>IFERROR(__xludf.DUMMYFUNCTION("""COMPUTED_VALUE"""),63.08)</f>
        <v>63.08</v>
      </c>
      <c r="D203" s="1">
        <f>IFERROR(__xludf.DUMMYFUNCTION("""COMPUTED_VALUE"""),59.14)</f>
        <v>59.14</v>
      </c>
      <c r="E203" s="1">
        <f>IFERROR(__xludf.DUMMYFUNCTION("""COMPUTED_VALUE"""),60.21)</f>
        <v>60.21</v>
      </c>
      <c r="F203" s="1">
        <f>IFERROR(__xludf.DUMMYFUNCTION("""COMPUTED_VALUE"""),0.0)</f>
        <v>0</v>
      </c>
    </row>
    <row r="204" ht="15.75" customHeight="1">
      <c r="A204" s="10">
        <f>IFERROR(__xludf.DUMMYFUNCTION("""COMPUTED_VALUE"""),43965.66666666667)</f>
        <v>43965.66667</v>
      </c>
      <c r="B204" s="1">
        <f>IFERROR(__xludf.DUMMYFUNCTION("""COMPUTED_VALUE"""),58.69)</f>
        <v>58.69</v>
      </c>
      <c r="C204" s="1">
        <f>IFERROR(__xludf.DUMMYFUNCTION("""COMPUTED_VALUE"""),62.14)</f>
        <v>62.14</v>
      </c>
      <c r="D204" s="1">
        <f>IFERROR(__xludf.DUMMYFUNCTION("""COMPUTED_VALUE"""),56.92)</f>
        <v>56.92</v>
      </c>
      <c r="E204" s="1">
        <f>IFERROR(__xludf.DUMMYFUNCTION("""COMPUTED_VALUE"""),61.7)</f>
        <v>61.7</v>
      </c>
      <c r="F204" s="1">
        <f>IFERROR(__xludf.DUMMYFUNCTION("""COMPUTED_VALUE"""),0.0)</f>
        <v>0</v>
      </c>
    </row>
    <row r="205" ht="15.75" customHeight="1">
      <c r="A205" s="10">
        <f>IFERROR(__xludf.DUMMYFUNCTION("""COMPUTED_VALUE"""),43966.66666666667)</f>
        <v>43966.66667</v>
      </c>
      <c r="B205" s="1">
        <f>IFERROR(__xludf.DUMMYFUNCTION("""COMPUTED_VALUE"""),61.03)</f>
        <v>61.03</v>
      </c>
      <c r="C205" s="1">
        <f>IFERROR(__xludf.DUMMYFUNCTION("""COMPUTED_VALUE"""),61.73)</f>
        <v>61.73</v>
      </c>
      <c r="D205" s="1">
        <f>IFERROR(__xludf.DUMMYFUNCTION("""COMPUTED_VALUE"""),60.6)</f>
        <v>60.6</v>
      </c>
      <c r="E205" s="1">
        <f>IFERROR(__xludf.DUMMYFUNCTION("""COMPUTED_VALUE"""),61.25)</f>
        <v>61.25</v>
      </c>
      <c r="F205" s="1">
        <f>IFERROR(__xludf.DUMMYFUNCTION("""COMPUTED_VALUE"""),0.0)</f>
        <v>0</v>
      </c>
    </row>
    <row r="206" ht="15.75" customHeight="1">
      <c r="A206" s="10">
        <f>IFERROR(__xludf.DUMMYFUNCTION("""COMPUTED_VALUE"""),43969.66666666667)</f>
        <v>43969.66667</v>
      </c>
      <c r="B206" s="1">
        <f>IFERROR(__xludf.DUMMYFUNCTION("""COMPUTED_VALUE"""),64.65)</f>
        <v>64.65</v>
      </c>
      <c r="C206" s="1">
        <f>IFERROR(__xludf.DUMMYFUNCTION("""COMPUTED_VALUE"""),67.97)</f>
        <v>67.97</v>
      </c>
      <c r="D206" s="1">
        <f>IFERROR(__xludf.DUMMYFUNCTION("""COMPUTED_VALUE"""),64.65)</f>
        <v>64.65</v>
      </c>
      <c r="E206" s="1">
        <f>IFERROR(__xludf.DUMMYFUNCTION("""COMPUTED_VALUE"""),67.57)</f>
        <v>67.57</v>
      </c>
      <c r="F206" s="1">
        <f>IFERROR(__xludf.DUMMYFUNCTION("""COMPUTED_VALUE"""),0.0)</f>
        <v>0</v>
      </c>
    </row>
    <row r="207" ht="15.75" customHeight="1">
      <c r="A207" s="10">
        <f>IFERROR(__xludf.DUMMYFUNCTION("""COMPUTED_VALUE"""),43970.66666666667)</f>
        <v>43970.66667</v>
      </c>
      <c r="B207" s="1">
        <f>IFERROR(__xludf.DUMMYFUNCTION("""COMPUTED_VALUE"""),66.92)</f>
        <v>66.92</v>
      </c>
      <c r="C207" s="1">
        <f>IFERROR(__xludf.DUMMYFUNCTION("""COMPUTED_VALUE"""),67.11)</f>
        <v>67.11</v>
      </c>
      <c r="D207" s="1">
        <f>IFERROR(__xludf.DUMMYFUNCTION("""COMPUTED_VALUE"""),64.2)</f>
        <v>64.2</v>
      </c>
      <c r="E207" s="1">
        <f>IFERROR(__xludf.DUMMYFUNCTION("""COMPUTED_VALUE"""),64.22)</f>
        <v>64.22</v>
      </c>
      <c r="F207" s="1">
        <f>IFERROR(__xludf.DUMMYFUNCTION("""COMPUTED_VALUE"""),0.0)</f>
        <v>0</v>
      </c>
    </row>
    <row r="208" ht="15.75" customHeight="1">
      <c r="A208" s="10">
        <f>IFERROR(__xludf.DUMMYFUNCTION("""COMPUTED_VALUE"""),43971.66666666667)</f>
        <v>43971.66667</v>
      </c>
      <c r="B208" s="1">
        <f>IFERROR(__xludf.DUMMYFUNCTION("""COMPUTED_VALUE"""),65.76)</f>
        <v>65.76</v>
      </c>
      <c r="C208" s="1">
        <f>IFERROR(__xludf.DUMMYFUNCTION("""COMPUTED_VALUE"""),68.12)</f>
        <v>68.12</v>
      </c>
      <c r="D208" s="1">
        <f>IFERROR(__xludf.DUMMYFUNCTION("""COMPUTED_VALUE"""),65.76)</f>
        <v>65.76</v>
      </c>
      <c r="E208" s="1">
        <f>IFERROR(__xludf.DUMMYFUNCTION("""COMPUTED_VALUE"""),68.01)</f>
        <v>68.01</v>
      </c>
      <c r="F208" s="1">
        <f>IFERROR(__xludf.DUMMYFUNCTION("""COMPUTED_VALUE"""),0.0)</f>
        <v>0</v>
      </c>
    </row>
    <row r="209" ht="15.75" customHeight="1">
      <c r="A209" s="10">
        <f>IFERROR(__xludf.DUMMYFUNCTION("""COMPUTED_VALUE"""),43972.66666666667)</f>
        <v>43972.66667</v>
      </c>
      <c r="B209" s="1">
        <f>IFERROR(__xludf.DUMMYFUNCTION("""COMPUTED_VALUE"""),67.73)</f>
        <v>67.73</v>
      </c>
      <c r="C209" s="1">
        <f>IFERROR(__xludf.DUMMYFUNCTION("""COMPUTED_VALUE"""),68.83)</f>
        <v>68.83</v>
      </c>
      <c r="D209" s="1">
        <f>IFERROR(__xludf.DUMMYFUNCTION("""COMPUTED_VALUE"""),67.68)</f>
        <v>67.68</v>
      </c>
      <c r="E209" s="1">
        <f>IFERROR(__xludf.DUMMYFUNCTION("""COMPUTED_VALUE"""),67.91)</f>
        <v>67.91</v>
      </c>
      <c r="F209" s="1">
        <f>IFERROR(__xludf.DUMMYFUNCTION("""COMPUTED_VALUE"""),0.0)</f>
        <v>0</v>
      </c>
    </row>
    <row r="210" ht="15.75" customHeight="1">
      <c r="A210" s="10">
        <f>IFERROR(__xludf.DUMMYFUNCTION("""COMPUTED_VALUE"""),43973.66666666667)</f>
        <v>43973.66667</v>
      </c>
      <c r="B210" s="1">
        <f>IFERROR(__xludf.DUMMYFUNCTION("""COMPUTED_VALUE"""),68.24)</f>
        <v>68.24</v>
      </c>
      <c r="C210" s="1">
        <f>IFERROR(__xludf.DUMMYFUNCTION("""COMPUTED_VALUE"""),68.54)</f>
        <v>68.54</v>
      </c>
      <c r="D210" s="1">
        <f>IFERROR(__xludf.DUMMYFUNCTION("""COMPUTED_VALUE"""),66.47)</f>
        <v>66.47</v>
      </c>
      <c r="E210" s="1">
        <f>IFERROR(__xludf.DUMMYFUNCTION("""COMPUTED_VALUE"""),67.04)</f>
        <v>67.04</v>
      </c>
      <c r="F210" s="1">
        <f>IFERROR(__xludf.DUMMYFUNCTION("""COMPUTED_VALUE"""),0.0)</f>
        <v>0</v>
      </c>
    </row>
    <row r="211" ht="15.75" customHeight="1">
      <c r="A211" s="10">
        <f>IFERROR(__xludf.DUMMYFUNCTION("""COMPUTED_VALUE"""),43977.66666666667)</f>
        <v>43977.66667</v>
      </c>
      <c r="B211" s="1">
        <f>IFERROR(__xludf.DUMMYFUNCTION("""COMPUTED_VALUE"""),69.99)</f>
        <v>69.99</v>
      </c>
      <c r="C211" s="1">
        <f>IFERROR(__xludf.DUMMYFUNCTION("""COMPUTED_VALUE"""),72.76)</f>
        <v>72.76</v>
      </c>
      <c r="D211" s="1">
        <f>IFERROR(__xludf.DUMMYFUNCTION("""COMPUTED_VALUE"""),69.99)</f>
        <v>69.99</v>
      </c>
      <c r="E211" s="1">
        <f>IFERROR(__xludf.DUMMYFUNCTION("""COMPUTED_VALUE"""),72.08)</f>
        <v>72.08</v>
      </c>
      <c r="F211" s="1">
        <f>IFERROR(__xludf.DUMMYFUNCTION("""COMPUTED_VALUE"""),0.0)</f>
        <v>0</v>
      </c>
    </row>
    <row r="212" ht="15.75" customHeight="1">
      <c r="A212" s="10">
        <f>IFERROR(__xludf.DUMMYFUNCTION("""COMPUTED_VALUE"""),43978.66666666667)</f>
        <v>43978.66667</v>
      </c>
      <c r="B212" s="1">
        <f>IFERROR(__xludf.DUMMYFUNCTION("""COMPUTED_VALUE"""),75.16)</f>
        <v>75.16</v>
      </c>
      <c r="C212" s="1">
        <f>IFERROR(__xludf.DUMMYFUNCTION("""COMPUTED_VALUE"""),77.42)</f>
        <v>77.42</v>
      </c>
      <c r="D212" s="1">
        <f>IFERROR(__xludf.DUMMYFUNCTION("""COMPUTED_VALUE"""),73.62)</f>
        <v>73.62</v>
      </c>
      <c r="E212" s="1">
        <f>IFERROR(__xludf.DUMMYFUNCTION("""COMPUTED_VALUE"""),77.2)</f>
        <v>77.2</v>
      </c>
      <c r="F212" s="1">
        <f>IFERROR(__xludf.DUMMYFUNCTION("""COMPUTED_VALUE"""),0.0)</f>
        <v>0</v>
      </c>
    </row>
    <row r="213" ht="15.75" customHeight="1">
      <c r="A213" s="10">
        <f>IFERROR(__xludf.DUMMYFUNCTION("""COMPUTED_VALUE"""),43979.66666666667)</f>
        <v>43979.66667</v>
      </c>
      <c r="B213" s="1">
        <f>IFERROR(__xludf.DUMMYFUNCTION("""COMPUTED_VALUE"""),78.34)</f>
        <v>78.34</v>
      </c>
      <c r="C213" s="1">
        <f>IFERROR(__xludf.DUMMYFUNCTION("""COMPUTED_VALUE"""),78.34)</f>
        <v>78.34</v>
      </c>
      <c r="D213" s="1">
        <f>IFERROR(__xludf.DUMMYFUNCTION("""COMPUTED_VALUE"""),73.95)</f>
        <v>73.95</v>
      </c>
      <c r="E213" s="1">
        <f>IFERROR(__xludf.DUMMYFUNCTION("""COMPUTED_VALUE"""),74.29)</f>
        <v>74.29</v>
      </c>
      <c r="F213" s="1">
        <f>IFERROR(__xludf.DUMMYFUNCTION("""COMPUTED_VALUE"""),0.0)</f>
        <v>0</v>
      </c>
    </row>
    <row r="214" ht="15.75" customHeight="1">
      <c r="A214" s="10">
        <f>IFERROR(__xludf.DUMMYFUNCTION("""COMPUTED_VALUE"""),43980.66666666667)</f>
        <v>43980.66667</v>
      </c>
      <c r="B214" s="1">
        <f>IFERROR(__xludf.DUMMYFUNCTION("""COMPUTED_VALUE"""),72.74)</f>
        <v>72.74</v>
      </c>
      <c r="C214" s="1">
        <f>IFERROR(__xludf.DUMMYFUNCTION("""COMPUTED_VALUE"""),73.32)</f>
        <v>73.32</v>
      </c>
      <c r="D214" s="1">
        <f>IFERROR(__xludf.DUMMYFUNCTION("""COMPUTED_VALUE"""),71.43)</f>
        <v>71.43</v>
      </c>
      <c r="E214" s="1">
        <f>IFERROR(__xludf.DUMMYFUNCTION("""COMPUTED_VALUE"""),72.28)</f>
        <v>72.28</v>
      </c>
      <c r="F214" s="1">
        <f>IFERROR(__xludf.DUMMYFUNCTION("""COMPUTED_VALUE"""),0.0)</f>
        <v>0</v>
      </c>
    </row>
    <row r="215" ht="15.75" customHeight="1">
      <c r="A215" s="10">
        <f>IFERROR(__xludf.DUMMYFUNCTION("""COMPUTED_VALUE"""),43983.66666666667)</f>
        <v>43983.66667</v>
      </c>
      <c r="B215" s="1">
        <f>IFERROR(__xludf.DUMMYFUNCTION("""COMPUTED_VALUE"""),72.82)</f>
        <v>72.82</v>
      </c>
      <c r="C215" s="1">
        <f>IFERROR(__xludf.DUMMYFUNCTION("""COMPUTED_VALUE"""),73.93)</f>
        <v>73.93</v>
      </c>
      <c r="D215" s="1">
        <f>IFERROR(__xludf.DUMMYFUNCTION("""COMPUTED_VALUE"""),72.17)</f>
        <v>72.17</v>
      </c>
      <c r="E215" s="1">
        <f>IFERROR(__xludf.DUMMYFUNCTION("""COMPUTED_VALUE"""),72.68)</f>
        <v>72.68</v>
      </c>
      <c r="F215" s="1">
        <f>IFERROR(__xludf.DUMMYFUNCTION("""COMPUTED_VALUE"""),0.0)</f>
        <v>0</v>
      </c>
    </row>
    <row r="216" ht="15.75" customHeight="1">
      <c r="A216" s="10">
        <f>IFERROR(__xludf.DUMMYFUNCTION("""COMPUTED_VALUE"""),43984.66666666667)</f>
        <v>43984.66667</v>
      </c>
      <c r="B216" s="1">
        <f>IFERROR(__xludf.DUMMYFUNCTION("""COMPUTED_VALUE"""),73.81)</f>
        <v>73.81</v>
      </c>
      <c r="C216" s="1">
        <f>IFERROR(__xludf.DUMMYFUNCTION("""COMPUTED_VALUE"""),74.25)</f>
        <v>74.25</v>
      </c>
      <c r="D216" s="1">
        <f>IFERROR(__xludf.DUMMYFUNCTION("""COMPUTED_VALUE"""),71.7)</f>
        <v>71.7</v>
      </c>
      <c r="E216" s="1">
        <f>IFERROR(__xludf.DUMMYFUNCTION("""COMPUTED_VALUE"""),72.3)</f>
        <v>72.3</v>
      </c>
      <c r="F216" s="1">
        <f>IFERROR(__xludf.DUMMYFUNCTION("""COMPUTED_VALUE"""),0.0)</f>
        <v>0</v>
      </c>
    </row>
    <row r="217" ht="15.75" customHeight="1">
      <c r="A217" s="10">
        <f>IFERROR(__xludf.DUMMYFUNCTION("""COMPUTED_VALUE"""),43985.66666666667)</f>
        <v>43985.66667</v>
      </c>
      <c r="B217" s="1">
        <f>IFERROR(__xludf.DUMMYFUNCTION("""COMPUTED_VALUE"""),74.46)</f>
        <v>74.46</v>
      </c>
      <c r="C217" s="1">
        <f>IFERROR(__xludf.DUMMYFUNCTION("""COMPUTED_VALUE"""),77.18)</f>
        <v>77.18</v>
      </c>
      <c r="D217" s="1">
        <f>IFERROR(__xludf.DUMMYFUNCTION("""COMPUTED_VALUE"""),74.45)</f>
        <v>74.45</v>
      </c>
      <c r="E217" s="1">
        <f>IFERROR(__xludf.DUMMYFUNCTION("""COMPUTED_VALUE"""),76.21)</f>
        <v>76.21</v>
      </c>
      <c r="F217" s="1">
        <f>IFERROR(__xludf.DUMMYFUNCTION("""COMPUTED_VALUE"""),0.0)</f>
        <v>0</v>
      </c>
    </row>
    <row r="218" ht="15.75" customHeight="1">
      <c r="A218" s="10">
        <f>IFERROR(__xludf.DUMMYFUNCTION("""COMPUTED_VALUE"""),43986.66666666667)</f>
        <v>43986.66667</v>
      </c>
      <c r="B218" s="1">
        <f>IFERROR(__xludf.DUMMYFUNCTION("""COMPUTED_VALUE"""),75.96)</f>
        <v>75.96</v>
      </c>
      <c r="C218" s="1">
        <f>IFERROR(__xludf.DUMMYFUNCTION("""COMPUTED_VALUE"""),78.15)</f>
        <v>78.15</v>
      </c>
      <c r="D218" s="1">
        <f>IFERROR(__xludf.DUMMYFUNCTION("""COMPUTED_VALUE"""),74.94)</f>
        <v>74.94</v>
      </c>
      <c r="E218" s="1">
        <f>IFERROR(__xludf.DUMMYFUNCTION("""COMPUTED_VALUE"""),78.15)</f>
        <v>78.15</v>
      </c>
      <c r="F218" s="1">
        <f>IFERROR(__xludf.DUMMYFUNCTION("""COMPUTED_VALUE"""),0.0)</f>
        <v>0</v>
      </c>
    </row>
    <row r="219" ht="15.75" customHeight="1">
      <c r="A219" s="10">
        <f>IFERROR(__xludf.DUMMYFUNCTION("""COMPUTED_VALUE"""),43987.66666666667)</f>
        <v>43987.66667</v>
      </c>
      <c r="B219" s="1">
        <f>IFERROR(__xludf.DUMMYFUNCTION("""COMPUTED_VALUE"""),83.82)</f>
        <v>83.82</v>
      </c>
      <c r="C219" s="1">
        <f>IFERROR(__xludf.DUMMYFUNCTION("""COMPUTED_VALUE"""),84.92)</f>
        <v>84.92</v>
      </c>
      <c r="D219" s="1">
        <f>IFERROR(__xludf.DUMMYFUNCTION("""COMPUTED_VALUE"""),82.1)</f>
        <v>82.1</v>
      </c>
      <c r="E219" s="1">
        <f>IFERROR(__xludf.DUMMYFUNCTION("""COMPUTED_VALUE"""),83.25)</f>
        <v>83.25</v>
      </c>
      <c r="F219" s="1">
        <f>IFERROR(__xludf.DUMMYFUNCTION("""COMPUTED_VALUE"""),0.0)</f>
        <v>0</v>
      </c>
    </row>
    <row r="220" ht="15.75" customHeight="1">
      <c r="A220" s="10">
        <f>IFERROR(__xludf.DUMMYFUNCTION("""COMPUTED_VALUE"""),43990.66666666667)</f>
        <v>43990.66667</v>
      </c>
      <c r="B220" s="1">
        <f>IFERROR(__xludf.DUMMYFUNCTION("""COMPUTED_VALUE"""),85.65)</f>
        <v>85.65</v>
      </c>
      <c r="C220" s="1">
        <f>IFERROR(__xludf.DUMMYFUNCTION("""COMPUTED_VALUE"""),86.29)</f>
        <v>86.29</v>
      </c>
      <c r="D220" s="1">
        <f>IFERROR(__xludf.DUMMYFUNCTION("""COMPUTED_VALUE"""),84.06)</f>
        <v>84.06</v>
      </c>
      <c r="E220" s="1">
        <f>IFERROR(__xludf.DUMMYFUNCTION("""COMPUTED_VALUE"""),85.6)</f>
        <v>85.6</v>
      </c>
      <c r="F220" s="1">
        <f>IFERROR(__xludf.DUMMYFUNCTION("""COMPUTED_VALUE"""),0.0)</f>
        <v>0</v>
      </c>
    </row>
    <row r="221" ht="15.75" customHeight="1">
      <c r="A221" s="10">
        <f>IFERROR(__xludf.DUMMYFUNCTION("""COMPUTED_VALUE"""),43991.66666666667)</f>
        <v>43991.66667</v>
      </c>
      <c r="B221" s="1">
        <f>IFERROR(__xludf.DUMMYFUNCTION("""COMPUTED_VALUE"""),82.78)</f>
        <v>82.78</v>
      </c>
      <c r="C221" s="1">
        <f>IFERROR(__xludf.DUMMYFUNCTION("""COMPUTED_VALUE"""),85.29)</f>
        <v>85.29</v>
      </c>
      <c r="D221" s="1">
        <f>IFERROR(__xludf.DUMMYFUNCTION("""COMPUTED_VALUE"""),82.02)</f>
        <v>82.02</v>
      </c>
      <c r="E221" s="1">
        <f>IFERROR(__xludf.DUMMYFUNCTION("""COMPUTED_VALUE"""),83.81)</f>
        <v>83.81</v>
      </c>
      <c r="F221" s="1">
        <f>IFERROR(__xludf.DUMMYFUNCTION("""COMPUTED_VALUE"""),0.0)</f>
        <v>0</v>
      </c>
    </row>
    <row r="222" ht="15.75" customHeight="1">
      <c r="A222" s="10">
        <f>IFERROR(__xludf.DUMMYFUNCTION("""COMPUTED_VALUE"""),43992.66666666667)</f>
        <v>43992.66667</v>
      </c>
      <c r="B222" s="1">
        <f>IFERROR(__xludf.DUMMYFUNCTION("""COMPUTED_VALUE"""),83.22)</f>
        <v>83.22</v>
      </c>
      <c r="C222" s="1">
        <f>IFERROR(__xludf.DUMMYFUNCTION("""COMPUTED_VALUE"""),83.32)</f>
        <v>83.32</v>
      </c>
      <c r="D222" s="1">
        <f>IFERROR(__xludf.DUMMYFUNCTION("""COMPUTED_VALUE"""),78.08)</f>
        <v>78.08</v>
      </c>
      <c r="E222" s="1">
        <f>IFERROR(__xludf.DUMMYFUNCTION("""COMPUTED_VALUE"""),78.22)</f>
        <v>78.22</v>
      </c>
      <c r="F222" s="1">
        <f>IFERROR(__xludf.DUMMYFUNCTION("""COMPUTED_VALUE"""),0.0)</f>
        <v>0</v>
      </c>
    </row>
    <row r="223" ht="15.75" customHeight="1">
      <c r="A223" s="10">
        <f>IFERROR(__xludf.DUMMYFUNCTION("""COMPUTED_VALUE"""),43993.66666666667)</f>
        <v>43993.66667</v>
      </c>
      <c r="B223" s="1">
        <f>IFERROR(__xludf.DUMMYFUNCTION("""COMPUTED_VALUE"""),73.13)</f>
        <v>73.13</v>
      </c>
      <c r="C223" s="1">
        <f>IFERROR(__xludf.DUMMYFUNCTION("""COMPUTED_VALUE"""),74.11)</f>
        <v>74.11</v>
      </c>
      <c r="D223" s="1">
        <f>IFERROR(__xludf.DUMMYFUNCTION("""COMPUTED_VALUE"""),70.69)</f>
        <v>70.69</v>
      </c>
      <c r="E223" s="1">
        <f>IFERROR(__xludf.DUMMYFUNCTION("""COMPUTED_VALUE"""),70.83)</f>
        <v>70.83</v>
      </c>
      <c r="F223" s="1">
        <f>IFERROR(__xludf.DUMMYFUNCTION("""COMPUTED_VALUE"""),0.0)</f>
        <v>0</v>
      </c>
    </row>
    <row r="224" ht="15.75" customHeight="1">
      <c r="A224" s="10">
        <f>IFERROR(__xludf.DUMMYFUNCTION("""COMPUTED_VALUE"""),43994.66666666667)</f>
        <v>43994.66667</v>
      </c>
      <c r="B224" s="1">
        <f>IFERROR(__xludf.DUMMYFUNCTION("""COMPUTED_VALUE"""),74.55)</f>
        <v>74.55</v>
      </c>
      <c r="C224" s="1">
        <f>IFERROR(__xludf.DUMMYFUNCTION("""COMPUTED_VALUE"""),74.55)</f>
        <v>74.55</v>
      </c>
      <c r="D224" s="1">
        <f>IFERROR(__xludf.DUMMYFUNCTION("""COMPUTED_VALUE"""),70.49)</f>
        <v>70.49</v>
      </c>
      <c r="E224" s="1">
        <f>IFERROR(__xludf.DUMMYFUNCTION("""COMPUTED_VALUE"""),73.13)</f>
        <v>73.13</v>
      </c>
      <c r="F224" s="1">
        <f>IFERROR(__xludf.DUMMYFUNCTION("""COMPUTED_VALUE"""),0.0)</f>
        <v>0</v>
      </c>
    </row>
    <row r="225" ht="15.75" customHeight="1">
      <c r="A225" s="10">
        <f>IFERROR(__xludf.DUMMYFUNCTION("""COMPUTED_VALUE"""),43997.66666666667)</f>
        <v>43997.66667</v>
      </c>
      <c r="B225" s="1">
        <f>IFERROR(__xludf.DUMMYFUNCTION("""COMPUTED_VALUE"""),69.71)</f>
        <v>69.71</v>
      </c>
      <c r="C225" s="1">
        <f>IFERROR(__xludf.DUMMYFUNCTION("""COMPUTED_VALUE"""),74.46)</f>
        <v>74.46</v>
      </c>
      <c r="D225" s="1">
        <f>IFERROR(__xludf.DUMMYFUNCTION("""COMPUTED_VALUE"""),69.5)</f>
        <v>69.5</v>
      </c>
      <c r="E225" s="1">
        <f>IFERROR(__xludf.DUMMYFUNCTION("""COMPUTED_VALUE"""),73.68)</f>
        <v>73.68</v>
      </c>
      <c r="F225" s="1">
        <f>IFERROR(__xludf.DUMMYFUNCTION("""COMPUTED_VALUE"""),0.0)</f>
        <v>0</v>
      </c>
    </row>
    <row r="226" ht="15.75" customHeight="1">
      <c r="A226" s="10">
        <f>IFERROR(__xludf.DUMMYFUNCTION("""COMPUTED_VALUE"""),43998.66666666667)</f>
        <v>43998.66667</v>
      </c>
      <c r="B226" s="1">
        <f>IFERROR(__xludf.DUMMYFUNCTION("""COMPUTED_VALUE"""),77.4)</f>
        <v>77.4</v>
      </c>
      <c r="C226" s="1">
        <f>IFERROR(__xludf.DUMMYFUNCTION("""COMPUTED_VALUE"""),78.02)</f>
        <v>78.02</v>
      </c>
      <c r="D226" s="1">
        <f>IFERROR(__xludf.DUMMYFUNCTION("""COMPUTED_VALUE"""),74.89)</f>
        <v>74.89</v>
      </c>
      <c r="E226" s="1">
        <f>IFERROR(__xludf.DUMMYFUNCTION("""COMPUTED_VALUE"""),76.88)</f>
        <v>76.88</v>
      </c>
      <c r="F226" s="1">
        <f>IFERROR(__xludf.DUMMYFUNCTION("""COMPUTED_VALUE"""),0.0)</f>
        <v>0</v>
      </c>
    </row>
    <row r="227" ht="15.75" customHeight="1">
      <c r="A227" s="10">
        <f>IFERROR(__xludf.DUMMYFUNCTION("""COMPUTED_VALUE"""),43999.66666666667)</f>
        <v>43999.66667</v>
      </c>
      <c r="B227" s="1">
        <f>IFERROR(__xludf.DUMMYFUNCTION("""COMPUTED_VALUE"""),76.98)</f>
        <v>76.98</v>
      </c>
      <c r="C227" s="1">
        <f>IFERROR(__xludf.DUMMYFUNCTION("""COMPUTED_VALUE"""),77.02)</f>
        <v>77.02</v>
      </c>
      <c r="D227" s="1">
        <f>IFERROR(__xludf.DUMMYFUNCTION("""COMPUTED_VALUE"""),73.86)</f>
        <v>73.86</v>
      </c>
      <c r="E227" s="1">
        <f>IFERROR(__xludf.DUMMYFUNCTION("""COMPUTED_VALUE"""),73.98)</f>
        <v>73.98</v>
      </c>
      <c r="F227" s="1">
        <f>IFERROR(__xludf.DUMMYFUNCTION("""COMPUTED_VALUE"""),0.0)</f>
        <v>0</v>
      </c>
    </row>
    <row r="228" ht="15.75" customHeight="1">
      <c r="A228" s="10">
        <f>IFERROR(__xludf.DUMMYFUNCTION("""COMPUTED_VALUE"""),44000.66666666667)</f>
        <v>44000.66667</v>
      </c>
      <c r="B228" s="1">
        <f>IFERROR(__xludf.DUMMYFUNCTION("""COMPUTED_VALUE"""),72.87)</f>
        <v>72.87</v>
      </c>
      <c r="C228" s="1">
        <f>IFERROR(__xludf.DUMMYFUNCTION("""COMPUTED_VALUE"""),75.72)</f>
        <v>75.72</v>
      </c>
      <c r="D228" s="1">
        <f>IFERROR(__xludf.DUMMYFUNCTION("""COMPUTED_VALUE"""),72.84)</f>
        <v>72.84</v>
      </c>
      <c r="E228" s="1">
        <f>IFERROR(__xludf.DUMMYFUNCTION("""COMPUTED_VALUE"""),74.46)</f>
        <v>74.46</v>
      </c>
      <c r="F228" s="1">
        <f>IFERROR(__xludf.DUMMYFUNCTION("""COMPUTED_VALUE"""),0.0)</f>
        <v>0</v>
      </c>
    </row>
    <row r="229" ht="15.75" customHeight="1">
      <c r="A229" s="10">
        <f>IFERROR(__xludf.DUMMYFUNCTION("""COMPUTED_VALUE"""),44001.66666666667)</f>
        <v>44001.66667</v>
      </c>
      <c r="B229" s="1">
        <f>IFERROR(__xludf.DUMMYFUNCTION("""COMPUTED_VALUE"""),75.52)</f>
        <v>75.52</v>
      </c>
      <c r="C229" s="1">
        <f>IFERROR(__xludf.DUMMYFUNCTION("""COMPUTED_VALUE"""),75.53)</f>
        <v>75.53</v>
      </c>
      <c r="D229" s="1">
        <f>IFERROR(__xludf.DUMMYFUNCTION("""COMPUTED_VALUE"""),71.98)</f>
        <v>71.98</v>
      </c>
      <c r="E229" s="1">
        <f>IFERROR(__xludf.DUMMYFUNCTION("""COMPUTED_VALUE"""),73.8)</f>
        <v>73.8</v>
      </c>
      <c r="F229" s="1">
        <f>IFERROR(__xludf.DUMMYFUNCTION("""COMPUTED_VALUE"""),0.0)</f>
        <v>0</v>
      </c>
    </row>
    <row r="230" ht="15.75" customHeight="1">
      <c r="A230" s="10">
        <f>IFERROR(__xludf.DUMMYFUNCTION("""COMPUTED_VALUE"""),44004.66666666667)</f>
        <v>44004.66667</v>
      </c>
      <c r="B230" s="1">
        <f>IFERROR(__xludf.DUMMYFUNCTION("""COMPUTED_VALUE"""),72.93)</f>
        <v>72.93</v>
      </c>
      <c r="C230" s="1">
        <f>IFERROR(__xludf.DUMMYFUNCTION("""COMPUTED_VALUE"""),74.17)</f>
        <v>74.17</v>
      </c>
      <c r="D230" s="1">
        <f>IFERROR(__xludf.DUMMYFUNCTION("""COMPUTED_VALUE"""),72.16)</f>
        <v>72.16</v>
      </c>
      <c r="E230" s="1">
        <f>IFERROR(__xludf.DUMMYFUNCTION("""COMPUTED_VALUE"""),73.5)</f>
        <v>73.5</v>
      </c>
      <c r="F230" s="1">
        <f>IFERROR(__xludf.DUMMYFUNCTION("""COMPUTED_VALUE"""),0.0)</f>
        <v>0</v>
      </c>
    </row>
    <row r="231" ht="15.75" customHeight="1">
      <c r="A231" s="10">
        <f>IFERROR(__xludf.DUMMYFUNCTION("""COMPUTED_VALUE"""),44005.66666666667)</f>
        <v>44005.66667</v>
      </c>
      <c r="B231" s="1">
        <f>IFERROR(__xludf.DUMMYFUNCTION("""COMPUTED_VALUE"""),75.0)</f>
        <v>75</v>
      </c>
      <c r="C231" s="1">
        <f>IFERROR(__xludf.DUMMYFUNCTION("""COMPUTED_VALUE"""),75.48)</f>
        <v>75.48</v>
      </c>
      <c r="D231" s="1">
        <f>IFERROR(__xludf.DUMMYFUNCTION("""COMPUTED_VALUE"""),72.35)</f>
        <v>72.35</v>
      </c>
      <c r="E231" s="1">
        <f>IFERROR(__xludf.DUMMYFUNCTION("""COMPUTED_VALUE"""),72.36)</f>
        <v>72.36</v>
      </c>
      <c r="F231" s="1">
        <f>IFERROR(__xludf.DUMMYFUNCTION("""COMPUTED_VALUE"""),0.0)</f>
        <v>0</v>
      </c>
    </row>
    <row r="232" ht="15.75" customHeight="1">
      <c r="A232" s="10">
        <f>IFERROR(__xludf.DUMMYFUNCTION("""COMPUTED_VALUE"""),44006.66666666667)</f>
        <v>44006.66667</v>
      </c>
      <c r="B232" s="1">
        <f>IFERROR(__xludf.DUMMYFUNCTION("""COMPUTED_VALUE"""),71.11)</f>
        <v>71.11</v>
      </c>
      <c r="C232" s="1">
        <f>IFERROR(__xludf.DUMMYFUNCTION("""COMPUTED_VALUE"""),71.26)</f>
        <v>71.26</v>
      </c>
      <c r="D232" s="1">
        <f>IFERROR(__xludf.DUMMYFUNCTION("""COMPUTED_VALUE"""),68.36)</f>
        <v>68.36</v>
      </c>
      <c r="E232" s="1">
        <f>IFERROR(__xludf.DUMMYFUNCTION("""COMPUTED_VALUE"""),68.63)</f>
        <v>68.63</v>
      </c>
      <c r="F232" s="1">
        <f>IFERROR(__xludf.DUMMYFUNCTION("""COMPUTED_VALUE"""),0.0)</f>
        <v>0</v>
      </c>
    </row>
    <row r="233" ht="15.75" customHeight="1">
      <c r="A233" s="10">
        <f>IFERROR(__xludf.DUMMYFUNCTION("""COMPUTED_VALUE"""),44007.66666666667)</f>
        <v>44007.66667</v>
      </c>
      <c r="B233" s="1">
        <f>IFERROR(__xludf.DUMMYFUNCTION("""COMPUTED_VALUE"""),68.03)</f>
        <v>68.03</v>
      </c>
      <c r="C233" s="1">
        <f>IFERROR(__xludf.DUMMYFUNCTION("""COMPUTED_VALUE"""),71.13)</f>
        <v>71.13</v>
      </c>
      <c r="D233" s="1">
        <f>IFERROR(__xludf.DUMMYFUNCTION("""COMPUTED_VALUE"""),67.86)</f>
        <v>67.86</v>
      </c>
      <c r="E233" s="1">
        <f>IFERROR(__xludf.DUMMYFUNCTION("""COMPUTED_VALUE"""),71.1)</f>
        <v>71.1</v>
      </c>
      <c r="F233" s="1">
        <f>IFERROR(__xludf.DUMMYFUNCTION("""COMPUTED_VALUE"""),0.0)</f>
        <v>0</v>
      </c>
    </row>
    <row r="234" ht="15.75" customHeight="1">
      <c r="A234" s="10">
        <f>IFERROR(__xludf.DUMMYFUNCTION("""COMPUTED_VALUE"""),44008.66666666667)</f>
        <v>44008.66667</v>
      </c>
      <c r="B234" s="1">
        <f>IFERROR(__xludf.DUMMYFUNCTION("""COMPUTED_VALUE"""),69.51)</f>
        <v>69.51</v>
      </c>
      <c r="C234" s="1">
        <f>IFERROR(__xludf.DUMMYFUNCTION("""COMPUTED_VALUE"""),69.52)</f>
        <v>69.52</v>
      </c>
      <c r="D234" s="1">
        <f>IFERROR(__xludf.DUMMYFUNCTION("""COMPUTED_VALUE"""),66.85)</f>
        <v>66.85</v>
      </c>
      <c r="E234" s="1">
        <f>IFERROR(__xludf.DUMMYFUNCTION("""COMPUTED_VALUE"""),67.07)</f>
        <v>67.07</v>
      </c>
      <c r="F234" s="1">
        <f>IFERROR(__xludf.DUMMYFUNCTION("""COMPUTED_VALUE"""),0.0)</f>
        <v>0</v>
      </c>
    </row>
    <row r="235" ht="15.75" customHeight="1">
      <c r="A235" s="10">
        <f>IFERROR(__xludf.DUMMYFUNCTION("""COMPUTED_VALUE"""),44011.66666666667)</f>
        <v>44011.66667</v>
      </c>
      <c r="B235" s="1">
        <f>IFERROR(__xludf.DUMMYFUNCTION("""COMPUTED_VALUE"""),68.28)</f>
        <v>68.28</v>
      </c>
      <c r="C235" s="1">
        <f>IFERROR(__xludf.DUMMYFUNCTION("""COMPUTED_VALUE"""),71.1)</f>
        <v>71.1</v>
      </c>
      <c r="D235" s="1">
        <f>IFERROR(__xludf.DUMMYFUNCTION("""COMPUTED_VALUE"""),68.06)</f>
        <v>68.06</v>
      </c>
      <c r="E235" s="1">
        <f>IFERROR(__xludf.DUMMYFUNCTION("""COMPUTED_VALUE"""),70.41)</f>
        <v>70.41</v>
      </c>
      <c r="F235" s="1">
        <f>IFERROR(__xludf.DUMMYFUNCTION("""COMPUTED_VALUE"""),0.0)</f>
        <v>0</v>
      </c>
    </row>
    <row r="236" ht="15.75" customHeight="1">
      <c r="A236" s="10">
        <f>IFERROR(__xludf.DUMMYFUNCTION("""COMPUTED_VALUE"""),44012.66666666667)</f>
        <v>44012.66667</v>
      </c>
      <c r="B236" s="1">
        <f>IFERROR(__xludf.DUMMYFUNCTION("""COMPUTED_VALUE"""),69.7)</f>
        <v>69.7</v>
      </c>
      <c r="C236" s="1">
        <f>IFERROR(__xludf.DUMMYFUNCTION("""COMPUTED_VALUE"""),72.48)</f>
        <v>72.48</v>
      </c>
      <c r="D236" s="1">
        <f>IFERROR(__xludf.DUMMYFUNCTION("""COMPUTED_VALUE"""),69.68)</f>
        <v>69.68</v>
      </c>
      <c r="E236" s="1">
        <f>IFERROR(__xludf.DUMMYFUNCTION("""COMPUTED_VALUE"""),72.16)</f>
        <v>72.16</v>
      </c>
      <c r="F236" s="1">
        <f>IFERROR(__xludf.DUMMYFUNCTION("""COMPUTED_VALUE"""),0.0)</f>
        <v>0</v>
      </c>
    </row>
    <row r="237" ht="15.75" customHeight="1">
      <c r="A237" s="10">
        <f>IFERROR(__xludf.DUMMYFUNCTION("""COMPUTED_VALUE"""),44013.66666666667)</f>
        <v>44013.66667</v>
      </c>
      <c r="B237" s="1">
        <f>IFERROR(__xludf.DUMMYFUNCTION("""COMPUTED_VALUE"""),72.35)</f>
        <v>72.35</v>
      </c>
      <c r="C237" s="1">
        <f>IFERROR(__xludf.DUMMYFUNCTION("""COMPUTED_VALUE"""),72.37)</f>
        <v>72.37</v>
      </c>
      <c r="D237" s="1">
        <f>IFERROR(__xludf.DUMMYFUNCTION("""COMPUTED_VALUE"""),68.97)</f>
        <v>68.97</v>
      </c>
      <c r="E237" s="1">
        <f>IFERROR(__xludf.DUMMYFUNCTION("""COMPUTED_VALUE"""),69.1)</f>
        <v>69.1</v>
      </c>
      <c r="F237" s="1">
        <f>IFERROR(__xludf.DUMMYFUNCTION("""COMPUTED_VALUE"""),0.0)</f>
        <v>0</v>
      </c>
    </row>
    <row r="238" ht="15.75" customHeight="1">
      <c r="A238" s="10">
        <f>IFERROR(__xludf.DUMMYFUNCTION("""COMPUTED_VALUE"""),44014.66666666667)</f>
        <v>44014.66667</v>
      </c>
      <c r="B238" s="1">
        <f>IFERROR(__xludf.DUMMYFUNCTION("""COMPUTED_VALUE"""),71.37)</f>
        <v>71.37</v>
      </c>
      <c r="C238" s="1">
        <f>IFERROR(__xludf.DUMMYFUNCTION("""COMPUTED_VALUE"""),72.07)</f>
        <v>72.07</v>
      </c>
      <c r="D238" s="1">
        <f>IFERROR(__xludf.DUMMYFUNCTION("""COMPUTED_VALUE"""),68.63)</f>
        <v>68.63</v>
      </c>
      <c r="E238" s="1">
        <f>IFERROR(__xludf.DUMMYFUNCTION("""COMPUTED_VALUE"""),68.84)</f>
        <v>68.84</v>
      </c>
      <c r="F238" s="1">
        <f>IFERROR(__xludf.DUMMYFUNCTION("""COMPUTED_VALUE"""),0.0)</f>
        <v>0</v>
      </c>
    </row>
    <row r="239" ht="15.75" customHeight="1">
      <c r="A239" s="10">
        <f>IFERROR(__xludf.DUMMYFUNCTION("""COMPUTED_VALUE"""),44018.66666666667)</f>
        <v>44018.66667</v>
      </c>
      <c r="B239" s="1">
        <f>IFERROR(__xludf.DUMMYFUNCTION("""COMPUTED_VALUE"""),70.81)</f>
        <v>70.81</v>
      </c>
      <c r="C239" s="1">
        <f>IFERROR(__xludf.DUMMYFUNCTION("""COMPUTED_VALUE"""),71.8)</f>
        <v>71.8</v>
      </c>
      <c r="D239" s="1">
        <f>IFERROR(__xludf.DUMMYFUNCTION("""COMPUTED_VALUE"""),68.73)</f>
        <v>68.73</v>
      </c>
      <c r="E239" s="1">
        <f>IFERROR(__xludf.DUMMYFUNCTION("""COMPUTED_VALUE"""),69.37)</f>
        <v>69.37</v>
      </c>
      <c r="F239" s="1">
        <f>IFERROR(__xludf.DUMMYFUNCTION("""COMPUTED_VALUE"""),0.0)</f>
        <v>0</v>
      </c>
    </row>
    <row r="240" ht="15.75" customHeight="1">
      <c r="A240" s="10">
        <f>IFERROR(__xludf.DUMMYFUNCTION("""COMPUTED_VALUE"""),44019.66666666667)</f>
        <v>44019.66667</v>
      </c>
      <c r="B240" s="1">
        <f>IFERROR(__xludf.DUMMYFUNCTION("""COMPUTED_VALUE"""),68.35)</f>
        <v>68.35</v>
      </c>
      <c r="C240" s="1">
        <f>IFERROR(__xludf.DUMMYFUNCTION("""COMPUTED_VALUE"""),68.35)</f>
        <v>68.35</v>
      </c>
      <c r="D240" s="1">
        <f>IFERROR(__xludf.DUMMYFUNCTION("""COMPUTED_VALUE"""),66.72)</f>
        <v>66.72</v>
      </c>
      <c r="E240" s="1">
        <f>IFERROR(__xludf.DUMMYFUNCTION("""COMPUTED_VALUE"""),66.92)</f>
        <v>66.92</v>
      </c>
      <c r="F240" s="1">
        <f>IFERROR(__xludf.DUMMYFUNCTION("""COMPUTED_VALUE"""),0.0)</f>
        <v>0</v>
      </c>
    </row>
    <row r="241" ht="15.75" customHeight="1">
      <c r="A241" s="10">
        <f>IFERROR(__xludf.DUMMYFUNCTION("""COMPUTED_VALUE"""),44020.66666666667)</f>
        <v>44020.66667</v>
      </c>
      <c r="B241" s="1">
        <f>IFERROR(__xludf.DUMMYFUNCTION("""COMPUTED_VALUE"""),66.72)</f>
        <v>66.72</v>
      </c>
      <c r="C241" s="1">
        <f>IFERROR(__xludf.DUMMYFUNCTION("""COMPUTED_VALUE"""),67.84)</f>
        <v>67.84</v>
      </c>
      <c r="D241" s="1">
        <f>IFERROR(__xludf.DUMMYFUNCTION("""COMPUTED_VALUE"""),65.41)</f>
        <v>65.41</v>
      </c>
      <c r="E241" s="1">
        <f>IFERROR(__xludf.DUMMYFUNCTION("""COMPUTED_VALUE"""),66.76)</f>
        <v>66.76</v>
      </c>
      <c r="F241" s="1">
        <f>IFERROR(__xludf.DUMMYFUNCTION("""COMPUTED_VALUE"""),0.0)</f>
        <v>0</v>
      </c>
    </row>
    <row r="242" ht="15.75" customHeight="1">
      <c r="A242" s="10">
        <f>IFERROR(__xludf.DUMMYFUNCTION("""COMPUTED_VALUE"""),44021.66666666667)</f>
        <v>44021.66667</v>
      </c>
      <c r="B242" s="1">
        <f>IFERROR(__xludf.DUMMYFUNCTION("""COMPUTED_VALUE"""),66.25)</f>
        <v>66.25</v>
      </c>
      <c r="C242" s="1">
        <f>IFERROR(__xludf.DUMMYFUNCTION("""COMPUTED_VALUE"""),66.31)</f>
        <v>66.31</v>
      </c>
      <c r="D242" s="1">
        <f>IFERROR(__xludf.DUMMYFUNCTION("""COMPUTED_VALUE"""),63.63)</f>
        <v>63.63</v>
      </c>
      <c r="E242" s="1">
        <f>IFERROR(__xludf.DUMMYFUNCTION("""COMPUTED_VALUE"""),63.95)</f>
        <v>63.95</v>
      </c>
      <c r="F242" s="1">
        <f>IFERROR(__xludf.DUMMYFUNCTION("""COMPUTED_VALUE"""),0.0)</f>
        <v>0</v>
      </c>
    </row>
    <row r="243" ht="15.75" customHeight="1">
      <c r="A243" s="10">
        <f>IFERROR(__xludf.DUMMYFUNCTION("""COMPUTED_VALUE"""),44022.66666666667)</f>
        <v>44022.66667</v>
      </c>
      <c r="B243" s="1">
        <f>IFERROR(__xludf.DUMMYFUNCTION("""COMPUTED_VALUE"""),64.06)</f>
        <v>64.06</v>
      </c>
      <c r="C243" s="1">
        <f>IFERROR(__xludf.DUMMYFUNCTION("""COMPUTED_VALUE"""),66.97)</f>
        <v>66.97</v>
      </c>
      <c r="D243" s="1">
        <f>IFERROR(__xludf.DUMMYFUNCTION("""COMPUTED_VALUE"""),64.06)</f>
        <v>64.06</v>
      </c>
      <c r="E243" s="1">
        <f>IFERROR(__xludf.DUMMYFUNCTION("""COMPUTED_VALUE"""),66.95)</f>
        <v>66.95</v>
      </c>
      <c r="F243" s="1">
        <f>IFERROR(__xludf.DUMMYFUNCTION("""COMPUTED_VALUE"""),0.0)</f>
        <v>0</v>
      </c>
    </row>
    <row r="244" ht="15.75" customHeight="1">
      <c r="A244" s="10">
        <f>IFERROR(__xludf.DUMMYFUNCTION("""COMPUTED_VALUE"""),44025.66666666667)</f>
        <v>44025.66667</v>
      </c>
      <c r="B244" s="1">
        <f>IFERROR(__xludf.DUMMYFUNCTION("""COMPUTED_VALUE"""),67.94)</f>
        <v>67.94</v>
      </c>
      <c r="C244" s="1">
        <f>IFERROR(__xludf.DUMMYFUNCTION("""COMPUTED_VALUE"""),69.19)</f>
        <v>69.19</v>
      </c>
      <c r="D244" s="1">
        <f>IFERROR(__xludf.DUMMYFUNCTION("""COMPUTED_VALUE"""),66.1)</f>
        <v>66.1</v>
      </c>
      <c r="E244" s="1">
        <f>IFERROR(__xludf.DUMMYFUNCTION("""COMPUTED_VALUE"""),67.86)</f>
        <v>67.86</v>
      </c>
      <c r="F244" s="1">
        <f>IFERROR(__xludf.DUMMYFUNCTION("""COMPUTED_VALUE"""),0.0)</f>
        <v>0</v>
      </c>
    </row>
    <row r="245" ht="15.75" customHeight="1">
      <c r="A245" s="10">
        <f>IFERROR(__xludf.DUMMYFUNCTION("""COMPUTED_VALUE"""),44026.66666666667)</f>
        <v>44026.66667</v>
      </c>
      <c r="B245" s="1">
        <f>IFERROR(__xludf.DUMMYFUNCTION("""COMPUTED_VALUE"""),67.51)</f>
        <v>67.51</v>
      </c>
      <c r="C245" s="1">
        <f>IFERROR(__xludf.DUMMYFUNCTION("""COMPUTED_VALUE"""),67.81)</f>
        <v>67.81</v>
      </c>
      <c r="D245" s="1">
        <f>IFERROR(__xludf.DUMMYFUNCTION("""COMPUTED_VALUE"""),65.62)</f>
        <v>65.62</v>
      </c>
      <c r="E245" s="1">
        <f>IFERROR(__xludf.DUMMYFUNCTION("""COMPUTED_VALUE"""),66.57)</f>
        <v>66.57</v>
      </c>
      <c r="F245" s="1">
        <f>IFERROR(__xludf.DUMMYFUNCTION("""COMPUTED_VALUE"""),0.0)</f>
        <v>0</v>
      </c>
    </row>
    <row r="246" ht="15.75" customHeight="1">
      <c r="A246" s="10">
        <f>IFERROR(__xludf.DUMMYFUNCTION("""COMPUTED_VALUE"""),44027.66666666667)</f>
        <v>44027.66667</v>
      </c>
      <c r="B246" s="1">
        <f>IFERROR(__xludf.DUMMYFUNCTION("""COMPUTED_VALUE"""),68.67)</f>
        <v>68.67</v>
      </c>
      <c r="C246" s="1">
        <f>IFERROR(__xludf.DUMMYFUNCTION("""COMPUTED_VALUE"""),70.93)</f>
        <v>70.93</v>
      </c>
      <c r="D246" s="1">
        <f>IFERROR(__xludf.DUMMYFUNCTION("""COMPUTED_VALUE"""),68.51)</f>
        <v>68.51</v>
      </c>
      <c r="E246" s="1">
        <f>IFERROR(__xludf.DUMMYFUNCTION("""COMPUTED_VALUE"""),70.56)</f>
        <v>70.56</v>
      </c>
      <c r="F246" s="1">
        <f>IFERROR(__xludf.DUMMYFUNCTION("""COMPUTED_VALUE"""),0.0)</f>
        <v>0</v>
      </c>
    </row>
    <row r="247" ht="15.75" customHeight="1">
      <c r="A247" s="10">
        <f>IFERROR(__xludf.DUMMYFUNCTION("""COMPUTED_VALUE"""),44028.66666666667)</f>
        <v>44028.66667</v>
      </c>
      <c r="B247" s="1">
        <f>IFERROR(__xludf.DUMMYFUNCTION("""COMPUTED_VALUE"""),69.68)</f>
        <v>69.68</v>
      </c>
      <c r="C247" s="1">
        <f>IFERROR(__xludf.DUMMYFUNCTION("""COMPUTED_VALUE"""),71.64)</f>
        <v>71.64</v>
      </c>
      <c r="D247" s="1">
        <f>IFERROR(__xludf.DUMMYFUNCTION("""COMPUTED_VALUE"""),69.2)</f>
        <v>69.2</v>
      </c>
      <c r="E247" s="1">
        <f>IFERROR(__xludf.DUMMYFUNCTION("""COMPUTED_VALUE"""),70.31)</f>
        <v>70.31</v>
      </c>
      <c r="F247" s="1">
        <f>IFERROR(__xludf.DUMMYFUNCTION("""COMPUTED_VALUE"""),0.0)</f>
        <v>0</v>
      </c>
    </row>
    <row r="248" ht="15.75" customHeight="1">
      <c r="A248" s="10">
        <f>IFERROR(__xludf.DUMMYFUNCTION("""COMPUTED_VALUE"""),44029.66666666667)</f>
        <v>44029.66667</v>
      </c>
      <c r="B248" s="1">
        <f>IFERROR(__xludf.DUMMYFUNCTION("""COMPUTED_VALUE"""),70.11)</f>
        <v>70.11</v>
      </c>
      <c r="C248" s="1">
        <f>IFERROR(__xludf.DUMMYFUNCTION("""COMPUTED_VALUE"""),70.56)</f>
        <v>70.56</v>
      </c>
      <c r="D248" s="1">
        <f>IFERROR(__xludf.DUMMYFUNCTION("""COMPUTED_VALUE"""),68.27)</f>
        <v>68.27</v>
      </c>
      <c r="E248" s="1">
        <f>IFERROR(__xludf.DUMMYFUNCTION("""COMPUTED_VALUE"""),68.35)</f>
        <v>68.35</v>
      </c>
      <c r="F248" s="1">
        <f>IFERROR(__xludf.DUMMYFUNCTION("""COMPUTED_VALUE"""),0.0)</f>
        <v>0</v>
      </c>
    </row>
    <row r="249" ht="15.75" customHeight="1">
      <c r="A249" s="10">
        <f>IFERROR(__xludf.DUMMYFUNCTION("""COMPUTED_VALUE"""),44032.66666666667)</f>
        <v>44032.66667</v>
      </c>
      <c r="B249" s="1">
        <f>IFERROR(__xludf.DUMMYFUNCTION("""COMPUTED_VALUE"""),67.8)</f>
        <v>67.8</v>
      </c>
      <c r="C249" s="1">
        <f>IFERROR(__xludf.DUMMYFUNCTION("""COMPUTED_VALUE"""),68.19)</f>
        <v>68.19</v>
      </c>
      <c r="D249" s="1">
        <f>IFERROR(__xludf.DUMMYFUNCTION("""COMPUTED_VALUE"""),66.84)</f>
        <v>66.84</v>
      </c>
      <c r="E249" s="1">
        <f>IFERROR(__xludf.DUMMYFUNCTION("""COMPUTED_VALUE"""),67.06)</f>
        <v>67.06</v>
      </c>
      <c r="F249" s="1">
        <f>IFERROR(__xludf.DUMMYFUNCTION("""COMPUTED_VALUE"""),0.0)</f>
        <v>0</v>
      </c>
    </row>
    <row r="250" ht="15.75" customHeight="1">
      <c r="A250" s="10">
        <f>IFERROR(__xludf.DUMMYFUNCTION("""COMPUTED_VALUE"""),44033.66666666667)</f>
        <v>44033.66667</v>
      </c>
      <c r="B250" s="1">
        <f>IFERROR(__xludf.DUMMYFUNCTION("""COMPUTED_VALUE"""),68.15)</f>
        <v>68.15</v>
      </c>
      <c r="C250" s="1">
        <f>IFERROR(__xludf.DUMMYFUNCTION("""COMPUTED_VALUE"""),71.36)</f>
        <v>71.36</v>
      </c>
      <c r="D250" s="1">
        <f>IFERROR(__xludf.DUMMYFUNCTION("""COMPUTED_VALUE"""),68.15)</f>
        <v>68.15</v>
      </c>
      <c r="E250" s="1">
        <f>IFERROR(__xludf.DUMMYFUNCTION("""COMPUTED_VALUE"""),71.34)</f>
        <v>71.34</v>
      </c>
      <c r="F250" s="1">
        <f>IFERROR(__xludf.DUMMYFUNCTION("""COMPUTED_VALUE"""),0.0)</f>
        <v>0</v>
      </c>
    </row>
    <row r="251" ht="15.75" customHeight="1">
      <c r="A251" s="10">
        <f>IFERROR(__xludf.DUMMYFUNCTION("""COMPUTED_VALUE"""),44034.66666666667)</f>
        <v>44034.66667</v>
      </c>
      <c r="B251" s="1">
        <f>IFERROR(__xludf.DUMMYFUNCTION("""COMPUTED_VALUE"""),70.42)</f>
        <v>70.42</v>
      </c>
      <c r="C251" s="1">
        <f>IFERROR(__xludf.DUMMYFUNCTION("""COMPUTED_VALUE"""),71.01)</f>
        <v>71.01</v>
      </c>
      <c r="D251" s="1">
        <f>IFERROR(__xludf.DUMMYFUNCTION("""COMPUTED_VALUE"""),69.53)</f>
        <v>69.53</v>
      </c>
      <c r="E251" s="1">
        <f>IFERROR(__xludf.DUMMYFUNCTION("""COMPUTED_VALUE"""),70.37)</f>
        <v>70.37</v>
      </c>
      <c r="F251" s="1">
        <f>IFERROR(__xludf.DUMMYFUNCTION("""COMPUTED_VALUE"""),0.0)</f>
        <v>0</v>
      </c>
    </row>
    <row r="252" ht="15.75" customHeight="1">
      <c r="A252" s="10">
        <f>IFERROR(__xludf.DUMMYFUNCTION("""COMPUTED_VALUE"""),44035.66666666667)</f>
        <v>44035.66667</v>
      </c>
      <c r="B252" s="1">
        <f>IFERROR(__xludf.DUMMYFUNCTION("""COMPUTED_VALUE"""),70.21)</f>
        <v>70.21</v>
      </c>
      <c r="C252" s="1">
        <f>IFERROR(__xludf.DUMMYFUNCTION("""COMPUTED_VALUE"""),72.67)</f>
        <v>72.67</v>
      </c>
      <c r="D252" s="1">
        <f>IFERROR(__xludf.DUMMYFUNCTION("""COMPUTED_VALUE"""),70.21)</f>
        <v>70.21</v>
      </c>
      <c r="E252" s="1">
        <f>IFERROR(__xludf.DUMMYFUNCTION("""COMPUTED_VALUE"""),72.18)</f>
        <v>72.18</v>
      </c>
      <c r="F252" s="1">
        <f>IFERROR(__xludf.DUMMYFUNCTION("""COMPUTED_VALUE"""),0.0)</f>
        <v>0</v>
      </c>
    </row>
    <row r="253" ht="15.75" customHeight="1">
      <c r="A253" s="10">
        <f>IFERROR(__xludf.DUMMYFUNCTION("""COMPUTED_VALUE"""),44036.66666666667)</f>
        <v>44036.66667</v>
      </c>
      <c r="B253" s="1">
        <f>IFERROR(__xludf.DUMMYFUNCTION("""COMPUTED_VALUE"""),72.39)</f>
        <v>72.39</v>
      </c>
      <c r="C253" s="1">
        <f>IFERROR(__xludf.DUMMYFUNCTION("""COMPUTED_VALUE"""),73.22)</f>
        <v>73.22</v>
      </c>
      <c r="D253" s="1">
        <f>IFERROR(__xludf.DUMMYFUNCTION("""COMPUTED_VALUE"""),71.59)</f>
        <v>71.59</v>
      </c>
      <c r="E253" s="1">
        <f>IFERROR(__xludf.DUMMYFUNCTION("""COMPUTED_VALUE"""),71.66)</f>
        <v>71.66</v>
      </c>
      <c r="F253" s="1">
        <f>IFERROR(__xludf.DUMMYFUNCTION("""COMPUTED_VALUE"""),0.0)</f>
        <v>0</v>
      </c>
    </row>
    <row r="254" ht="15.75" customHeight="1">
      <c r="A254" s="10">
        <f>IFERROR(__xludf.DUMMYFUNCTION("""COMPUTED_VALUE"""),44039.66666666667)</f>
        <v>44039.66667</v>
      </c>
      <c r="B254" s="1">
        <f>IFERROR(__xludf.DUMMYFUNCTION("""COMPUTED_VALUE"""),71.11)</f>
        <v>71.11</v>
      </c>
      <c r="C254" s="1">
        <f>IFERROR(__xludf.DUMMYFUNCTION("""COMPUTED_VALUE"""),71.11)</f>
        <v>71.11</v>
      </c>
      <c r="D254" s="1">
        <f>IFERROR(__xludf.DUMMYFUNCTION("""COMPUTED_VALUE"""),69.36)</f>
        <v>69.36</v>
      </c>
      <c r="E254" s="1">
        <f>IFERROR(__xludf.DUMMYFUNCTION("""COMPUTED_VALUE"""),69.73)</f>
        <v>69.73</v>
      </c>
      <c r="F254" s="1">
        <f>IFERROR(__xludf.DUMMYFUNCTION("""COMPUTED_VALUE"""),0.0)</f>
        <v>0</v>
      </c>
    </row>
    <row r="255" ht="15.75" customHeight="1">
      <c r="A255" s="10">
        <f>IFERROR(__xludf.DUMMYFUNCTION("""COMPUTED_VALUE"""),44040.66666666667)</f>
        <v>44040.66667</v>
      </c>
      <c r="B255" s="1">
        <f>IFERROR(__xludf.DUMMYFUNCTION("""COMPUTED_VALUE"""),69.46)</f>
        <v>69.46</v>
      </c>
      <c r="C255" s="1">
        <f>IFERROR(__xludf.DUMMYFUNCTION("""COMPUTED_VALUE"""),70.15)</f>
        <v>70.15</v>
      </c>
      <c r="D255" s="1">
        <f>IFERROR(__xludf.DUMMYFUNCTION("""COMPUTED_VALUE"""),69.24)</f>
        <v>69.24</v>
      </c>
      <c r="E255" s="1">
        <f>IFERROR(__xludf.DUMMYFUNCTION("""COMPUTED_VALUE"""),69.38)</f>
        <v>69.38</v>
      </c>
      <c r="F255" s="1">
        <f>IFERROR(__xludf.DUMMYFUNCTION("""COMPUTED_VALUE"""),0.0)</f>
        <v>0</v>
      </c>
    </row>
    <row r="256" ht="15.75" customHeight="1">
      <c r="A256" s="10">
        <f>IFERROR(__xludf.DUMMYFUNCTION("""COMPUTED_VALUE"""),44041.66666666667)</f>
        <v>44041.66667</v>
      </c>
      <c r="B256" s="1">
        <f>IFERROR(__xludf.DUMMYFUNCTION("""COMPUTED_VALUE"""),69.37)</f>
        <v>69.37</v>
      </c>
      <c r="C256" s="1">
        <f>IFERROR(__xludf.DUMMYFUNCTION("""COMPUTED_VALUE"""),71.99)</f>
        <v>71.99</v>
      </c>
      <c r="D256" s="1">
        <f>IFERROR(__xludf.DUMMYFUNCTION("""COMPUTED_VALUE"""),69.15)</f>
        <v>69.15</v>
      </c>
      <c r="E256" s="1">
        <f>IFERROR(__xludf.DUMMYFUNCTION("""COMPUTED_VALUE"""),71.89)</f>
        <v>71.89</v>
      </c>
      <c r="F256" s="1">
        <f>IFERROR(__xludf.DUMMYFUNCTION("""COMPUTED_VALUE"""),0.0)</f>
        <v>0</v>
      </c>
    </row>
    <row r="257" ht="15.75" customHeight="1">
      <c r="A257" s="10">
        <f>IFERROR(__xludf.DUMMYFUNCTION("""COMPUTED_VALUE"""),44042.66666666667)</f>
        <v>44042.66667</v>
      </c>
      <c r="B257" s="1">
        <f>IFERROR(__xludf.DUMMYFUNCTION("""COMPUTED_VALUE"""),70.18)</f>
        <v>70.18</v>
      </c>
      <c r="C257" s="1">
        <f>IFERROR(__xludf.DUMMYFUNCTION("""COMPUTED_VALUE"""),70.46)</f>
        <v>70.46</v>
      </c>
      <c r="D257" s="1">
        <f>IFERROR(__xludf.DUMMYFUNCTION("""COMPUTED_VALUE"""),68.67)</f>
        <v>68.67</v>
      </c>
      <c r="E257" s="1">
        <f>IFERROR(__xludf.DUMMYFUNCTION("""COMPUTED_VALUE"""),70.39)</f>
        <v>70.39</v>
      </c>
      <c r="F257" s="1">
        <f>IFERROR(__xludf.DUMMYFUNCTION("""COMPUTED_VALUE"""),0.0)</f>
        <v>0</v>
      </c>
    </row>
    <row r="258" ht="15.75" customHeight="1">
      <c r="A258" s="10">
        <f>IFERROR(__xludf.DUMMYFUNCTION("""COMPUTED_VALUE"""),44043.66666666667)</f>
        <v>44043.66667</v>
      </c>
      <c r="B258" s="1">
        <f>IFERROR(__xludf.DUMMYFUNCTION("""COMPUTED_VALUE"""),69.94)</f>
        <v>69.94</v>
      </c>
      <c r="C258" s="1">
        <f>IFERROR(__xludf.DUMMYFUNCTION("""COMPUTED_VALUE"""),70.07)</f>
        <v>70.07</v>
      </c>
      <c r="D258" s="1">
        <f>IFERROR(__xludf.DUMMYFUNCTION("""COMPUTED_VALUE"""),68.24)</f>
        <v>68.24</v>
      </c>
      <c r="E258" s="1">
        <f>IFERROR(__xludf.DUMMYFUNCTION("""COMPUTED_VALUE"""),69.54)</f>
        <v>69.54</v>
      </c>
      <c r="F258" s="1">
        <f>IFERROR(__xludf.DUMMYFUNCTION("""COMPUTED_VALUE"""),0.0)</f>
        <v>0</v>
      </c>
    </row>
    <row r="259" ht="15.75" customHeight="1">
      <c r="A259" s="10">
        <f>IFERROR(__xludf.DUMMYFUNCTION("""COMPUTED_VALUE"""),44046.66666666667)</f>
        <v>44046.66667</v>
      </c>
      <c r="B259" s="1">
        <f>IFERROR(__xludf.DUMMYFUNCTION("""COMPUTED_VALUE"""),69.79)</f>
        <v>69.79</v>
      </c>
      <c r="C259" s="1">
        <f>IFERROR(__xludf.DUMMYFUNCTION("""COMPUTED_VALUE"""),70.13)</f>
        <v>70.13</v>
      </c>
      <c r="D259" s="1">
        <f>IFERROR(__xludf.DUMMYFUNCTION("""COMPUTED_VALUE"""),68.77)</f>
        <v>68.77</v>
      </c>
      <c r="E259" s="1">
        <f>IFERROR(__xludf.DUMMYFUNCTION("""COMPUTED_VALUE"""),69.44)</f>
        <v>69.44</v>
      </c>
      <c r="F259" s="1">
        <f>IFERROR(__xludf.DUMMYFUNCTION("""COMPUTED_VALUE"""),0.0)</f>
        <v>0</v>
      </c>
    </row>
    <row r="260" ht="15.75" customHeight="1">
      <c r="A260" s="10">
        <f>IFERROR(__xludf.DUMMYFUNCTION("""COMPUTED_VALUE"""),44047.66666666667)</f>
        <v>44047.66667</v>
      </c>
      <c r="B260" s="1">
        <f>IFERROR(__xludf.DUMMYFUNCTION("""COMPUTED_VALUE"""),69.19)</f>
        <v>69.19</v>
      </c>
      <c r="C260" s="1">
        <f>IFERROR(__xludf.DUMMYFUNCTION("""COMPUTED_VALUE"""),69.29)</f>
        <v>69.29</v>
      </c>
      <c r="D260" s="1">
        <f>IFERROR(__xludf.DUMMYFUNCTION("""COMPUTED_VALUE"""),68.41)</f>
        <v>68.41</v>
      </c>
      <c r="E260" s="1">
        <f>IFERROR(__xludf.DUMMYFUNCTION("""COMPUTED_VALUE"""),69.07)</f>
        <v>69.07</v>
      </c>
      <c r="F260" s="1">
        <f>IFERROR(__xludf.DUMMYFUNCTION("""COMPUTED_VALUE"""),0.0)</f>
        <v>0</v>
      </c>
    </row>
    <row r="261" ht="15.75" customHeight="1">
      <c r="A261" s="10">
        <f>IFERROR(__xludf.DUMMYFUNCTION("""COMPUTED_VALUE"""),44048.66666666667)</f>
        <v>44048.66667</v>
      </c>
      <c r="B261" s="1">
        <f>IFERROR(__xludf.DUMMYFUNCTION("""COMPUTED_VALUE"""),69.9)</f>
        <v>69.9</v>
      </c>
      <c r="C261" s="1">
        <f>IFERROR(__xludf.DUMMYFUNCTION("""COMPUTED_VALUE"""),71.04)</f>
        <v>71.04</v>
      </c>
      <c r="D261" s="1">
        <f>IFERROR(__xludf.DUMMYFUNCTION("""COMPUTED_VALUE"""),69.47)</f>
        <v>69.47</v>
      </c>
      <c r="E261" s="1">
        <f>IFERROR(__xludf.DUMMYFUNCTION("""COMPUTED_VALUE"""),70.93)</f>
        <v>70.93</v>
      </c>
      <c r="F261" s="1">
        <f>IFERROR(__xludf.DUMMYFUNCTION("""COMPUTED_VALUE"""),0.0)</f>
        <v>0</v>
      </c>
    </row>
    <row r="262" ht="15.75" customHeight="1">
      <c r="A262" s="10">
        <f>IFERROR(__xludf.DUMMYFUNCTION("""COMPUTED_VALUE"""),44049.66666666667)</f>
        <v>44049.66667</v>
      </c>
      <c r="B262" s="1">
        <f>IFERROR(__xludf.DUMMYFUNCTION("""COMPUTED_VALUE"""),70.38)</f>
        <v>70.38</v>
      </c>
      <c r="C262" s="1">
        <f>IFERROR(__xludf.DUMMYFUNCTION("""COMPUTED_VALUE"""),71.12)</f>
        <v>71.12</v>
      </c>
      <c r="D262" s="1">
        <f>IFERROR(__xludf.DUMMYFUNCTION("""COMPUTED_VALUE"""),70.03)</f>
        <v>70.03</v>
      </c>
      <c r="E262" s="1">
        <f>IFERROR(__xludf.DUMMYFUNCTION("""COMPUTED_VALUE"""),70.33)</f>
        <v>70.33</v>
      </c>
      <c r="F262" s="1">
        <f>IFERROR(__xludf.DUMMYFUNCTION("""COMPUTED_VALUE"""),0.0)</f>
        <v>0</v>
      </c>
    </row>
    <row r="263" ht="15.75" customHeight="1">
      <c r="A263" s="10">
        <f>IFERROR(__xludf.DUMMYFUNCTION("""COMPUTED_VALUE"""),44050.66666666667)</f>
        <v>44050.66667</v>
      </c>
      <c r="B263" s="1">
        <f>IFERROR(__xludf.DUMMYFUNCTION("""COMPUTED_VALUE"""),69.79)</f>
        <v>69.79</v>
      </c>
      <c r="C263" s="1">
        <f>IFERROR(__xludf.DUMMYFUNCTION("""COMPUTED_VALUE"""),73.6)</f>
        <v>73.6</v>
      </c>
      <c r="D263" s="1">
        <f>IFERROR(__xludf.DUMMYFUNCTION("""COMPUTED_VALUE"""),69.5)</f>
        <v>69.5</v>
      </c>
      <c r="E263" s="1">
        <f>IFERROR(__xludf.DUMMYFUNCTION("""COMPUTED_VALUE"""),73.57)</f>
        <v>73.57</v>
      </c>
      <c r="F263" s="1">
        <f>IFERROR(__xludf.DUMMYFUNCTION("""COMPUTED_VALUE"""),0.0)</f>
        <v>0</v>
      </c>
    </row>
    <row r="264" ht="15.75" customHeight="1">
      <c r="A264" s="10">
        <f>IFERROR(__xludf.DUMMYFUNCTION("""COMPUTED_VALUE"""),44053.66666666667)</f>
        <v>44053.66667</v>
      </c>
      <c r="B264" s="1">
        <f>IFERROR(__xludf.DUMMYFUNCTION("""COMPUTED_VALUE"""),73.87)</f>
        <v>73.87</v>
      </c>
      <c r="C264" s="1">
        <f>IFERROR(__xludf.DUMMYFUNCTION("""COMPUTED_VALUE"""),76.29)</f>
        <v>76.29</v>
      </c>
      <c r="D264" s="1">
        <f>IFERROR(__xludf.DUMMYFUNCTION("""COMPUTED_VALUE"""),73.84)</f>
        <v>73.84</v>
      </c>
      <c r="E264" s="1">
        <f>IFERROR(__xludf.DUMMYFUNCTION("""COMPUTED_VALUE"""),74.94)</f>
        <v>74.94</v>
      </c>
      <c r="F264" s="1">
        <f>IFERROR(__xludf.DUMMYFUNCTION("""COMPUTED_VALUE"""),0.0)</f>
        <v>0</v>
      </c>
    </row>
    <row r="265" ht="15.75" customHeight="1">
      <c r="A265" s="10">
        <f>IFERROR(__xludf.DUMMYFUNCTION("""COMPUTED_VALUE"""),44054.66666666667)</f>
        <v>44054.66667</v>
      </c>
      <c r="B265" s="1">
        <f>IFERROR(__xludf.DUMMYFUNCTION("""COMPUTED_VALUE"""),76.74)</f>
        <v>76.74</v>
      </c>
      <c r="C265" s="1">
        <f>IFERROR(__xludf.DUMMYFUNCTION("""COMPUTED_VALUE"""),77.92)</f>
        <v>77.92</v>
      </c>
      <c r="D265" s="1">
        <f>IFERROR(__xludf.DUMMYFUNCTION("""COMPUTED_VALUE"""),75.81)</f>
        <v>75.81</v>
      </c>
      <c r="E265" s="1">
        <f>IFERROR(__xludf.DUMMYFUNCTION("""COMPUTED_VALUE"""),76.18)</f>
        <v>76.18</v>
      </c>
      <c r="F265" s="1">
        <f>IFERROR(__xludf.DUMMYFUNCTION("""COMPUTED_VALUE"""),0.0)</f>
        <v>0</v>
      </c>
    </row>
    <row r="266" ht="15.75" customHeight="1">
      <c r="A266" s="10">
        <f>IFERROR(__xludf.DUMMYFUNCTION("""COMPUTED_VALUE"""),44055.66666666667)</f>
        <v>44055.66667</v>
      </c>
      <c r="B266" s="1">
        <f>IFERROR(__xludf.DUMMYFUNCTION("""COMPUTED_VALUE"""),77.85)</f>
        <v>77.85</v>
      </c>
      <c r="C266" s="1">
        <f>IFERROR(__xludf.DUMMYFUNCTION("""COMPUTED_VALUE"""),77.85)</f>
        <v>77.85</v>
      </c>
      <c r="D266" s="1">
        <f>IFERROR(__xludf.DUMMYFUNCTION("""COMPUTED_VALUE"""),74.41)</f>
        <v>74.41</v>
      </c>
      <c r="E266" s="1">
        <f>IFERROR(__xludf.DUMMYFUNCTION("""COMPUTED_VALUE"""),75.56)</f>
        <v>75.56</v>
      </c>
      <c r="F266" s="1">
        <f>IFERROR(__xludf.DUMMYFUNCTION("""COMPUTED_VALUE"""),0.0)</f>
        <v>0</v>
      </c>
    </row>
    <row r="267" ht="15.75" customHeight="1">
      <c r="A267" s="10">
        <f>IFERROR(__xludf.DUMMYFUNCTION("""COMPUTED_VALUE"""),44056.66666666667)</f>
        <v>44056.66667</v>
      </c>
      <c r="B267" s="1">
        <f>IFERROR(__xludf.DUMMYFUNCTION("""COMPUTED_VALUE"""),74.69)</f>
        <v>74.69</v>
      </c>
      <c r="C267" s="1">
        <f>IFERROR(__xludf.DUMMYFUNCTION("""COMPUTED_VALUE"""),75.19)</f>
        <v>75.19</v>
      </c>
      <c r="D267" s="1">
        <f>IFERROR(__xludf.DUMMYFUNCTION("""COMPUTED_VALUE"""),74.12)</f>
        <v>74.12</v>
      </c>
      <c r="E267" s="1">
        <f>IFERROR(__xludf.DUMMYFUNCTION("""COMPUTED_VALUE"""),74.24)</f>
        <v>74.24</v>
      </c>
      <c r="F267" s="1">
        <f>IFERROR(__xludf.DUMMYFUNCTION("""COMPUTED_VALUE"""),0.0)</f>
        <v>0</v>
      </c>
    </row>
    <row r="268" ht="15.75" customHeight="1">
      <c r="A268" s="10">
        <f>IFERROR(__xludf.DUMMYFUNCTION("""COMPUTED_VALUE"""),44057.66666666667)</f>
        <v>44057.66667</v>
      </c>
      <c r="B268" s="1">
        <f>IFERROR(__xludf.DUMMYFUNCTION("""COMPUTED_VALUE"""),73.58)</f>
        <v>73.58</v>
      </c>
      <c r="C268" s="1">
        <f>IFERROR(__xludf.DUMMYFUNCTION("""COMPUTED_VALUE"""),75.7)</f>
        <v>75.7</v>
      </c>
      <c r="D268" s="1">
        <f>IFERROR(__xludf.DUMMYFUNCTION("""COMPUTED_VALUE"""),73.3)</f>
        <v>73.3</v>
      </c>
      <c r="E268" s="1">
        <f>IFERROR(__xludf.DUMMYFUNCTION("""COMPUTED_VALUE"""),75.1)</f>
        <v>75.1</v>
      </c>
      <c r="F268" s="1">
        <f>IFERROR(__xludf.DUMMYFUNCTION("""COMPUTED_VALUE"""),0.0)</f>
        <v>0</v>
      </c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" t="s">
        <v>168</v>
      </c>
      <c r="C2" s="2">
        <v>43831.0</v>
      </c>
      <c r="D2" s="2">
        <v>44059.0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IFERROR(__xludf.DUMMYFUNCTION("""COMPUTED_VALUE"""),43832.66666666667)</f>
        <v>43832.66667</v>
      </c>
      <c r="B6" s="1">
        <f>IFERROR(__xludf.DUMMYFUNCTION("""COMPUTED_VALUE"""),13.78)</f>
        <v>13.78</v>
      </c>
      <c r="C6" s="1">
        <f>IFERROR(__xludf.DUMMYFUNCTION("""COMPUTED_VALUE"""),13.78)</f>
        <v>13.78</v>
      </c>
      <c r="D6" s="1">
        <f>IFERROR(__xludf.DUMMYFUNCTION("""COMPUTED_VALUE"""),13.73)</f>
        <v>13.73</v>
      </c>
      <c r="E6" s="1">
        <f>IFERROR(__xludf.DUMMYFUNCTION("""COMPUTED_VALUE"""),13.75)</f>
        <v>13.75</v>
      </c>
      <c r="F6" s="1">
        <f>IFERROR(__xludf.DUMMYFUNCTION("""COMPUTED_VALUE"""),2235.0)</f>
        <v>2235</v>
      </c>
    </row>
    <row r="7" ht="15.75" customHeight="1">
      <c r="A7" s="10">
        <f>IFERROR(__xludf.DUMMYFUNCTION("""COMPUTED_VALUE"""),43833.66666666667)</f>
        <v>43833.66667</v>
      </c>
      <c r="B7" s="1">
        <f>IFERROR(__xludf.DUMMYFUNCTION("""COMPUTED_VALUE"""),13.75)</f>
        <v>13.75</v>
      </c>
      <c r="C7" s="1">
        <f>IFERROR(__xludf.DUMMYFUNCTION("""COMPUTED_VALUE"""),13.8)</f>
        <v>13.8</v>
      </c>
      <c r="D7" s="1">
        <f>IFERROR(__xludf.DUMMYFUNCTION("""COMPUTED_VALUE"""),13.74)</f>
        <v>13.74</v>
      </c>
      <c r="E7" s="1">
        <f>IFERROR(__xludf.DUMMYFUNCTION("""COMPUTED_VALUE"""),13.75)</f>
        <v>13.75</v>
      </c>
      <c r="F7" s="1">
        <f>IFERROR(__xludf.DUMMYFUNCTION("""COMPUTED_VALUE"""),14354.0)</f>
        <v>14354</v>
      </c>
    </row>
    <row r="8" ht="15.75" customHeight="1">
      <c r="A8" s="10">
        <f>IFERROR(__xludf.DUMMYFUNCTION("""COMPUTED_VALUE"""),43836.66666666667)</f>
        <v>43836.66667</v>
      </c>
      <c r="B8" s="1">
        <f>IFERROR(__xludf.DUMMYFUNCTION("""COMPUTED_VALUE"""),13.76)</f>
        <v>13.76</v>
      </c>
      <c r="C8" s="1">
        <f>IFERROR(__xludf.DUMMYFUNCTION("""COMPUTED_VALUE"""),13.81)</f>
        <v>13.81</v>
      </c>
      <c r="D8" s="1">
        <f>IFERROR(__xludf.DUMMYFUNCTION("""COMPUTED_VALUE"""),13.75)</f>
        <v>13.75</v>
      </c>
      <c r="E8" s="1">
        <f>IFERROR(__xludf.DUMMYFUNCTION("""COMPUTED_VALUE"""),13.75)</f>
        <v>13.75</v>
      </c>
      <c r="F8" s="1">
        <f>IFERROR(__xludf.DUMMYFUNCTION("""COMPUTED_VALUE"""),7135.0)</f>
        <v>7135</v>
      </c>
    </row>
    <row r="9" ht="15.75" customHeight="1">
      <c r="A9" s="10">
        <f>IFERROR(__xludf.DUMMYFUNCTION("""COMPUTED_VALUE"""),43837.66666666667)</f>
        <v>43837.66667</v>
      </c>
      <c r="B9" s="1">
        <f>IFERROR(__xludf.DUMMYFUNCTION("""COMPUTED_VALUE"""),13.77)</f>
        <v>13.77</v>
      </c>
      <c r="C9" s="1">
        <f>IFERROR(__xludf.DUMMYFUNCTION("""COMPUTED_VALUE"""),13.85)</f>
        <v>13.85</v>
      </c>
      <c r="D9" s="1">
        <f>IFERROR(__xludf.DUMMYFUNCTION("""COMPUTED_VALUE"""),13.77)</f>
        <v>13.77</v>
      </c>
      <c r="E9" s="1">
        <f>IFERROR(__xludf.DUMMYFUNCTION("""COMPUTED_VALUE"""),13.85)</f>
        <v>13.85</v>
      </c>
      <c r="F9" s="1">
        <f>IFERROR(__xludf.DUMMYFUNCTION("""COMPUTED_VALUE"""),8817.0)</f>
        <v>8817</v>
      </c>
    </row>
    <row r="10" ht="15.75" customHeight="1">
      <c r="A10" s="10">
        <f>IFERROR(__xludf.DUMMYFUNCTION("""COMPUTED_VALUE"""),43838.66666666667)</f>
        <v>43838.66667</v>
      </c>
      <c r="B10" s="1">
        <f>IFERROR(__xludf.DUMMYFUNCTION("""COMPUTED_VALUE"""),13.85)</f>
        <v>13.85</v>
      </c>
      <c r="C10" s="1">
        <f>IFERROR(__xludf.DUMMYFUNCTION("""COMPUTED_VALUE"""),13.91)</f>
        <v>13.91</v>
      </c>
      <c r="D10" s="1">
        <f>IFERROR(__xludf.DUMMYFUNCTION("""COMPUTED_VALUE"""),13.8)</f>
        <v>13.8</v>
      </c>
      <c r="E10" s="1">
        <f>IFERROR(__xludf.DUMMYFUNCTION("""COMPUTED_VALUE"""),13.8)</f>
        <v>13.8</v>
      </c>
      <c r="F10" s="1">
        <f>IFERROR(__xludf.DUMMYFUNCTION("""COMPUTED_VALUE"""),5279.0)</f>
        <v>5279</v>
      </c>
    </row>
    <row r="11" ht="15.75" customHeight="1">
      <c r="A11" s="10">
        <f>IFERROR(__xludf.DUMMYFUNCTION("""COMPUTED_VALUE"""),43839.66666666667)</f>
        <v>43839.66667</v>
      </c>
      <c r="B11" s="1">
        <f>IFERROR(__xludf.DUMMYFUNCTION("""COMPUTED_VALUE"""),13.83)</f>
        <v>13.83</v>
      </c>
      <c r="C11" s="1">
        <f>IFERROR(__xludf.DUMMYFUNCTION("""COMPUTED_VALUE"""),13.83)</f>
        <v>13.83</v>
      </c>
      <c r="D11" s="1">
        <f>IFERROR(__xludf.DUMMYFUNCTION("""COMPUTED_VALUE"""),13.8)</f>
        <v>13.8</v>
      </c>
      <c r="E11" s="1">
        <f>IFERROR(__xludf.DUMMYFUNCTION("""COMPUTED_VALUE"""),13.8)</f>
        <v>13.8</v>
      </c>
      <c r="F11" s="1">
        <f>IFERROR(__xludf.DUMMYFUNCTION("""COMPUTED_VALUE"""),4578.0)</f>
        <v>4578</v>
      </c>
    </row>
    <row r="12" ht="15.75" customHeight="1">
      <c r="A12" s="10">
        <f>IFERROR(__xludf.DUMMYFUNCTION("""COMPUTED_VALUE"""),43840.66666666667)</f>
        <v>43840.66667</v>
      </c>
      <c r="B12" s="1">
        <f>IFERROR(__xludf.DUMMYFUNCTION("""COMPUTED_VALUE"""),13.88)</f>
        <v>13.88</v>
      </c>
      <c r="C12" s="1">
        <f>IFERROR(__xludf.DUMMYFUNCTION("""COMPUTED_VALUE"""),13.88)</f>
        <v>13.88</v>
      </c>
      <c r="D12" s="1">
        <f>IFERROR(__xludf.DUMMYFUNCTION("""COMPUTED_VALUE"""),13.72)</f>
        <v>13.72</v>
      </c>
      <c r="E12" s="1">
        <f>IFERROR(__xludf.DUMMYFUNCTION("""COMPUTED_VALUE"""),13.72)</f>
        <v>13.72</v>
      </c>
      <c r="F12" s="1">
        <f>IFERROR(__xludf.DUMMYFUNCTION("""COMPUTED_VALUE"""),3820.0)</f>
        <v>3820</v>
      </c>
    </row>
    <row r="13" ht="15.75" customHeight="1">
      <c r="A13" s="10">
        <f>IFERROR(__xludf.DUMMYFUNCTION("""COMPUTED_VALUE"""),43843.66666666667)</f>
        <v>43843.66667</v>
      </c>
      <c r="B13" s="1">
        <f>IFERROR(__xludf.DUMMYFUNCTION("""COMPUTED_VALUE"""),13.82)</f>
        <v>13.82</v>
      </c>
      <c r="C13" s="1">
        <f>IFERROR(__xludf.DUMMYFUNCTION("""COMPUTED_VALUE"""),13.82)</f>
        <v>13.82</v>
      </c>
      <c r="D13" s="1">
        <f>IFERROR(__xludf.DUMMYFUNCTION("""COMPUTED_VALUE"""),13.77)</f>
        <v>13.77</v>
      </c>
      <c r="E13" s="1">
        <f>IFERROR(__xludf.DUMMYFUNCTION("""COMPUTED_VALUE"""),13.82)</f>
        <v>13.82</v>
      </c>
      <c r="F13" s="1">
        <f>IFERROR(__xludf.DUMMYFUNCTION("""COMPUTED_VALUE"""),7735.0)</f>
        <v>7735</v>
      </c>
    </row>
    <row r="14" ht="15.75" customHeight="1">
      <c r="A14" s="10">
        <f>IFERROR(__xludf.DUMMYFUNCTION("""COMPUTED_VALUE"""),43844.66666666667)</f>
        <v>43844.66667</v>
      </c>
      <c r="B14" s="1">
        <f>IFERROR(__xludf.DUMMYFUNCTION("""COMPUTED_VALUE"""),13.78)</f>
        <v>13.78</v>
      </c>
      <c r="C14" s="1">
        <f>IFERROR(__xludf.DUMMYFUNCTION("""COMPUTED_VALUE"""),13.83)</f>
        <v>13.83</v>
      </c>
      <c r="D14" s="1">
        <f>IFERROR(__xludf.DUMMYFUNCTION("""COMPUTED_VALUE"""),13.78)</f>
        <v>13.78</v>
      </c>
      <c r="E14" s="1">
        <f>IFERROR(__xludf.DUMMYFUNCTION("""COMPUTED_VALUE"""),13.83)</f>
        <v>13.83</v>
      </c>
      <c r="F14" s="1">
        <f>IFERROR(__xludf.DUMMYFUNCTION("""COMPUTED_VALUE"""),1843.0)</f>
        <v>1843</v>
      </c>
    </row>
    <row r="15" ht="15.75" customHeight="1">
      <c r="A15" s="10">
        <f>IFERROR(__xludf.DUMMYFUNCTION("""COMPUTED_VALUE"""),43845.66666666667)</f>
        <v>43845.66667</v>
      </c>
      <c r="B15" s="1">
        <f>IFERROR(__xludf.DUMMYFUNCTION("""COMPUTED_VALUE"""),13.82)</f>
        <v>13.82</v>
      </c>
      <c r="C15" s="1">
        <f>IFERROR(__xludf.DUMMYFUNCTION("""COMPUTED_VALUE"""),13.83)</f>
        <v>13.83</v>
      </c>
      <c r="D15" s="1">
        <f>IFERROR(__xludf.DUMMYFUNCTION("""COMPUTED_VALUE"""),13.79)</f>
        <v>13.79</v>
      </c>
      <c r="E15" s="1">
        <f>IFERROR(__xludf.DUMMYFUNCTION("""COMPUTED_VALUE"""),13.81)</f>
        <v>13.81</v>
      </c>
      <c r="F15" s="1">
        <f>IFERROR(__xludf.DUMMYFUNCTION("""COMPUTED_VALUE"""),4432.0)</f>
        <v>4432</v>
      </c>
    </row>
    <row r="16" ht="15.75" customHeight="1">
      <c r="A16" s="10">
        <f>IFERROR(__xludf.DUMMYFUNCTION("""COMPUTED_VALUE"""),43846.66666666667)</f>
        <v>43846.66667</v>
      </c>
      <c r="B16" s="1">
        <f>IFERROR(__xludf.DUMMYFUNCTION("""COMPUTED_VALUE"""),13.83)</f>
        <v>13.83</v>
      </c>
      <c r="C16" s="1">
        <f>IFERROR(__xludf.DUMMYFUNCTION("""COMPUTED_VALUE"""),13.84)</f>
        <v>13.84</v>
      </c>
      <c r="D16" s="1">
        <f>IFERROR(__xludf.DUMMYFUNCTION("""COMPUTED_VALUE"""),13.79)</f>
        <v>13.79</v>
      </c>
      <c r="E16" s="1">
        <f>IFERROR(__xludf.DUMMYFUNCTION("""COMPUTED_VALUE"""),13.84)</f>
        <v>13.84</v>
      </c>
      <c r="F16" s="1">
        <f>IFERROR(__xludf.DUMMYFUNCTION("""COMPUTED_VALUE"""),10254.0)</f>
        <v>10254</v>
      </c>
    </row>
    <row r="17" ht="15.75" customHeight="1">
      <c r="A17" s="10">
        <f>IFERROR(__xludf.DUMMYFUNCTION("""COMPUTED_VALUE"""),43847.66666666667)</f>
        <v>43847.66667</v>
      </c>
      <c r="B17" s="1">
        <f>IFERROR(__xludf.DUMMYFUNCTION("""COMPUTED_VALUE"""),13.8)</f>
        <v>13.8</v>
      </c>
      <c r="C17" s="1">
        <f>IFERROR(__xludf.DUMMYFUNCTION("""COMPUTED_VALUE"""),13.8)</f>
        <v>13.8</v>
      </c>
      <c r="D17" s="1">
        <f>IFERROR(__xludf.DUMMYFUNCTION("""COMPUTED_VALUE"""),13.78)</f>
        <v>13.78</v>
      </c>
      <c r="E17" s="1">
        <f>IFERROR(__xludf.DUMMYFUNCTION("""COMPUTED_VALUE"""),13.8)</f>
        <v>13.8</v>
      </c>
      <c r="F17" s="1">
        <f>IFERROR(__xludf.DUMMYFUNCTION("""COMPUTED_VALUE"""),2558.0)</f>
        <v>2558</v>
      </c>
    </row>
    <row r="18" ht="15.75" customHeight="1">
      <c r="A18" s="10">
        <f>IFERROR(__xludf.DUMMYFUNCTION("""COMPUTED_VALUE"""),43851.66666666667)</f>
        <v>43851.66667</v>
      </c>
      <c r="B18" s="1">
        <f>IFERROR(__xludf.DUMMYFUNCTION("""COMPUTED_VALUE"""),13.81)</f>
        <v>13.81</v>
      </c>
      <c r="C18" s="1">
        <f>IFERROR(__xludf.DUMMYFUNCTION("""COMPUTED_VALUE"""),13.86)</f>
        <v>13.86</v>
      </c>
      <c r="D18" s="1">
        <f>IFERROR(__xludf.DUMMYFUNCTION("""COMPUTED_VALUE"""),13.81)</f>
        <v>13.81</v>
      </c>
      <c r="E18" s="1">
        <f>IFERROR(__xludf.DUMMYFUNCTION("""COMPUTED_VALUE"""),13.86)</f>
        <v>13.86</v>
      </c>
      <c r="F18" s="1">
        <f>IFERROR(__xludf.DUMMYFUNCTION("""COMPUTED_VALUE"""),7413.0)</f>
        <v>7413</v>
      </c>
    </row>
    <row r="19" ht="15.75" customHeight="1">
      <c r="A19" s="10">
        <f>IFERROR(__xludf.DUMMYFUNCTION("""COMPUTED_VALUE"""),43852.66666666667)</f>
        <v>43852.66667</v>
      </c>
      <c r="B19" s="1">
        <f>IFERROR(__xludf.DUMMYFUNCTION("""COMPUTED_VALUE"""),13.87)</f>
        <v>13.87</v>
      </c>
      <c r="C19" s="1">
        <f>IFERROR(__xludf.DUMMYFUNCTION("""COMPUTED_VALUE"""),13.88)</f>
        <v>13.88</v>
      </c>
      <c r="D19" s="1">
        <f>IFERROR(__xludf.DUMMYFUNCTION("""COMPUTED_VALUE"""),13.86)</f>
        <v>13.86</v>
      </c>
      <c r="E19" s="1">
        <f>IFERROR(__xludf.DUMMYFUNCTION("""COMPUTED_VALUE"""),13.87)</f>
        <v>13.87</v>
      </c>
      <c r="F19" s="1">
        <f>IFERROR(__xludf.DUMMYFUNCTION("""COMPUTED_VALUE"""),3232.0)</f>
        <v>3232</v>
      </c>
    </row>
    <row r="20" ht="15.75" customHeight="1">
      <c r="A20" s="10">
        <f>IFERROR(__xludf.DUMMYFUNCTION("""COMPUTED_VALUE"""),43853.66666666667)</f>
        <v>43853.66667</v>
      </c>
      <c r="B20" s="1">
        <f>IFERROR(__xludf.DUMMYFUNCTION("""COMPUTED_VALUE"""),13.84)</f>
        <v>13.84</v>
      </c>
      <c r="C20" s="1">
        <f>IFERROR(__xludf.DUMMYFUNCTION("""COMPUTED_VALUE"""),13.93)</f>
        <v>13.93</v>
      </c>
      <c r="D20" s="1">
        <f>IFERROR(__xludf.DUMMYFUNCTION("""COMPUTED_VALUE"""),13.84)</f>
        <v>13.84</v>
      </c>
      <c r="E20" s="1">
        <f>IFERROR(__xludf.DUMMYFUNCTION("""COMPUTED_VALUE"""),13.89)</f>
        <v>13.89</v>
      </c>
      <c r="F20" s="1">
        <f>IFERROR(__xludf.DUMMYFUNCTION("""COMPUTED_VALUE"""),21469.0)</f>
        <v>21469</v>
      </c>
    </row>
    <row r="21" ht="15.75" customHeight="1">
      <c r="A21" s="10">
        <f>IFERROR(__xludf.DUMMYFUNCTION("""COMPUTED_VALUE"""),43854.66666666667)</f>
        <v>43854.66667</v>
      </c>
      <c r="B21" s="1">
        <f>IFERROR(__xludf.DUMMYFUNCTION("""COMPUTED_VALUE"""),13.96)</f>
        <v>13.96</v>
      </c>
      <c r="C21" s="1">
        <f>IFERROR(__xludf.DUMMYFUNCTION("""COMPUTED_VALUE"""),13.99)</f>
        <v>13.99</v>
      </c>
      <c r="D21" s="1">
        <f>IFERROR(__xludf.DUMMYFUNCTION("""COMPUTED_VALUE"""),13.93)</f>
        <v>13.93</v>
      </c>
      <c r="E21" s="1">
        <f>IFERROR(__xludf.DUMMYFUNCTION("""COMPUTED_VALUE"""),13.96)</f>
        <v>13.96</v>
      </c>
      <c r="F21" s="1">
        <f>IFERROR(__xludf.DUMMYFUNCTION("""COMPUTED_VALUE"""),3449.0)</f>
        <v>3449</v>
      </c>
    </row>
    <row r="22" ht="15.75" customHeight="1">
      <c r="A22" s="10">
        <f>IFERROR(__xludf.DUMMYFUNCTION("""COMPUTED_VALUE"""),43857.66666666667)</f>
        <v>43857.66667</v>
      </c>
      <c r="B22" s="1">
        <f>IFERROR(__xludf.DUMMYFUNCTION("""COMPUTED_VALUE"""),13.96)</f>
        <v>13.96</v>
      </c>
      <c r="C22" s="1">
        <f>IFERROR(__xludf.DUMMYFUNCTION("""COMPUTED_VALUE"""),14.05)</f>
        <v>14.05</v>
      </c>
      <c r="D22" s="1">
        <f>IFERROR(__xludf.DUMMYFUNCTION("""COMPUTED_VALUE"""),13.96)</f>
        <v>13.96</v>
      </c>
      <c r="E22" s="1">
        <f>IFERROR(__xludf.DUMMYFUNCTION("""COMPUTED_VALUE"""),14.05)</f>
        <v>14.05</v>
      </c>
      <c r="F22" s="1">
        <f>IFERROR(__xludf.DUMMYFUNCTION("""COMPUTED_VALUE"""),2228.0)</f>
        <v>2228</v>
      </c>
    </row>
    <row r="23" ht="15.75" customHeight="1">
      <c r="A23" s="10">
        <f>IFERROR(__xludf.DUMMYFUNCTION("""COMPUTED_VALUE"""),43858.66666666667)</f>
        <v>43858.66667</v>
      </c>
      <c r="B23" s="1">
        <f>IFERROR(__xludf.DUMMYFUNCTION("""COMPUTED_VALUE"""),14.02)</f>
        <v>14.02</v>
      </c>
      <c r="C23" s="1">
        <f>IFERROR(__xludf.DUMMYFUNCTION("""COMPUTED_VALUE"""),14.05)</f>
        <v>14.05</v>
      </c>
      <c r="D23" s="1">
        <f>IFERROR(__xludf.DUMMYFUNCTION("""COMPUTED_VALUE"""),14.02)</f>
        <v>14.02</v>
      </c>
      <c r="E23" s="1">
        <f>IFERROR(__xludf.DUMMYFUNCTION("""COMPUTED_VALUE"""),14.05)</f>
        <v>14.05</v>
      </c>
      <c r="F23" s="1">
        <f>IFERROR(__xludf.DUMMYFUNCTION("""COMPUTED_VALUE"""),6846.0)</f>
        <v>6846</v>
      </c>
    </row>
    <row r="24" ht="15.75" customHeight="1">
      <c r="A24" s="10">
        <f>IFERROR(__xludf.DUMMYFUNCTION("""COMPUTED_VALUE"""),43859.66666666667)</f>
        <v>43859.66667</v>
      </c>
      <c r="B24" s="1">
        <f>IFERROR(__xludf.DUMMYFUNCTION("""COMPUTED_VALUE"""),14.04)</f>
        <v>14.04</v>
      </c>
      <c r="C24" s="1">
        <f>IFERROR(__xludf.DUMMYFUNCTION("""COMPUTED_VALUE"""),14.06)</f>
        <v>14.06</v>
      </c>
      <c r="D24" s="1">
        <f>IFERROR(__xludf.DUMMYFUNCTION("""COMPUTED_VALUE"""),14.04)</f>
        <v>14.04</v>
      </c>
      <c r="E24" s="1">
        <f>IFERROR(__xludf.DUMMYFUNCTION("""COMPUTED_VALUE"""),14.06)</f>
        <v>14.06</v>
      </c>
      <c r="F24" s="1">
        <f>IFERROR(__xludf.DUMMYFUNCTION("""COMPUTED_VALUE"""),677.0)</f>
        <v>677</v>
      </c>
    </row>
    <row r="25" ht="15.75" customHeight="1">
      <c r="A25" s="10">
        <f>IFERROR(__xludf.DUMMYFUNCTION("""COMPUTED_VALUE"""),43860.66666666667)</f>
        <v>43860.66667</v>
      </c>
      <c r="B25" s="1">
        <f>IFERROR(__xludf.DUMMYFUNCTION("""COMPUTED_VALUE"""),14.07)</f>
        <v>14.07</v>
      </c>
      <c r="C25" s="1">
        <f>IFERROR(__xludf.DUMMYFUNCTION("""COMPUTED_VALUE"""),14.12)</f>
        <v>14.12</v>
      </c>
      <c r="D25" s="1">
        <f>IFERROR(__xludf.DUMMYFUNCTION("""COMPUTED_VALUE"""),14.07)</f>
        <v>14.07</v>
      </c>
      <c r="E25" s="1">
        <f>IFERROR(__xludf.DUMMYFUNCTION("""COMPUTED_VALUE"""),14.12)</f>
        <v>14.12</v>
      </c>
      <c r="F25" s="1">
        <f>IFERROR(__xludf.DUMMYFUNCTION("""COMPUTED_VALUE"""),3602.0)</f>
        <v>3602</v>
      </c>
    </row>
    <row r="26" ht="15.75" customHeight="1">
      <c r="A26" s="10">
        <f>IFERROR(__xludf.DUMMYFUNCTION("""COMPUTED_VALUE"""),43861.66666666667)</f>
        <v>43861.66667</v>
      </c>
      <c r="B26" s="1">
        <f>IFERROR(__xludf.DUMMYFUNCTION("""COMPUTED_VALUE"""),14.13)</f>
        <v>14.13</v>
      </c>
      <c r="C26" s="1">
        <f>IFERROR(__xludf.DUMMYFUNCTION("""COMPUTED_VALUE"""),14.17)</f>
        <v>14.17</v>
      </c>
      <c r="D26" s="1">
        <f>IFERROR(__xludf.DUMMYFUNCTION("""COMPUTED_VALUE"""),14.13)</f>
        <v>14.13</v>
      </c>
      <c r="E26" s="1">
        <f>IFERROR(__xludf.DUMMYFUNCTION("""COMPUTED_VALUE"""),14.16)</f>
        <v>14.16</v>
      </c>
      <c r="F26" s="1">
        <f>IFERROR(__xludf.DUMMYFUNCTION("""COMPUTED_VALUE"""),4357.0)</f>
        <v>4357</v>
      </c>
    </row>
    <row r="27" ht="15.75" customHeight="1">
      <c r="A27" s="10">
        <f>IFERROR(__xludf.DUMMYFUNCTION("""COMPUTED_VALUE"""),43864.66666666667)</f>
        <v>43864.66667</v>
      </c>
      <c r="B27" s="1">
        <f>IFERROR(__xludf.DUMMYFUNCTION("""COMPUTED_VALUE"""),14.14)</f>
        <v>14.14</v>
      </c>
      <c r="C27" s="1">
        <f>IFERROR(__xludf.DUMMYFUNCTION("""COMPUTED_VALUE"""),14.14)</f>
        <v>14.14</v>
      </c>
      <c r="D27" s="1">
        <f>IFERROR(__xludf.DUMMYFUNCTION("""COMPUTED_VALUE"""),14.09)</f>
        <v>14.09</v>
      </c>
      <c r="E27" s="1">
        <f>IFERROR(__xludf.DUMMYFUNCTION("""COMPUTED_VALUE"""),14.09)</f>
        <v>14.09</v>
      </c>
      <c r="F27" s="1">
        <f>IFERROR(__xludf.DUMMYFUNCTION("""COMPUTED_VALUE"""),3422.0)</f>
        <v>3422</v>
      </c>
    </row>
    <row r="28" ht="15.75" customHeight="1">
      <c r="A28" s="10">
        <f>IFERROR(__xludf.DUMMYFUNCTION("""COMPUTED_VALUE"""),43865.66666666667)</f>
        <v>43865.66667</v>
      </c>
      <c r="B28" s="1">
        <f>IFERROR(__xludf.DUMMYFUNCTION("""COMPUTED_VALUE"""),14.09)</f>
        <v>14.09</v>
      </c>
      <c r="C28" s="1">
        <f>IFERROR(__xludf.DUMMYFUNCTION("""COMPUTED_VALUE"""),14.09)</f>
        <v>14.09</v>
      </c>
      <c r="D28" s="1">
        <f>IFERROR(__xludf.DUMMYFUNCTION("""COMPUTED_VALUE"""),14.0)</f>
        <v>14</v>
      </c>
      <c r="E28" s="1">
        <f>IFERROR(__xludf.DUMMYFUNCTION("""COMPUTED_VALUE"""),14.02)</f>
        <v>14.02</v>
      </c>
      <c r="F28" s="1">
        <f>IFERROR(__xludf.DUMMYFUNCTION("""COMPUTED_VALUE"""),10481.0)</f>
        <v>10481</v>
      </c>
    </row>
    <row r="29" ht="15.75" customHeight="1">
      <c r="A29" s="10">
        <f>IFERROR(__xludf.DUMMYFUNCTION("""COMPUTED_VALUE"""),43866.66666666667)</f>
        <v>43866.66667</v>
      </c>
      <c r="B29" s="1">
        <f>IFERROR(__xludf.DUMMYFUNCTION("""COMPUTED_VALUE"""),14.04)</f>
        <v>14.04</v>
      </c>
      <c r="C29" s="1">
        <f>IFERROR(__xludf.DUMMYFUNCTION("""COMPUTED_VALUE"""),14.15)</f>
        <v>14.15</v>
      </c>
      <c r="D29" s="1">
        <f>IFERROR(__xludf.DUMMYFUNCTION("""COMPUTED_VALUE"""),14.04)</f>
        <v>14.04</v>
      </c>
      <c r="E29" s="1">
        <f>IFERROR(__xludf.DUMMYFUNCTION("""COMPUTED_VALUE"""),14.07)</f>
        <v>14.07</v>
      </c>
      <c r="F29" s="1">
        <f>IFERROR(__xludf.DUMMYFUNCTION("""COMPUTED_VALUE"""),21524.0)</f>
        <v>21524</v>
      </c>
    </row>
    <row r="30" ht="15.75" customHeight="1">
      <c r="A30" s="10">
        <f>IFERROR(__xludf.DUMMYFUNCTION("""COMPUTED_VALUE"""),43867.66666666667)</f>
        <v>43867.66667</v>
      </c>
      <c r="B30" s="1">
        <f>IFERROR(__xludf.DUMMYFUNCTION("""COMPUTED_VALUE"""),14.09)</f>
        <v>14.09</v>
      </c>
      <c r="C30" s="1">
        <f>IFERROR(__xludf.DUMMYFUNCTION("""COMPUTED_VALUE"""),14.11)</f>
        <v>14.11</v>
      </c>
      <c r="D30" s="1">
        <f>IFERROR(__xludf.DUMMYFUNCTION("""COMPUTED_VALUE"""),14.0)</f>
        <v>14</v>
      </c>
      <c r="E30" s="1">
        <f>IFERROR(__xludf.DUMMYFUNCTION("""COMPUTED_VALUE"""),14.08)</f>
        <v>14.08</v>
      </c>
      <c r="F30" s="1">
        <f>IFERROR(__xludf.DUMMYFUNCTION("""COMPUTED_VALUE"""),6340.0)</f>
        <v>6340</v>
      </c>
    </row>
    <row r="31" ht="15.75" customHeight="1">
      <c r="A31" s="10">
        <f>IFERROR(__xludf.DUMMYFUNCTION("""COMPUTED_VALUE"""),43868.66666666667)</f>
        <v>43868.66667</v>
      </c>
      <c r="B31" s="1">
        <f>IFERROR(__xludf.DUMMYFUNCTION("""COMPUTED_VALUE"""),14.1)</f>
        <v>14.1</v>
      </c>
      <c r="C31" s="1">
        <f>IFERROR(__xludf.DUMMYFUNCTION("""COMPUTED_VALUE"""),14.19)</f>
        <v>14.19</v>
      </c>
      <c r="D31" s="1">
        <f>IFERROR(__xludf.DUMMYFUNCTION("""COMPUTED_VALUE"""),14.1)</f>
        <v>14.1</v>
      </c>
      <c r="E31" s="1">
        <f>IFERROR(__xludf.DUMMYFUNCTION("""COMPUTED_VALUE"""),14.1)</f>
        <v>14.1</v>
      </c>
      <c r="F31" s="1">
        <f>IFERROR(__xludf.DUMMYFUNCTION("""COMPUTED_VALUE"""),1596.0)</f>
        <v>1596</v>
      </c>
    </row>
    <row r="32" ht="15.75" customHeight="1">
      <c r="A32" s="10">
        <f>IFERROR(__xludf.DUMMYFUNCTION("""COMPUTED_VALUE"""),43871.66666666667)</f>
        <v>43871.66667</v>
      </c>
      <c r="B32" s="1">
        <f>IFERROR(__xludf.DUMMYFUNCTION("""COMPUTED_VALUE"""),14.12)</f>
        <v>14.12</v>
      </c>
      <c r="C32" s="1">
        <f>IFERROR(__xludf.DUMMYFUNCTION("""COMPUTED_VALUE"""),14.12)</f>
        <v>14.12</v>
      </c>
      <c r="D32" s="1">
        <f>IFERROR(__xludf.DUMMYFUNCTION("""COMPUTED_VALUE"""),14.07)</f>
        <v>14.07</v>
      </c>
      <c r="E32" s="1">
        <f>IFERROR(__xludf.DUMMYFUNCTION("""COMPUTED_VALUE"""),14.09)</f>
        <v>14.09</v>
      </c>
      <c r="F32" s="1">
        <f>IFERROR(__xludf.DUMMYFUNCTION("""COMPUTED_VALUE"""),13369.0)</f>
        <v>13369</v>
      </c>
    </row>
    <row r="33" ht="15.75" customHeight="1">
      <c r="A33" s="10">
        <f>IFERROR(__xludf.DUMMYFUNCTION("""COMPUTED_VALUE"""),43872.66666666667)</f>
        <v>43872.66667</v>
      </c>
      <c r="B33" s="1">
        <f>IFERROR(__xludf.DUMMYFUNCTION("""COMPUTED_VALUE"""),14.12)</f>
        <v>14.12</v>
      </c>
      <c r="C33" s="1">
        <f>IFERROR(__xludf.DUMMYFUNCTION("""COMPUTED_VALUE"""),14.12)</f>
        <v>14.12</v>
      </c>
      <c r="D33" s="1">
        <f>IFERROR(__xludf.DUMMYFUNCTION("""COMPUTED_VALUE"""),14.06)</f>
        <v>14.06</v>
      </c>
      <c r="E33" s="1">
        <f>IFERROR(__xludf.DUMMYFUNCTION("""COMPUTED_VALUE"""),14.06)</f>
        <v>14.06</v>
      </c>
      <c r="F33" s="1">
        <f>IFERROR(__xludf.DUMMYFUNCTION("""COMPUTED_VALUE"""),4460.0)</f>
        <v>4460</v>
      </c>
    </row>
    <row r="34" ht="15.75" customHeight="1">
      <c r="A34" s="10">
        <f>IFERROR(__xludf.DUMMYFUNCTION("""COMPUTED_VALUE"""),43873.66666666667)</f>
        <v>43873.66667</v>
      </c>
      <c r="B34" s="1">
        <f>IFERROR(__xludf.DUMMYFUNCTION("""COMPUTED_VALUE"""),14.12)</f>
        <v>14.12</v>
      </c>
      <c r="C34" s="1">
        <f>IFERROR(__xludf.DUMMYFUNCTION("""COMPUTED_VALUE"""),14.12)</f>
        <v>14.12</v>
      </c>
      <c r="D34" s="1">
        <f>IFERROR(__xludf.DUMMYFUNCTION("""COMPUTED_VALUE"""),14.01)</f>
        <v>14.01</v>
      </c>
      <c r="E34" s="1">
        <f>IFERROR(__xludf.DUMMYFUNCTION("""COMPUTED_VALUE"""),14.01)</f>
        <v>14.01</v>
      </c>
      <c r="F34" s="1">
        <f>IFERROR(__xludf.DUMMYFUNCTION("""COMPUTED_VALUE"""),8643.0)</f>
        <v>8643</v>
      </c>
    </row>
    <row r="35" ht="15.75" customHeight="1">
      <c r="A35" s="10">
        <f>IFERROR(__xludf.DUMMYFUNCTION("""COMPUTED_VALUE"""),43874.66666666667)</f>
        <v>43874.66667</v>
      </c>
      <c r="B35" s="1">
        <f>IFERROR(__xludf.DUMMYFUNCTION("""COMPUTED_VALUE"""),14.12)</f>
        <v>14.12</v>
      </c>
      <c r="C35" s="1">
        <f>IFERROR(__xludf.DUMMYFUNCTION("""COMPUTED_VALUE"""),14.12)</f>
        <v>14.12</v>
      </c>
      <c r="D35" s="1">
        <f>IFERROR(__xludf.DUMMYFUNCTION("""COMPUTED_VALUE"""),13.92)</f>
        <v>13.92</v>
      </c>
      <c r="E35" s="1">
        <f>IFERROR(__xludf.DUMMYFUNCTION("""COMPUTED_VALUE"""),13.92)</f>
        <v>13.92</v>
      </c>
      <c r="F35" s="1">
        <f>IFERROR(__xludf.DUMMYFUNCTION("""COMPUTED_VALUE"""),28224.0)</f>
        <v>28224</v>
      </c>
    </row>
    <row r="36" ht="15.75" customHeight="1">
      <c r="A36" s="10">
        <f>IFERROR(__xludf.DUMMYFUNCTION("""COMPUTED_VALUE"""),43875.66666666667)</f>
        <v>43875.66667</v>
      </c>
      <c r="B36" s="1">
        <f>IFERROR(__xludf.DUMMYFUNCTION("""COMPUTED_VALUE"""),14.04)</f>
        <v>14.04</v>
      </c>
      <c r="C36" s="1">
        <f>IFERROR(__xludf.DUMMYFUNCTION("""COMPUTED_VALUE"""),14.04)</f>
        <v>14.04</v>
      </c>
      <c r="D36" s="1">
        <f>IFERROR(__xludf.DUMMYFUNCTION("""COMPUTED_VALUE"""),13.87)</f>
        <v>13.87</v>
      </c>
      <c r="E36" s="1">
        <f>IFERROR(__xludf.DUMMYFUNCTION("""COMPUTED_VALUE"""),13.9)</f>
        <v>13.9</v>
      </c>
      <c r="F36" s="1">
        <f>IFERROR(__xludf.DUMMYFUNCTION("""COMPUTED_VALUE"""),15239.0)</f>
        <v>15239</v>
      </c>
    </row>
    <row r="37" ht="15.75" customHeight="1">
      <c r="A37" s="10">
        <f>IFERROR(__xludf.DUMMYFUNCTION("""COMPUTED_VALUE"""),43879.66666666667)</f>
        <v>43879.66667</v>
      </c>
      <c r="B37" s="1">
        <f>IFERROR(__xludf.DUMMYFUNCTION("""COMPUTED_VALUE"""),13.97)</f>
        <v>13.97</v>
      </c>
      <c r="C37" s="1">
        <f>IFERROR(__xludf.DUMMYFUNCTION("""COMPUTED_VALUE"""),13.97)</f>
        <v>13.97</v>
      </c>
      <c r="D37" s="1">
        <f>IFERROR(__xludf.DUMMYFUNCTION("""COMPUTED_VALUE"""),13.94)</f>
        <v>13.94</v>
      </c>
      <c r="E37" s="1">
        <f>IFERROR(__xludf.DUMMYFUNCTION("""COMPUTED_VALUE"""),13.95)</f>
        <v>13.95</v>
      </c>
      <c r="F37" s="1">
        <f>IFERROR(__xludf.DUMMYFUNCTION("""COMPUTED_VALUE"""),8109.0)</f>
        <v>8109</v>
      </c>
    </row>
    <row r="38" ht="15.75" customHeight="1">
      <c r="A38" s="10">
        <f>IFERROR(__xludf.DUMMYFUNCTION("""COMPUTED_VALUE"""),43880.66666666667)</f>
        <v>43880.66667</v>
      </c>
      <c r="B38" s="1">
        <f>IFERROR(__xludf.DUMMYFUNCTION("""COMPUTED_VALUE"""),14.1)</f>
        <v>14.1</v>
      </c>
      <c r="C38" s="1">
        <f>IFERROR(__xludf.DUMMYFUNCTION("""COMPUTED_VALUE"""),14.1)</f>
        <v>14.1</v>
      </c>
      <c r="D38" s="1">
        <f>IFERROR(__xludf.DUMMYFUNCTION("""COMPUTED_VALUE"""),13.99)</f>
        <v>13.99</v>
      </c>
      <c r="E38" s="1">
        <f>IFERROR(__xludf.DUMMYFUNCTION("""COMPUTED_VALUE"""),14.04)</f>
        <v>14.04</v>
      </c>
      <c r="F38" s="1">
        <f>IFERROR(__xludf.DUMMYFUNCTION("""COMPUTED_VALUE"""),11420.0)</f>
        <v>11420</v>
      </c>
    </row>
    <row r="39" ht="15.75" customHeight="1">
      <c r="A39" s="10">
        <f>IFERROR(__xludf.DUMMYFUNCTION("""COMPUTED_VALUE"""),43881.66666666667)</f>
        <v>43881.66667</v>
      </c>
      <c r="B39" s="1">
        <f>IFERROR(__xludf.DUMMYFUNCTION("""COMPUTED_VALUE"""),14.11)</f>
        <v>14.11</v>
      </c>
      <c r="C39" s="1">
        <f>IFERROR(__xludf.DUMMYFUNCTION("""COMPUTED_VALUE"""),14.11)</f>
        <v>14.11</v>
      </c>
      <c r="D39" s="1">
        <f>IFERROR(__xludf.DUMMYFUNCTION("""COMPUTED_VALUE"""),14.01)</f>
        <v>14.01</v>
      </c>
      <c r="E39" s="1">
        <f>IFERROR(__xludf.DUMMYFUNCTION("""COMPUTED_VALUE"""),14.01)</f>
        <v>14.01</v>
      </c>
      <c r="F39" s="1">
        <f>IFERROR(__xludf.DUMMYFUNCTION("""COMPUTED_VALUE"""),3316.0)</f>
        <v>3316</v>
      </c>
    </row>
    <row r="40" ht="15.75" customHeight="1">
      <c r="A40" s="10">
        <f>IFERROR(__xludf.DUMMYFUNCTION("""COMPUTED_VALUE"""),43882.66666666667)</f>
        <v>43882.66667</v>
      </c>
      <c r="B40" s="1">
        <f>IFERROR(__xludf.DUMMYFUNCTION("""COMPUTED_VALUE"""),13.99)</f>
        <v>13.99</v>
      </c>
      <c r="C40" s="1">
        <f>IFERROR(__xludf.DUMMYFUNCTION("""COMPUTED_VALUE"""),14.07)</f>
        <v>14.07</v>
      </c>
      <c r="D40" s="1">
        <f>IFERROR(__xludf.DUMMYFUNCTION("""COMPUTED_VALUE"""),13.99)</f>
        <v>13.99</v>
      </c>
      <c r="E40" s="1">
        <f>IFERROR(__xludf.DUMMYFUNCTION("""COMPUTED_VALUE"""),14.01)</f>
        <v>14.01</v>
      </c>
      <c r="F40" s="1">
        <f>IFERROR(__xludf.DUMMYFUNCTION("""COMPUTED_VALUE"""),19274.0)</f>
        <v>19274</v>
      </c>
    </row>
    <row r="41" ht="15.75" customHeight="1">
      <c r="A41" s="10">
        <f>IFERROR(__xludf.DUMMYFUNCTION("""COMPUTED_VALUE"""),43885.66666666667)</f>
        <v>43885.66667</v>
      </c>
      <c r="B41" s="1">
        <f>IFERROR(__xludf.DUMMYFUNCTION("""COMPUTED_VALUE"""),14.06)</f>
        <v>14.06</v>
      </c>
      <c r="C41" s="1">
        <f>IFERROR(__xludf.DUMMYFUNCTION("""COMPUTED_VALUE"""),14.14)</f>
        <v>14.14</v>
      </c>
      <c r="D41" s="1">
        <f>IFERROR(__xludf.DUMMYFUNCTION("""COMPUTED_VALUE"""),14.06)</f>
        <v>14.06</v>
      </c>
      <c r="E41" s="1">
        <f>IFERROR(__xludf.DUMMYFUNCTION("""COMPUTED_VALUE"""),14.08)</f>
        <v>14.08</v>
      </c>
      <c r="F41" s="1">
        <f>IFERROR(__xludf.DUMMYFUNCTION("""COMPUTED_VALUE"""),9885.0)</f>
        <v>9885</v>
      </c>
    </row>
    <row r="42" ht="15.75" customHeight="1">
      <c r="A42" s="10">
        <f>IFERROR(__xludf.DUMMYFUNCTION("""COMPUTED_VALUE"""),43886.66666666667)</f>
        <v>43886.66667</v>
      </c>
      <c r="B42" s="1">
        <f>IFERROR(__xludf.DUMMYFUNCTION("""COMPUTED_VALUE"""),14.08)</f>
        <v>14.08</v>
      </c>
      <c r="C42" s="1">
        <f>IFERROR(__xludf.DUMMYFUNCTION("""COMPUTED_VALUE"""),14.1)</f>
        <v>14.1</v>
      </c>
      <c r="D42" s="1">
        <f>IFERROR(__xludf.DUMMYFUNCTION("""COMPUTED_VALUE"""),14.04)</f>
        <v>14.04</v>
      </c>
      <c r="E42" s="1">
        <f>IFERROR(__xludf.DUMMYFUNCTION("""COMPUTED_VALUE"""),14.1)</f>
        <v>14.1</v>
      </c>
      <c r="F42" s="1">
        <f>IFERROR(__xludf.DUMMYFUNCTION("""COMPUTED_VALUE"""),3036.0)</f>
        <v>3036</v>
      </c>
    </row>
    <row r="43" ht="15.75" customHeight="1">
      <c r="A43" s="10">
        <f>IFERROR(__xludf.DUMMYFUNCTION("""COMPUTED_VALUE"""),43887.66666666667)</f>
        <v>43887.66667</v>
      </c>
      <c r="B43" s="1">
        <f>IFERROR(__xludf.DUMMYFUNCTION("""COMPUTED_VALUE"""),14.1)</f>
        <v>14.1</v>
      </c>
      <c r="C43" s="1">
        <f>IFERROR(__xludf.DUMMYFUNCTION("""COMPUTED_VALUE"""),14.1)</f>
        <v>14.1</v>
      </c>
      <c r="D43" s="1">
        <f>IFERROR(__xludf.DUMMYFUNCTION("""COMPUTED_VALUE"""),14.0)</f>
        <v>14</v>
      </c>
      <c r="E43" s="1">
        <f>IFERROR(__xludf.DUMMYFUNCTION("""COMPUTED_VALUE"""),14.0)</f>
        <v>14</v>
      </c>
      <c r="F43" s="1">
        <f>IFERROR(__xludf.DUMMYFUNCTION("""COMPUTED_VALUE"""),4362.0)</f>
        <v>4362</v>
      </c>
    </row>
    <row r="44" ht="15.75" customHeight="1">
      <c r="A44" s="10">
        <f>IFERROR(__xludf.DUMMYFUNCTION("""COMPUTED_VALUE"""),43888.66666666667)</f>
        <v>43888.66667</v>
      </c>
      <c r="B44" s="1">
        <f>IFERROR(__xludf.DUMMYFUNCTION("""COMPUTED_VALUE"""),13.96)</f>
        <v>13.96</v>
      </c>
      <c r="C44" s="1">
        <f>IFERROR(__xludf.DUMMYFUNCTION("""COMPUTED_VALUE"""),14.01)</f>
        <v>14.01</v>
      </c>
      <c r="D44" s="1">
        <f>IFERROR(__xludf.DUMMYFUNCTION("""COMPUTED_VALUE"""),13.94)</f>
        <v>13.94</v>
      </c>
      <c r="E44" s="1">
        <f>IFERROR(__xludf.DUMMYFUNCTION("""COMPUTED_VALUE"""),13.97)</f>
        <v>13.97</v>
      </c>
      <c r="F44" s="1">
        <f>IFERROR(__xludf.DUMMYFUNCTION("""COMPUTED_VALUE"""),13412.0)</f>
        <v>13412</v>
      </c>
    </row>
    <row r="45" ht="15.75" customHeight="1">
      <c r="A45" s="10">
        <f>IFERROR(__xludf.DUMMYFUNCTION("""COMPUTED_VALUE"""),43889.66666666667)</f>
        <v>43889.66667</v>
      </c>
      <c r="B45" s="1">
        <f>IFERROR(__xludf.DUMMYFUNCTION("""COMPUTED_VALUE"""),13.95)</f>
        <v>13.95</v>
      </c>
      <c r="C45" s="1">
        <f>IFERROR(__xludf.DUMMYFUNCTION("""COMPUTED_VALUE"""),13.95)</f>
        <v>13.95</v>
      </c>
      <c r="D45" s="1">
        <f>IFERROR(__xludf.DUMMYFUNCTION("""COMPUTED_VALUE"""),13.47)</f>
        <v>13.47</v>
      </c>
      <c r="E45" s="1">
        <f>IFERROR(__xludf.DUMMYFUNCTION("""COMPUTED_VALUE"""),13.66)</f>
        <v>13.66</v>
      </c>
      <c r="F45" s="1">
        <f>IFERROR(__xludf.DUMMYFUNCTION("""COMPUTED_VALUE"""),35031.0)</f>
        <v>35031</v>
      </c>
    </row>
    <row r="46" ht="15.75" customHeight="1">
      <c r="A46" s="10">
        <f>IFERROR(__xludf.DUMMYFUNCTION("""COMPUTED_VALUE"""),43892.66666666667)</f>
        <v>43892.66667</v>
      </c>
      <c r="B46" s="1">
        <f>IFERROR(__xludf.DUMMYFUNCTION("""COMPUTED_VALUE"""),13.69)</f>
        <v>13.69</v>
      </c>
      <c r="C46" s="1">
        <f>IFERROR(__xludf.DUMMYFUNCTION("""COMPUTED_VALUE"""),13.84)</f>
        <v>13.84</v>
      </c>
      <c r="D46" s="1">
        <f>IFERROR(__xludf.DUMMYFUNCTION("""COMPUTED_VALUE"""),13.64)</f>
        <v>13.64</v>
      </c>
      <c r="E46" s="1">
        <f>IFERROR(__xludf.DUMMYFUNCTION("""COMPUTED_VALUE"""),13.77)</f>
        <v>13.77</v>
      </c>
      <c r="F46" s="1">
        <f>IFERROR(__xludf.DUMMYFUNCTION("""COMPUTED_VALUE"""),7148.0)</f>
        <v>7148</v>
      </c>
    </row>
    <row r="47" ht="15.75" customHeight="1">
      <c r="A47" s="10">
        <f>IFERROR(__xludf.DUMMYFUNCTION("""COMPUTED_VALUE"""),43893.66666666667)</f>
        <v>43893.66667</v>
      </c>
      <c r="B47" s="1">
        <f>IFERROR(__xludf.DUMMYFUNCTION("""COMPUTED_VALUE"""),13.78)</f>
        <v>13.78</v>
      </c>
      <c r="C47" s="1">
        <f>IFERROR(__xludf.DUMMYFUNCTION("""COMPUTED_VALUE"""),13.95)</f>
        <v>13.95</v>
      </c>
      <c r="D47" s="1">
        <f>IFERROR(__xludf.DUMMYFUNCTION("""COMPUTED_VALUE"""),13.78)</f>
        <v>13.78</v>
      </c>
      <c r="E47" s="1">
        <f>IFERROR(__xludf.DUMMYFUNCTION("""COMPUTED_VALUE"""),13.86)</f>
        <v>13.86</v>
      </c>
      <c r="F47" s="1">
        <f>IFERROR(__xludf.DUMMYFUNCTION("""COMPUTED_VALUE"""),3298.0)</f>
        <v>3298</v>
      </c>
    </row>
    <row r="48" ht="15.75" customHeight="1">
      <c r="A48" s="10">
        <f>IFERROR(__xludf.DUMMYFUNCTION("""COMPUTED_VALUE"""),43894.66666666667)</f>
        <v>43894.66667</v>
      </c>
      <c r="B48" s="1">
        <f>IFERROR(__xludf.DUMMYFUNCTION("""COMPUTED_VALUE"""),13.79)</f>
        <v>13.79</v>
      </c>
      <c r="C48" s="1">
        <f>IFERROR(__xludf.DUMMYFUNCTION("""COMPUTED_VALUE"""),13.99)</f>
        <v>13.99</v>
      </c>
      <c r="D48" s="1">
        <f>IFERROR(__xludf.DUMMYFUNCTION("""COMPUTED_VALUE"""),13.79)</f>
        <v>13.79</v>
      </c>
      <c r="E48" s="1">
        <f>IFERROR(__xludf.DUMMYFUNCTION("""COMPUTED_VALUE"""),13.94)</f>
        <v>13.94</v>
      </c>
      <c r="F48" s="1">
        <f>IFERROR(__xludf.DUMMYFUNCTION("""COMPUTED_VALUE"""),14293.0)</f>
        <v>14293</v>
      </c>
    </row>
    <row r="49" ht="15.75" customHeight="1">
      <c r="A49" s="10">
        <f>IFERROR(__xludf.DUMMYFUNCTION("""COMPUTED_VALUE"""),43895.66666666667)</f>
        <v>43895.66667</v>
      </c>
      <c r="B49" s="1">
        <f>IFERROR(__xludf.DUMMYFUNCTION("""COMPUTED_VALUE"""),13.97)</f>
        <v>13.97</v>
      </c>
      <c r="C49" s="1">
        <f>IFERROR(__xludf.DUMMYFUNCTION("""COMPUTED_VALUE"""),13.99)</f>
        <v>13.99</v>
      </c>
      <c r="D49" s="1">
        <f>IFERROR(__xludf.DUMMYFUNCTION("""COMPUTED_VALUE"""),13.91)</f>
        <v>13.91</v>
      </c>
      <c r="E49" s="1">
        <f>IFERROR(__xludf.DUMMYFUNCTION("""COMPUTED_VALUE"""),13.98)</f>
        <v>13.98</v>
      </c>
      <c r="F49" s="1">
        <f>IFERROR(__xludf.DUMMYFUNCTION("""COMPUTED_VALUE"""),11964.0)</f>
        <v>11964</v>
      </c>
    </row>
    <row r="50" ht="15.75" customHeight="1">
      <c r="A50" s="10">
        <f>IFERROR(__xludf.DUMMYFUNCTION("""COMPUTED_VALUE"""),43896.66666666667)</f>
        <v>43896.66667</v>
      </c>
      <c r="B50" s="1">
        <f>IFERROR(__xludf.DUMMYFUNCTION("""COMPUTED_VALUE"""),13.98)</f>
        <v>13.98</v>
      </c>
      <c r="C50" s="1">
        <f>IFERROR(__xludf.DUMMYFUNCTION("""COMPUTED_VALUE"""),13.99)</f>
        <v>13.99</v>
      </c>
      <c r="D50" s="1">
        <f>IFERROR(__xludf.DUMMYFUNCTION("""COMPUTED_VALUE"""),13.92)</f>
        <v>13.92</v>
      </c>
      <c r="E50" s="1">
        <f>IFERROR(__xludf.DUMMYFUNCTION("""COMPUTED_VALUE"""),13.99)</f>
        <v>13.99</v>
      </c>
      <c r="F50" s="1">
        <f>IFERROR(__xludf.DUMMYFUNCTION("""COMPUTED_VALUE"""),39524.0)</f>
        <v>39524</v>
      </c>
    </row>
    <row r="51" ht="15.75" customHeight="1">
      <c r="A51" s="10">
        <f>IFERROR(__xludf.DUMMYFUNCTION("""COMPUTED_VALUE"""),43899.66666666667)</f>
        <v>43899.66667</v>
      </c>
      <c r="B51" s="1">
        <f>IFERROR(__xludf.DUMMYFUNCTION("""COMPUTED_VALUE"""),13.89)</f>
        <v>13.89</v>
      </c>
      <c r="C51" s="1">
        <f>IFERROR(__xludf.DUMMYFUNCTION("""COMPUTED_VALUE"""),13.89)</f>
        <v>13.89</v>
      </c>
      <c r="D51" s="1">
        <f>IFERROR(__xludf.DUMMYFUNCTION("""COMPUTED_VALUE"""),13.75)</f>
        <v>13.75</v>
      </c>
      <c r="E51" s="1">
        <f>IFERROR(__xludf.DUMMYFUNCTION("""COMPUTED_VALUE"""),13.79)</f>
        <v>13.79</v>
      </c>
      <c r="F51" s="1">
        <f>IFERROR(__xludf.DUMMYFUNCTION("""COMPUTED_VALUE"""),8098.0)</f>
        <v>8098</v>
      </c>
    </row>
    <row r="52" ht="15.75" customHeight="1">
      <c r="A52" s="10">
        <f>IFERROR(__xludf.DUMMYFUNCTION("""COMPUTED_VALUE"""),43900.66666666667)</f>
        <v>43900.66667</v>
      </c>
      <c r="B52" s="1">
        <f>IFERROR(__xludf.DUMMYFUNCTION("""COMPUTED_VALUE"""),13.75)</f>
        <v>13.75</v>
      </c>
      <c r="C52" s="1">
        <f>IFERROR(__xludf.DUMMYFUNCTION("""COMPUTED_VALUE"""),13.82)</f>
        <v>13.82</v>
      </c>
      <c r="D52" s="1">
        <f>IFERROR(__xludf.DUMMYFUNCTION("""COMPUTED_VALUE"""),13.12)</f>
        <v>13.12</v>
      </c>
      <c r="E52" s="1">
        <f>IFERROR(__xludf.DUMMYFUNCTION("""COMPUTED_VALUE"""),13.62)</f>
        <v>13.62</v>
      </c>
      <c r="F52" s="1">
        <f>IFERROR(__xludf.DUMMYFUNCTION("""COMPUTED_VALUE"""),13628.0)</f>
        <v>13628</v>
      </c>
    </row>
    <row r="53" ht="15.75" customHeight="1">
      <c r="A53" s="10">
        <f>IFERROR(__xludf.DUMMYFUNCTION("""COMPUTED_VALUE"""),43901.66666666667)</f>
        <v>43901.66667</v>
      </c>
      <c r="B53" s="1">
        <f>IFERROR(__xludf.DUMMYFUNCTION("""COMPUTED_VALUE"""),13.73)</f>
        <v>13.73</v>
      </c>
      <c r="C53" s="1">
        <f>IFERROR(__xludf.DUMMYFUNCTION("""COMPUTED_VALUE"""),13.73)</f>
        <v>13.73</v>
      </c>
      <c r="D53" s="1">
        <f>IFERROR(__xludf.DUMMYFUNCTION("""COMPUTED_VALUE"""),13.03)</f>
        <v>13.03</v>
      </c>
      <c r="E53" s="1">
        <f>IFERROR(__xludf.DUMMYFUNCTION("""COMPUTED_VALUE"""),13.25)</f>
        <v>13.25</v>
      </c>
      <c r="F53" s="1">
        <f>IFERROR(__xludf.DUMMYFUNCTION("""COMPUTED_VALUE"""),23212.0)</f>
        <v>23212</v>
      </c>
    </row>
    <row r="54" ht="15.75" customHeight="1">
      <c r="A54" s="10">
        <f>IFERROR(__xludf.DUMMYFUNCTION("""COMPUTED_VALUE"""),43902.66666666667)</f>
        <v>43902.66667</v>
      </c>
      <c r="B54" s="1">
        <f>IFERROR(__xludf.DUMMYFUNCTION("""COMPUTED_VALUE"""),13.16)</f>
        <v>13.16</v>
      </c>
      <c r="C54" s="1">
        <f>IFERROR(__xludf.DUMMYFUNCTION("""COMPUTED_VALUE"""),13.16)</f>
        <v>13.16</v>
      </c>
      <c r="D54" s="1">
        <f>IFERROR(__xludf.DUMMYFUNCTION("""COMPUTED_VALUE"""),12.11)</f>
        <v>12.11</v>
      </c>
      <c r="E54" s="1">
        <f>IFERROR(__xludf.DUMMYFUNCTION("""COMPUTED_VALUE"""),12.4)</f>
        <v>12.4</v>
      </c>
      <c r="F54" s="1">
        <f>IFERROR(__xludf.DUMMYFUNCTION("""COMPUTED_VALUE"""),22346.0)</f>
        <v>22346</v>
      </c>
    </row>
    <row r="55" ht="15.75" customHeight="1">
      <c r="A55" s="10">
        <f>IFERROR(__xludf.DUMMYFUNCTION("""COMPUTED_VALUE"""),43903.66666666667)</f>
        <v>43903.66667</v>
      </c>
      <c r="B55" s="1">
        <f>IFERROR(__xludf.DUMMYFUNCTION("""COMPUTED_VALUE"""),12.47)</f>
        <v>12.47</v>
      </c>
      <c r="C55" s="1">
        <f>IFERROR(__xludf.DUMMYFUNCTION("""COMPUTED_VALUE"""),12.64)</f>
        <v>12.64</v>
      </c>
      <c r="D55" s="1">
        <f>IFERROR(__xludf.DUMMYFUNCTION("""COMPUTED_VALUE"""),12.43)</f>
        <v>12.43</v>
      </c>
      <c r="E55" s="1">
        <f>IFERROR(__xludf.DUMMYFUNCTION("""COMPUTED_VALUE"""),12.53)</f>
        <v>12.53</v>
      </c>
      <c r="F55" s="1">
        <f>IFERROR(__xludf.DUMMYFUNCTION("""COMPUTED_VALUE"""),15721.0)</f>
        <v>15721</v>
      </c>
    </row>
    <row r="56" ht="15.75" customHeight="1">
      <c r="A56" s="10">
        <f>IFERROR(__xludf.DUMMYFUNCTION("""COMPUTED_VALUE"""),43906.66666666667)</f>
        <v>43906.66667</v>
      </c>
      <c r="B56" s="1">
        <f>IFERROR(__xludf.DUMMYFUNCTION("""COMPUTED_VALUE"""),12.25)</f>
        <v>12.25</v>
      </c>
      <c r="C56" s="1">
        <f>IFERROR(__xludf.DUMMYFUNCTION("""COMPUTED_VALUE"""),12.25)</f>
        <v>12.25</v>
      </c>
      <c r="D56" s="1">
        <f>IFERROR(__xludf.DUMMYFUNCTION("""COMPUTED_VALUE"""),12.01)</f>
        <v>12.01</v>
      </c>
      <c r="E56" s="1">
        <f>IFERROR(__xludf.DUMMYFUNCTION("""COMPUTED_VALUE"""),12.25)</f>
        <v>12.25</v>
      </c>
      <c r="F56" s="1">
        <f>IFERROR(__xludf.DUMMYFUNCTION("""COMPUTED_VALUE"""),21609.0)</f>
        <v>21609</v>
      </c>
    </row>
    <row r="57" ht="15.75" customHeight="1">
      <c r="A57" s="10">
        <f>IFERROR(__xludf.DUMMYFUNCTION("""COMPUTED_VALUE"""),43907.66666666667)</f>
        <v>43907.66667</v>
      </c>
      <c r="B57" s="1">
        <f>IFERROR(__xludf.DUMMYFUNCTION("""COMPUTED_VALUE"""),12.29)</f>
        <v>12.29</v>
      </c>
      <c r="C57" s="1">
        <f>IFERROR(__xludf.DUMMYFUNCTION("""COMPUTED_VALUE"""),12.29)</f>
        <v>12.29</v>
      </c>
      <c r="D57" s="1">
        <f>IFERROR(__xludf.DUMMYFUNCTION("""COMPUTED_VALUE"""),12.07)</f>
        <v>12.07</v>
      </c>
      <c r="E57" s="1">
        <f>IFERROR(__xludf.DUMMYFUNCTION("""COMPUTED_VALUE"""),12.22)</f>
        <v>12.22</v>
      </c>
      <c r="F57" s="1">
        <f>IFERROR(__xludf.DUMMYFUNCTION("""COMPUTED_VALUE"""),193582.0)</f>
        <v>193582</v>
      </c>
    </row>
    <row r="58" ht="15.75" customHeight="1">
      <c r="A58" s="10">
        <f>IFERROR(__xludf.DUMMYFUNCTION("""COMPUTED_VALUE"""),43908.66666666667)</f>
        <v>43908.66667</v>
      </c>
      <c r="B58" s="1">
        <f>IFERROR(__xludf.DUMMYFUNCTION("""COMPUTED_VALUE"""),11.36)</f>
        <v>11.36</v>
      </c>
      <c r="C58" s="1">
        <f>IFERROR(__xludf.DUMMYFUNCTION("""COMPUTED_VALUE"""),11.6)</f>
        <v>11.6</v>
      </c>
      <c r="D58" s="1">
        <f>IFERROR(__xludf.DUMMYFUNCTION("""COMPUTED_VALUE"""),10.85)</f>
        <v>10.85</v>
      </c>
      <c r="E58" s="1">
        <f>IFERROR(__xludf.DUMMYFUNCTION("""COMPUTED_VALUE"""),11.25)</f>
        <v>11.25</v>
      </c>
      <c r="F58" s="1">
        <f>IFERROR(__xludf.DUMMYFUNCTION("""COMPUTED_VALUE"""),17095.0)</f>
        <v>17095</v>
      </c>
    </row>
    <row r="59" ht="15.75" customHeight="1">
      <c r="A59" s="10">
        <f>IFERROR(__xludf.DUMMYFUNCTION("""COMPUTED_VALUE"""),43909.66666666667)</f>
        <v>43909.66667</v>
      </c>
      <c r="B59" s="1">
        <f>IFERROR(__xludf.DUMMYFUNCTION("""COMPUTED_VALUE"""),10.75)</f>
        <v>10.75</v>
      </c>
      <c r="C59" s="1">
        <f>IFERROR(__xludf.DUMMYFUNCTION("""COMPUTED_VALUE"""),10.82)</f>
        <v>10.82</v>
      </c>
      <c r="D59" s="1">
        <f>IFERROR(__xludf.DUMMYFUNCTION("""COMPUTED_VALUE"""),10.0)</f>
        <v>10</v>
      </c>
      <c r="E59" s="1">
        <f>IFERROR(__xludf.DUMMYFUNCTION("""COMPUTED_VALUE"""),10.7)</f>
        <v>10.7</v>
      </c>
      <c r="F59" s="1">
        <f>IFERROR(__xludf.DUMMYFUNCTION("""COMPUTED_VALUE"""),60481.0)</f>
        <v>60481</v>
      </c>
    </row>
    <row r="60" ht="15.75" customHeight="1">
      <c r="A60" s="10">
        <f>IFERROR(__xludf.DUMMYFUNCTION("""COMPUTED_VALUE"""),43910.66666666667)</f>
        <v>43910.66667</v>
      </c>
      <c r="B60" s="1">
        <f>IFERROR(__xludf.DUMMYFUNCTION("""COMPUTED_VALUE"""),11.0)</f>
        <v>11</v>
      </c>
      <c r="C60" s="1">
        <f>IFERROR(__xludf.DUMMYFUNCTION("""COMPUTED_VALUE"""),11.46)</f>
        <v>11.46</v>
      </c>
      <c r="D60" s="1">
        <f>IFERROR(__xludf.DUMMYFUNCTION("""COMPUTED_VALUE"""),10.7)</f>
        <v>10.7</v>
      </c>
      <c r="E60" s="1">
        <f>IFERROR(__xludf.DUMMYFUNCTION("""COMPUTED_VALUE"""),10.71)</f>
        <v>10.71</v>
      </c>
      <c r="F60" s="1">
        <f>IFERROR(__xludf.DUMMYFUNCTION("""COMPUTED_VALUE"""),82809.0)</f>
        <v>82809</v>
      </c>
    </row>
    <row r="61" ht="15.75" customHeight="1">
      <c r="A61" s="10">
        <f>IFERROR(__xludf.DUMMYFUNCTION("""COMPUTED_VALUE"""),43913.66666666667)</f>
        <v>43913.66667</v>
      </c>
      <c r="B61" s="1">
        <f>IFERROR(__xludf.DUMMYFUNCTION("""COMPUTED_VALUE"""),10.86)</f>
        <v>10.86</v>
      </c>
      <c r="C61" s="1">
        <f>IFERROR(__xludf.DUMMYFUNCTION("""COMPUTED_VALUE"""),10.86)</f>
        <v>10.86</v>
      </c>
      <c r="D61" s="1">
        <f>IFERROR(__xludf.DUMMYFUNCTION("""COMPUTED_VALUE"""),10.4)</f>
        <v>10.4</v>
      </c>
      <c r="E61" s="1">
        <f>IFERROR(__xludf.DUMMYFUNCTION("""COMPUTED_VALUE"""),10.56)</f>
        <v>10.56</v>
      </c>
      <c r="F61" s="1">
        <f>IFERROR(__xludf.DUMMYFUNCTION("""COMPUTED_VALUE"""),22685.0)</f>
        <v>22685</v>
      </c>
    </row>
    <row r="62" ht="15.75" customHeight="1">
      <c r="A62" s="10">
        <f>IFERROR(__xludf.DUMMYFUNCTION("""COMPUTED_VALUE"""),43914.66666666667)</f>
        <v>43914.66667</v>
      </c>
      <c r="B62" s="1">
        <f>IFERROR(__xludf.DUMMYFUNCTION("""COMPUTED_VALUE"""),10.65)</f>
        <v>10.65</v>
      </c>
      <c r="C62" s="1">
        <f>IFERROR(__xludf.DUMMYFUNCTION("""COMPUTED_VALUE"""),11.07)</f>
        <v>11.07</v>
      </c>
      <c r="D62" s="1">
        <f>IFERROR(__xludf.DUMMYFUNCTION("""COMPUTED_VALUE"""),10.64)</f>
        <v>10.64</v>
      </c>
      <c r="E62" s="1">
        <f>IFERROR(__xludf.DUMMYFUNCTION("""COMPUTED_VALUE"""),11.04)</f>
        <v>11.04</v>
      </c>
      <c r="F62" s="1">
        <f>IFERROR(__xludf.DUMMYFUNCTION("""COMPUTED_VALUE"""),39093.0)</f>
        <v>39093</v>
      </c>
    </row>
    <row r="63" ht="15.75" customHeight="1">
      <c r="A63" s="10">
        <f>IFERROR(__xludf.DUMMYFUNCTION("""COMPUTED_VALUE"""),43915.66666666667)</f>
        <v>43915.66667</v>
      </c>
      <c r="B63" s="1">
        <f>IFERROR(__xludf.DUMMYFUNCTION("""COMPUTED_VALUE"""),10.96)</f>
        <v>10.96</v>
      </c>
      <c r="C63" s="1">
        <f>IFERROR(__xludf.DUMMYFUNCTION("""COMPUTED_VALUE"""),11.89)</f>
        <v>11.89</v>
      </c>
      <c r="D63" s="1">
        <f>IFERROR(__xludf.DUMMYFUNCTION("""COMPUTED_VALUE"""),10.96)</f>
        <v>10.96</v>
      </c>
      <c r="E63" s="1">
        <f>IFERROR(__xludf.DUMMYFUNCTION("""COMPUTED_VALUE"""),11.89)</f>
        <v>11.89</v>
      </c>
      <c r="F63" s="1">
        <f>IFERROR(__xludf.DUMMYFUNCTION("""COMPUTED_VALUE"""),23084.0)</f>
        <v>23084</v>
      </c>
    </row>
    <row r="64" ht="15.75" customHeight="1">
      <c r="A64" s="10">
        <f>IFERROR(__xludf.DUMMYFUNCTION("""COMPUTED_VALUE"""),43916.66666666667)</f>
        <v>43916.66667</v>
      </c>
      <c r="B64" s="1">
        <f>IFERROR(__xludf.DUMMYFUNCTION("""COMPUTED_VALUE"""),12.1)</f>
        <v>12.1</v>
      </c>
      <c r="C64" s="1">
        <f>IFERROR(__xludf.DUMMYFUNCTION("""COMPUTED_VALUE"""),12.4)</f>
        <v>12.4</v>
      </c>
      <c r="D64" s="1">
        <f>IFERROR(__xludf.DUMMYFUNCTION("""COMPUTED_VALUE"""),12.0)</f>
        <v>12</v>
      </c>
      <c r="E64" s="1">
        <f>IFERROR(__xludf.DUMMYFUNCTION("""COMPUTED_VALUE"""),12.36)</f>
        <v>12.36</v>
      </c>
      <c r="F64" s="1">
        <f>IFERROR(__xludf.DUMMYFUNCTION("""COMPUTED_VALUE"""),21049.0)</f>
        <v>21049</v>
      </c>
    </row>
    <row r="65" ht="15.75" customHeight="1">
      <c r="A65" s="10">
        <f>IFERROR(__xludf.DUMMYFUNCTION("""COMPUTED_VALUE"""),43917.66666666667)</f>
        <v>43917.66667</v>
      </c>
      <c r="B65" s="1">
        <f>IFERROR(__xludf.DUMMYFUNCTION("""COMPUTED_VALUE"""),12.3)</f>
        <v>12.3</v>
      </c>
      <c r="C65" s="1">
        <f>IFERROR(__xludf.DUMMYFUNCTION("""COMPUTED_VALUE"""),12.5)</f>
        <v>12.5</v>
      </c>
      <c r="D65" s="1">
        <f>IFERROR(__xludf.DUMMYFUNCTION("""COMPUTED_VALUE"""),12.16)</f>
        <v>12.16</v>
      </c>
      <c r="E65" s="1">
        <f>IFERROR(__xludf.DUMMYFUNCTION("""COMPUTED_VALUE"""),12.3)</f>
        <v>12.3</v>
      </c>
      <c r="F65" s="1">
        <f>IFERROR(__xludf.DUMMYFUNCTION("""COMPUTED_VALUE"""),10623.0)</f>
        <v>10623</v>
      </c>
    </row>
    <row r="66" ht="15.75" customHeight="1">
      <c r="A66" s="10">
        <f>IFERROR(__xludf.DUMMYFUNCTION("""COMPUTED_VALUE"""),43920.66666666667)</f>
        <v>43920.66667</v>
      </c>
      <c r="B66" s="1">
        <f>IFERROR(__xludf.DUMMYFUNCTION("""COMPUTED_VALUE"""),12.47)</f>
        <v>12.47</v>
      </c>
      <c r="C66" s="1">
        <f>IFERROR(__xludf.DUMMYFUNCTION("""COMPUTED_VALUE"""),12.57)</f>
        <v>12.57</v>
      </c>
      <c r="D66" s="1">
        <f>IFERROR(__xludf.DUMMYFUNCTION("""COMPUTED_VALUE"""),12.38)</f>
        <v>12.38</v>
      </c>
      <c r="E66" s="1">
        <f>IFERROR(__xludf.DUMMYFUNCTION("""COMPUTED_VALUE"""),12.57)</f>
        <v>12.57</v>
      </c>
      <c r="F66" s="1">
        <f>IFERROR(__xludf.DUMMYFUNCTION("""COMPUTED_VALUE"""),7342.0)</f>
        <v>7342</v>
      </c>
    </row>
    <row r="67" ht="15.75" customHeight="1">
      <c r="A67" s="10">
        <f>IFERROR(__xludf.DUMMYFUNCTION("""COMPUTED_VALUE"""),43921.66666666667)</f>
        <v>43921.66667</v>
      </c>
      <c r="B67" s="1">
        <f>IFERROR(__xludf.DUMMYFUNCTION("""COMPUTED_VALUE"""),12.56)</f>
        <v>12.56</v>
      </c>
      <c r="C67" s="1">
        <f>IFERROR(__xludf.DUMMYFUNCTION("""COMPUTED_VALUE"""),12.58)</f>
        <v>12.58</v>
      </c>
      <c r="D67" s="1">
        <f>IFERROR(__xludf.DUMMYFUNCTION("""COMPUTED_VALUE"""),12.5)</f>
        <v>12.5</v>
      </c>
      <c r="E67" s="1">
        <f>IFERROR(__xludf.DUMMYFUNCTION("""COMPUTED_VALUE"""),12.5)</f>
        <v>12.5</v>
      </c>
      <c r="F67" s="1">
        <f>IFERROR(__xludf.DUMMYFUNCTION("""COMPUTED_VALUE"""),14036.0)</f>
        <v>14036</v>
      </c>
    </row>
    <row r="68" ht="15.75" customHeight="1">
      <c r="A68" s="10">
        <f>IFERROR(__xludf.DUMMYFUNCTION("""COMPUTED_VALUE"""),43922.66666666667)</f>
        <v>43922.66667</v>
      </c>
      <c r="B68" s="1">
        <f>IFERROR(__xludf.DUMMYFUNCTION("""COMPUTED_VALUE"""),12.5)</f>
        <v>12.5</v>
      </c>
      <c r="C68" s="1">
        <f>IFERROR(__xludf.DUMMYFUNCTION("""COMPUTED_VALUE"""),12.5)</f>
        <v>12.5</v>
      </c>
      <c r="D68" s="1">
        <f>IFERROR(__xludf.DUMMYFUNCTION("""COMPUTED_VALUE"""),12.06)</f>
        <v>12.06</v>
      </c>
      <c r="E68" s="1">
        <f>IFERROR(__xludf.DUMMYFUNCTION("""COMPUTED_VALUE"""),12.19)</f>
        <v>12.19</v>
      </c>
      <c r="F68" s="1">
        <f>IFERROR(__xludf.DUMMYFUNCTION("""COMPUTED_VALUE"""),42814.0)</f>
        <v>42814</v>
      </c>
    </row>
    <row r="69" ht="15.75" customHeight="1">
      <c r="A69" s="10">
        <f>IFERROR(__xludf.DUMMYFUNCTION("""COMPUTED_VALUE"""),43923.66666666667)</f>
        <v>43923.66667</v>
      </c>
      <c r="B69" s="1">
        <f>IFERROR(__xludf.DUMMYFUNCTION("""COMPUTED_VALUE"""),12.17)</f>
        <v>12.17</v>
      </c>
      <c r="C69" s="1">
        <f>IFERROR(__xludf.DUMMYFUNCTION("""COMPUTED_VALUE"""),12.17)</f>
        <v>12.17</v>
      </c>
      <c r="D69" s="1">
        <f>IFERROR(__xludf.DUMMYFUNCTION("""COMPUTED_VALUE"""),12.01)</f>
        <v>12.01</v>
      </c>
      <c r="E69" s="1">
        <f>IFERROR(__xludf.DUMMYFUNCTION("""COMPUTED_VALUE"""),12.01)</f>
        <v>12.01</v>
      </c>
      <c r="F69" s="1">
        <f>IFERROR(__xludf.DUMMYFUNCTION("""COMPUTED_VALUE"""),15844.0)</f>
        <v>15844</v>
      </c>
    </row>
    <row r="70" ht="15.75" customHeight="1">
      <c r="A70" s="10">
        <f>IFERROR(__xludf.DUMMYFUNCTION("""COMPUTED_VALUE"""),43924.66666666667)</f>
        <v>43924.66667</v>
      </c>
      <c r="B70" s="1">
        <f>IFERROR(__xludf.DUMMYFUNCTION("""COMPUTED_VALUE"""),11.92)</f>
        <v>11.92</v>
      </c>
      <c r="C70" s="1">
        <f>IFERROR(__xludf.DUMMYFUNCTION("""COMPUTED_VALUE"""),11.97)</f>
        <v>11.97</v>
      </c>
      <c r="D70" s="1">
        <f>IFERROR(__xludf.DUMMYFUNCTION("""COMPUTED_VALUE"""),11.7)</f>
        <v>11.7</v>
      </c>
      <c r="E70" s="1">
        <f>IFERROR(__xludf.DUMMYFUNCTION("""COMPUTED_VALUE"""),11.71)</f>
        <v>11.71</v>
      </c>
      <c r="F70" s="1">
        <f>IFERROR(__xludf.DUMMYFUNCTION("""COMPUTED_VALUE"""),6730.0)</f>
        <v>6730</v>
      </c>
    </row>
    <row r="71" ht="15.75" customHeight="1">
      <c r="A71" s="10">
        <f>IFERROR(__xludf.DUMMYFUNCTION("""COMPUTED_VALUE"""),43927.66666666667)</f>
        <v>43927.66667</v>
      </c>
      <c r="B71" s="1">
        <f>IFERROR(__xludf.DUMMYFUNCTION("""COMPUTED_VALUE"""),11.82)</f>
        <v>11.82</v>
      </c>
      <c r="C71" s="1">
        <f>IFERROR(__xludf.DUMMYFUNCTION("""COMPUTED_VALUE"""),12.04)</f>
        <v>12.04</v>
      </c>
      <c r="D71" s="1">
        <f>IFERROR(__xludf.DUMMYFUNCTION("""COMPUTED_VALUE"""),11.82)</f>
        <v>11.82</v>
      </c>
      <c r="E71" s="1">
        <f>IFERROR(__xludf.DUMMYFUNCTION("""COMPUTED_VALUE"""),11.94)</f>
        <v>11.94</v>
      </c>
      <c r="F71" s="1">
        <f>IFERROR(__xludf.DUMMYFUNCTION("""COMPUTED_VALUE"""),14580.0)</f>
        <v>14580</v>
      </c>
    </row>
    <row r="72" ht="15.75" customHeight="1">
      <c r="A72" s="10">
        <f>IFERROR(__xludf.DUMMYFUNCTION("""COMPUTED_VALUE"""),43928.66666666667)</f>
        <v>43928.66667</v>
      </c>
      <c r="B72" s="1">
        <f>IFERROR(__xludf.DUMMYFUNCTION("""COMPUTED_VALUE"""),11.99)</f>
        <v>11.99</v>
      </c>
      <c r="C72" s="1">
        <f>IFERROR(__xludf.DUMMYFUNCTION("""COMPUTED_VALUE"""),12.21)</f>
        <v>12.21</v>
      </c>
      <c r="D72" s="1">
        <f>IFERROR(__xludf.DUMMYFUNCTION("""COMPUTED_VALUE"""),11.99)</f>
        <v>11.99</v>
      </c>
      <c r="E72" s="1">
        <f>IFERROR(__xludf.DUMMYFUNCTION("""COMPUTED_VALUE"""),12.21)</f>
        <v>12.21</v>
      </c>
      <c r="F72" s="1">
        <f>IFERROR(__xludf.DUMMYFUNCTION("""COMPUTED_VALUE"""),21317.0)</f>
        <v>21317</v>
      </c>
    </row>
    <row r="73" ht="15.75" customHeight="1">
      <c r="A73" s="10">
        <f>IFERROR(__xludf.DUMMYFUNCTION("""COMPUTED_VALUE"""),43929.66666666667)</f>
        <v>43929.66667</v>
      </c>
      <c r="B73" s="1">
        <f>IFERROR(__xludf.DUMMYFUNCTION("""COMPUTED_VALUE"""),12.15)</f>
        <v>12.15</v>
      </c>
      <c r="C73" s="1">
        <f>IFERROR(__xludf.DUMMYFUNCTION("""COMPUTED_VALUE"""),12.47)</f>
        <v>12.47</v>
      </c>
      <c r="D73" s="1">
        <f>IFERROR(__xludf.DUMMYFUNCTION("""COMPUTED_VALUE"""),12.15)</f>
        <v>12.15</v>
      </c>
      <c r="E73" s="1">
        <f>IFERROR(__xludf.DUMMYFUNCTION("""COMPUTED_VALUE"""),12.31)</f>
        <v>12.31</v>
      </c>
      <c r="F73" s="1">
        <f>IFERROR(__xludf.DUMMYFUNCTION("""COMPUTED_VALUE"""),20536.0)</f>
        <v>20536</v>
      </c>
    </row>
    <row r="74" ht="15.75" customHeight="1">
      <c r="A74" s="10">
        <f>IFERROR(__xludf.DUMMYFUNCTION("""COMPUTED_VALUE"""),43930.66666666667)</f>
        <v>43930.66667</v>
      </c>
      <c r="B74" s="1">
        <f>IFERROR(__xludf.DUMMYFUNCTION("""COMPUTED_VALUE"""),12.63)</f>
        <v>12.63</v>
      </c>
      <c r="C74" s="1">
        <f>IFERROR(__xludf.DUMMYFUNCTION("""COMPUTED_VALUE"""),12.67)</f>
        <v>12.67</v>
      </c>
      <c r="D74" s="1">
        <f>IFERROR(__xludf.DUMMYFUNCTION("""COMPUTED_VALUE"""),12.48)</f>
        <v>12.48</v>
      </c>
      <c r="E74" s="1">
        <f>IFERROR(__xludf.DUMMYFUNCTION("""COMPUTED_VALUE"""),12.48)</f>
        <v>12.48</v>
      </c>
      <c r="F74" s="1">
        <f>IFERROR(__xludf.DUMMYFUNCTION("""COMPUTED_VALUE"""),12068.0)</f>
        <v>12068</v>
      </c>
    </row>
    <row r="75" ht="15.75" customHeight="1">
      <c r="A75" s="10">
        <f>IFERROR(__xludf.DUMMYFUNCTION("""COMPUTED_VALUE"""),43934.66666666667)</f>
        <v>43934.66667</v>
      </c>
      <c r="B75" s="1">
        <f>IFERROR(__xludf.DUMMYFUNCTION("""COMPUTED_VALUE"""),12.55)</f>
        <v>12.55</v>
      </c>
      <c r="C75" s="1">
        <f>IFERROR(__xludf.DUMMYFUNCTION("""COMPUTED_VALUE"""),12.57)</f>
        <v>12.57</v>
      </c>
      <c r="D75" s="1">
        <f>IFERROR(__xludf.DUMMYFUNCTION("""COMPUTED_VALUE"""),12.4)</f>
        <v>12.4</v>
      </c>
      <c r="E75" s="1">
        <f>IFERROR(__xludf.DUMMYFUNCTION("""COMPUTED_VALUE"""),12.41)</f>
        <v>12.41</v>
      </c>
      <c r="F75" s="1">
        <f>IFERROR(__xludf.DUMMYFUNCTION("""COMPUTED_VALUE"""),20879.0)</f>
        <v>20879</v>
      </c>
    </row>
    <row r="76" ht="15.75" customHeight="1">
      <c r="A76" s="10">
        <f>IFERROR(__xludf.DUMMYFUNCTION("""COMPUTED_VALUE"""),43935.66666666667)</f>
        <v>43935.66667</v>
      </c>
      <c r="B76" s="1">
        <f>IFERROR(__xludf.DUMMYFUNCTION("""COMPUTED_VALUE"""),12.4)</f>
        <v>12.4</v>
      </c>
      <c r="C76" s="1">
        <f>IFERROR(__xludf.DUMMYFUNCTION("""COMPUTED_VALUE"""),12.57)</f>
        <v>12.57</v>
      </c>
      <c r="D76" s="1">
        <f>IFERROR(__xludf.DUMMYFUNCTION("""COMPUTED_VALUE"""),12.4)</f>
        <v>12.4</v>
      </c>
      <c r="E76" s="1">
        <f>IFERROR(__xludf.DUMMYFUNCTION("""COMPUTED_VALUE"""),12.51)</f>
        <v>12.51</v>
      </c>
      <c r="F76" s="1">
        <f>IFERROR(__xludf.DUMMYFUNCTION("""COMPUTED_VALUE"""),40596.0)</f>
        <v>40596</v>
      </c>
    </row>
    <row r="77" ht="15.75" customHeight="1">
      <c r="A77" s="10">
        <f>IFERROR(__xludf.DUMMYFUNCTION("""COMPUTED_VALUE"""),43936.66666666667)</f>
        <v>43936.66667</v>
      </c>
      <c r="B77" s="1">
        <f>IFERROR(__xludf.DUMMYFUNCTION("""COMPUTED_VALUE"""),12.48)</f>
        <v>12.48</v>
      </c>
      <c r="C77" s="1">
        <f>IFERROR(__xludf.DUMMYFUNCTION("""COMPUTED_VALUE"""),12.52)</f>
        <v>12.52</v>
      </c>
      <c r="D77" s="1">
        <f>IFERROR(__xludf.DUMMYFUNCTION("""COMPUTED_VALUE"""),12.45)</f>
        <v>12.45</v>
      </c>
      <c r="E77" s="1">
        <f>IFERROR(__xludf.DUMMYFUNCTION("""COMPUTED_VALUE"""),12.5)</f>
        <v>12.5</v>
      </c>
      <c r="F77" s="1">
        <f>IFERROR(__xludf.DUMMYFUNCTION("""COMPUTED_VALUE"""),25233.0)</f>
        <v>25233</v>
      </c>
    </row>
    <row r="78" ht="15.75" customHeight="1">
      <c r="A78" s="10">
        <f>IFERROR(__xludf.DUMMYFUNCTION("""COMPUTED_VALUE"""),43937.66666666667)</f>
        <v>43937.66667</v>
      </c>
      <c r="B78" s="1">
        <f>IFERROR(__xludf.DUMMYFUNCTION("""COMPUTED_VALUE"""),12.45)</f>
        <v>12.45</v>
      </c>
      <c r="C78" s="1">
        <f>IFERROR(__xludf.DUMMYFUNCTION("""COMPUTED_VALUE"""),12.53)</f>
        <v>12.53</v>
      </c>
      <c r="D78" s="1">
        <f>IFERROR(__xludf.DUMMYFUNCTION("""COMPUTED_VALUE"""),12.45)</f>
        <v>12.45</v>
      </c>
      <c r="E78" s="1">
        <f>IFERROR(__xludf.DUMMYFUNCTION("""COMPUTED_VALUE"""),12.48)</f>
        <v>12.48</v>
      </c>
      <c r="F78" s="1">
        <f>IFERROR(__xludf.DUMMYFUNCTION("""COMPUTED_VALUE"""),6215.0)</f>
        <v>6215</v>
      </c>
    </row>
    <row r="79" ht="15.75" customHeight="1">
      <c r="A79" s="10">
        <f>IFERROR(__xludf.DUMMYFUNCTION("""COMPUTED_VALUE"""),43938.66666666667)</f>
        <v>43938.66667</v>
      </c>
      <c r="B79" s="1">
        <f>IFERROR(__xludf.DUMMYFUNCTION("""COMPUTED_VALUE"""),12.47)</f>
        <v>12.47</v>
      </c>
      <c r="C79" s="1">
        <f>IFERROR(__xludf.DUMMYFUNCTION("""COMPUTED_VALUE"""),12.49)</f>
        <v>12.49</v>
      </c>
      <c r="D79" s="1">
        <f>IFERROR(__xludf.DUMMYFUNCTION("""COMPUTED_VALUE"""),12.35)</f>
        <v>12.35</v>
      </c>
      <c r="E79" s="1">
        <f>IFERROR(__xludf.DUMMYFUNCTION("""COMPUTED_VALUE"""),12.46)</f>
        <v>12.46</v>
      </c>
      <c r="F79" s="1">
        <f>IFERROR(__xludf.DUMMYFUNCTION("""COMPUTED_VALUE"""),10271.0)</f>
        <v>10271</v>
      </c>
    </row>
    <row r="80" ht="15.75" customHeight="1">
      <c r="A80" s="10">
        <f>IFERROR(__xludf.DUMMYFUNCTION("""COMPUTED_VALUE"""),43941.66666666667)</f>
        <v>43941.66667</v>
      </c>
      <c r="B80" s="1">
        <f>IFERROR(__xludf.DUMMYFUNCTION("""COMPUTED_VALUE"""),12.51)</f>
        <v>12.51</v>
      </c>
      <c r="C80" s="1">
        <f>IFERROR(__xludf.DUMMYFUNCTION("""COMPUTED_VALUE"""),12.51)</f>
        <v>12.51</v>
      </c>
      <c r="D80" s="1">
        <f>IFERROR(__xludf.DUMMYFUNCTION("""COMPUTED_VALUE"""),12.35)</f>
        <v>12.35</v>
      </c>
      <c r="E80" s="1">
        <f>IFERROR(__xludf.DUMMYFUNCTION("""COMPUTED_VALUE"""),12.4)</f>
        <v>12.4</v>
      </c>
      <c r="F80" s="1">
        <f>IFERROR(__xludf.DUMMYFUNCTION("""COMPUTED_VALUE"""),4561.0)</f>
        <v>4561</v>
      </c>
    </row>
    <row r="81" ht="15.75" customHeight="1">
      <c r="A81" s="10">
        <f>IFERROR(__xludf.DUMMYFUNCTION("""COMPUTED_VALUE"""),43942.66666666667)</f>
        <v>43942.66667</v>
      </c>
      <c r="B81" s="1">
        <f>IFERROR(__xludf.DUMMYFUNCTION("""COMPUTED_VALUE"""),12.43)</f>
        <v>12.43</v>
      </c>
      <c r="C81" s="1">
        <f>IFERROR(__xludf.DUMMYFUNCTION("""COMPUTED_VALUE"""),12.47)</f>
        <v>12.47</v>
      </c>
      <c r="D81" s="1">
        <f>IFERROR(__xludf.DUMMYFUNCTION("""COMPUTED_VALUE"""),12.31)</f>
        <v>12.31</v>
      </c>
      <c r="E81" s="1">
        <f>IFERROR(__xludf.DUMMYFUNCTION("""COMPUTED_VALUE"""),12.31)</f>
        <v>12.31</v>
      </c>
      <c r="F81" s="1">
        <f>IFERROR(__xludf.DUMMYFUNCTION("""COMPUTED_VALUE"""),2396.0)</f>
        <v>2396</v>
      </c>
    </row>
    <row r="82" ht="15.75" customHeight="1">
      <c r="A82" s="10">
        <f>IFERROR(__xludf.DUMMYFUNCTION("""COMPUTED_VALUE"""),43943.66666666667)</f>
        <v>43943.66667</v>
      </c>
      <c r="B82" s="1">
        <f>IFERROR(__xludf.DUMMYFUNCTION("""COMPUTED_VALUE"""),12.4)</f>
        <v>12.4</v>
      </c>
      <c r="C82" s="1">
        <f>IFERROR(__xludf.DUMMYFUNCTION("""COMPUTED_VALUE"""),12.4)</f>
        <v>12.4</v>
      </c>
      <c r="D82" s="1">
        <f>IFERROR(__xludf.DUMMYFUNCTION("""COMPUTED_VALUE"""),12.28)</f>
        <v>12.28</v>
      </c>
      <c r="E82" s="1">
        <f>IFERROR(__xludf.DUMMYFUNCTION("""COMPUTED_VALUE"""),12.29)</f>
        <v>12.29</v>
      </c>
      <c r="F82" s="1">
        <f>IFERROR(__xludf.DUMMYFUNCTION("""COMPUTED_VALUE"""),16178.0)</f>
        <v>16178</v>
      </c>
    </row>
    <row r="83" ht="15.75" customHeight="1">
      <c r="A83" s="10">
        <f>IFERROR(__xludf.DUMMYFUNCTION("""COMPUTED_VALUE"""),43944.66666666667)</f>
        <v>43944.66667</v>
      </c>
      <c r="B83" s="1">
        <f>IFERROR(__xludf.DUMMYFUNCTION("""COMPUTED_VALUE"""),12.32)</f>
        <v>12.32</v>
      </c>
      <c r="C83" s="1">
        <f>IFERROR(__xludf.DUMMYFUNCTION("""COMPUTED_VALUE"""),12.32)</f>
        <v>12.32</v>
      </c>
      <c r="D83" s="1">
        <f>IFERROR(__xludf.DUMMYFUNCTION("""COMPUTED_VALUE"""),12.12)</f>
        <v>12.12</v>
      </c>
      <c r="E83" s="1">
        <f>IFERROR(__xludf.DUMMYFUNCTION("""COMPUTED_VALUE"""),12.24)</f>
        <v>12.24</v>
      </c>
      <c r="F83" s="1">
        <f>IFERROR(__xludf.DUMMYFUNCTION("""COMPUTED_VALUE"""),30061.0)</f>
        <v>30061</v>
      </c>
    </row>
    <row r="84" ht="15.75" customHeight="1">
      <c r="A84" s="10">
        <f>IFERROR(__xludf.DUMMYFUNCTION("""COMPUTED_VALUE"""),43945.66666666667)</f>
        <v>43945.66667</v>
      </c>
      <c r="B84" s="1">
        <f>IFERROR(__xludf.DUMMYFUNCTION("""COMPUTED_VALUE"""),12.28)</f>
        <v>12.28</v>
      </c>
      <c r="C84" s="1">
        <f>IFERROR(__xludf.DUMMYFUNCTION("""COMPUTED_VALUE"""),12.28)</f>
        <v>12.28</v>
      </c>
      <c r="D84" s="1">
        <f>IFERROR(__xludf.DUMMYFUNCTION("""COMPUTED_VALUE"""),12.11)</f>
        <v>12.11</v>
      </c>
      <c r="E84" s="1">
        <f>IFERROR(__xludf.DUMMYFUNCTION("""COMPUTED_VALUE"""),12.19)</f>
        <v>12.19</v>
      </c>
      <c r="F84" s="1">
        <f>IFERROR(__xludf.DUMMYFUNCTION("""COMPUTED_VALUE"""),13448.0)</f>
        <v>13448</v>
      </c>
    </row>
    <row r="85" ht="15.75" customHeight="1">
      <c r="A85" s="10">
        <f>IFERROR(__xludf.DUMMYFUNCTION("""COMPUTED_VALUE"""),43948.66666666667)</f>
        <v>43948.66667</v>
      </c>
      <c r="B85" s="1">
        <f>IFERROR(__xludf.DUMMYFUNCTION("""COMPUTED_VALUE"""),12.17)</f>
        <v>12.17</v>
      </c>
      <c r="C85" s="1">
        <f>IFERROR(__xludf.DUMMYFUNCTION("""COMPUTED_VALUE"""),12.17)</f>
        <v>12.17</v>
      </c>
      <c r="D85" s="1">
        <f>IFERROR(__xludf.DUMMYFUNCTION("""COMPUTED_VALUE"""),11.99)</f>
        <v>11.99</v>
      </c>
      <c r="E85" s="1">
        <f>IFERROR(__xludf.DUMMYFUNCTION("""COMPUTED_VALUE"""),12.0)</f>
        <v>12</v>
      </c>
      <c r="F85" s="1">
        <f>IFERROR(__xludf.DUMMYFUNCTION("""COMPUTED_VALUE"""),12152.0)</f>
        <v>12152</v>
      </c>
    </row>
    <row r="86" ht="15.75" customHeight="1">
      <c r="A86" s="10">
        <f>IFERROR(__xludf.DUMMYFUNCTION("""COMPUTED_VALUE"""),43949.66666666667)</f>
        <v>43949.66667</v>
      </c>
      <c r="B86" s="1">
        <f>IFERROR(__xludf.DUMMYFUNCTION("""COMPUTED_VALUE"""),11.99)</f>
        <v>11.99</v>
      </c>
      <c r="C86" s="1">
        <f>IFERROR(__xludf.DUMMYFUNCTION("""COMPUTED_VALUE"""),12.05)</f>
        <v>12.05</v>
      </c>
      <c r="D86" s="1">
        <f>IFERROR(__xludf.DUMMYFUNCTION("""COMPUTED_VALUE"""),11.95)</f>
        <v>11.95</v>
      </c>
      <c r="E86" s="1">
        <f>IFERROR(__xludf.DUMMYFUNCTION("""COMPUTED_VALUE"""),12.01)</f>
        <v>12.01</v>
      </c>
      <c r="F86" s="1">
        <f>IFERROR(__xludf.DUMMYFUNCTION("""COMPUTED_VALUE"""),10611.0)</f>
        <v>10611</v>
      </c>
    </row>
    <row r="87" ht="15.75" customHeight="1">
      <c r="A87" s="10">
        <f>IFERROR(__xludf.DUMMYFUNCTION("""COMPUTED_VALUE"""),43950.66666666667)</f>
        <v>43950.66667</v>
      </c>
      <c r="B87" s="1">
        <f>IFERROR(__xludf.DUMMYFUNCTION("""COMPUTED_VALUE"""),12.03)</f>
        <v>12.03</v>
      </c>
      <c r="C87" s="1">
        <f>IFERROR(__xludf.DUMMYFUNCTION("""COMPUTED_VALUE"""),12.19)</f>
        <v>12.19</v>
      </c>
      <c r="D87" s="1">
        <f>IFERROR(__xludf.DUMMYFUNCTION("""COMPUTED_VALUE"""),12.03)</f>
        <v>12.03</v>
      </c>
      <c r="E87" s="1">
        <f>IFERROR(__xludf.DUMMYFUNCTION("""COMPUTED_VALUE"""),12.07)</f>
        <v>12.07</v>
      </c>
      <c r="F87" s="1">
        <f>IFERROR(__xludf.DUMMYFUNCTION("""COMPUTED_VALUE"""),8877.0)</f>
        <v>8877</v>
      </c>
    </row>
    <row r="88" ht="15.75" customHeight="1">
      <c r="A88" s="10">
        <f>IFERROR(__xludf.DUMMYFUNCTION("""COMPUTED_VALUE"""),43951.66666666667)</f>
        <v>43951.66667</v>
      </c>
      <c r="B88" s="1">
        <f>IFERROR(__xludf.DUMMYFUNCTION("""COMPUTED_VALUE"""),12.09)</f>
        <v>12.09</v>
      </c>
      <c r="C88" s="1">
        <f>IFERROR(__xludf.DUMMYFUNCTION("""COMPUTED_VALUE"""),12.09)</f>
        <v>12.09</v>
      </c>
      <c r="D88" s="1">
        <f>IFERROR(__xludf.DUMMYFUNCTION("""COMPUTED_VALUE"""),12.04)</f>
        <v>12.04</v>
      </c>
      <c r="E88" s="1">
        <f>IFERROR(__xludf.DUMMYFUNCTION("""COMPUTED_VALUE"""),12.06)</f>
        <v>12.06</v>
      </c>
      <c r="F88" s="1">
        <f>IFERROR(__xludf.DUMMYFUNCTION("""COMPUTED_VALUE"""),5150.0)</f>
        <v>5150</v>
      </c>
    </row>
    <row r="89" ht="15.75" customHeight="1">
      <c r="A89" s="10">
        <f>IFERROR(__xludf.DUMMYFUNCTION("""COMPUTED_VALUE"""),43952.66666666667)</f>
        <v>43952.66667</v>
      </c>
      <c r="B89" s="1">
        <f>IFERROR(__xludf.DUMMYFUNCTION("""COMPUTED_VALUE"""),12.05)</f>
        <v>12.05</v>
      </c>
      <c r="C89" s="1">
        <f>IFERROR(__xludf.DUMMYFUNCTION("""COMPUTED_VALUE"""),12.13)</f>
        <v>12.13</v>
      </c>
      <c r="D89" s="1">
        <f>IFERROR(__xludf.DUMMYFUNCTION("""COMPUTED_VALUE"""),12.01)</f>
        <v>12.01</v>
      </c>
      <c r="E89" s="1">
        <f>IFERROR(__xludf.DUMMYFUNCTION("""COMPUTED_VALUE"""),12.13)</f>
        <v>12.13</v>
      </c>
      <c r="F89" s="1">
        <f>IFERROR(__xludf.DUMMYFUNCTION("""COMPUTED_VALUE"""),8514.0)</f>
        <v>8514</v>
      </c>
    </row>
    <row r="90" ht="15.75" customHeight="1">
      <c r="A90" s="10">
        <f>IFERROR(__xludf.DUMMYFUNCTION("""COMPUTED_VALUE"""),43955.66666666667)</f>
        <v>43955.66667</v>
      </c>
      <c r="B90" s="1">
        <f>IFERROR(__xludf.DUMMYFUNCTION("""COMPUTED_VALUE"""),12.09)</f>
        <v>12.09</v>
      </c>
      <c r="C90" s="1">
        <f>IFERROR(__xludf.DUMMYFUNCTION("""COMPUTED_VALUE"""),12.12)</f>
        <v>12.12</v>
      </c>
      <c r="D90" s="1">
        <f>IFERROR(__xludf.DUMMYFUNCTION("""COMPUTED_VALUE"""),12.06)</f>
        <v>12.06</v>
      </c>
      <c r="E90" s="1">
        <f>IFERROR(__xludf.DUMMYFUNCTION("""COMPUTED_VALUE"""),12.11)</f>
        <v>12.11</v>
      </c>
      <c r="F90" s="1">
        <f>IFERROR(__xludf.DUMMYFUNCTION("""COMPUTED_VALUE"""),12525.0)</f>
        <v>12525</v>
      </c>
    </row>
    <row r="91" ht="15.75" customHeight="1">
      <c r="A91" s="10">
        <f>IFERROR(__xludf.DUMMYFUNCTION("""COMPUTED_VALUE"""),43956.66666666667)</f>
        <v>43956.66667</v>
      </c>
      <c r="B91" s="1">
        <f>IFERROR(__xludf.DUMMYFUNCTION("""COMPUTED_VALUE"""),12.14)</f>
        <v>12.14</v>
      </c>
      <c r="C91" s="1">
        <f>IFERROR(__xludf.DUMMYFUNCTION("""COMPUTED_VALUE"""),12.26)</f>
        <v>12.26</v>
      </c>
      <c r="D91" s="1">
        <f>IFERROR(__xludf.DUMMYFUNCTION("""COMPUTED_VALUE"""),12.12)</f>
        <v>12.12</v>
      </c>
      <c r="E91" s="1">
        <f>IFERROR(__xludf.DUMMYFUNCTION("""COMPUTED_VALUE"""),12.23)</f>
        <v>12.23</v>
      </c>
      <c r="F91" s="1">
        <f>IFERROR(__xludf.DUMMYFUNCTION("""COMPUTED_VALUE"""),30892.0)</f>
        <v>30892</v>
      </c>
    </row>
    <row r="92" ht="15.75" customHeight="1">
      <c r="A92" s="10">
        <f>IFERROR(__xludf.DUMMYFUNCTION("""COMPUTED_VALUE"""),43957.66666666667)</f>
        <v>43957.66667</v>
      </c>
      <c r="B92" s="1">
        <f>IFERROR(__xludf.DUMMYFUNCTION("""COMPUTED_VALUE"""),12.24)</f>
        <v>12.24</v>
      </c>
      <c r="C92" s="1">
        <f>IFERROR(__xludf.DUMMYFUNCTION("""COMPUTED_VALUE"""),12.27)</f>
        <v>12.27</v>
      </c>
      <c r="D92" s="1">
        <f>IFERROR(__xludf.DUMMYFUNCTION("""COMPUTED_VALUE"""),12.22)</f>
        <v>12.22</v>
      </c>
      <c r="E92" s="1">
        <f>IFERROR(__xludf.DUMMYFUNCTION("""COMPUTED_VALUE"""),12.27)</f>
        <v>12.27</v>
      </c>
      <c r="F92" s="1">
        <f>IFERROR(__xludf.DUMMYFUNCTION("""COMPUTED_VALUE"""),24645.0)</f>
        <v>24645</v>
      </c>
    </row>
    <row r="93" ht="15.75" customHeight="1">
      <c r="A93" s="10">
        <f>IFERROR(__xludf.DUMMYFUNCTION("""COMPUTED_VALUE"""),43958.66666666667)</f>
        <v>43958.66667</v>
      </c>
      <c r="B93" s="1">
        <f>IFERROR(__xludf.DUMMYFUNCTION("""COMPUTED_VALUE"""),12.32)</f>
        <v>12.32</v>
      </c>
      <c r="C93" s="1">
        <f>IFERROR(__xludf.DUMMYFUNCTION("""COMPUTED_VALUE"""),12.34)</f>
        <v>12.34</v>
      </c>
      <c r="D93" s="1">
        <f>IFERROR(__xludf.DUMMYFUNCTION("""COMPUTED_VALUE"""),12.29)</f>
        <v>12.29</v>
      </c>
      <c r="E93" s="1">
        <f>IFERROR(__xludf.DUMMYFUNCTION("""COMPUTED_VALUE"""),12.34)</f>
        <v>12.34</v>
      </c>
      <c r="F93" s="1">
        <f>IFERROR(__xludf.DUMMYFUNCTION("""COMPUTED_VALUE"""),6489.0)</f>
        <v>6489</v>
      </c>
    </row>
    <row r="94" ht="15.75" customHeight="1">
      <c r="A94" s="10">
        <f>IFERROR(__xludf.DUMMYFUNCTION("""COMPUTED_VALUE"""),43959.66666666667)</f>
        <v>43959.66667</v>
      </c>
      <c r="B94" s="1">
        <f>IFERROR(__xludf.DUMMYFUNCTION("""COMPUTED_VALUE"""),12.32)</f>
        <v>12.32</v>
      </c>
      <c r="C94" s="1">
        <f>IFERROR(__xludf.DUMMYFUNCTION("""COMPUTED_VALUE"""),12.38)</f>
        <v>12.38</v>
      </c>
      <c r="D94" s="1">
        <f>IFERROR(__xludf.DUMMYFUNCTION("""COMPUTED_VALUE"""),12.32)</f>
        <v>12.32</v>
      </c>
      <c r="E94" s="1">
        <f>IFERROR(__xludf.DUMMYFUNCTION("""COMPUTED_VALUE"""),12.37)</f>
        <v>12.37</v>
      </c>
      <c r="F94" s="1">
        <f>IFERROR(__xludf.DUMMYFUNCTION("""COMPUTED_VALUE"""),10649.0)</f>
        <v>10649</v>
      </c>
    </row>
    <row r="95" ht="15.75" customHeight="1">
      <c r="A95" s="10">
        <f>IFERROR(__xludf.DUMMYFUNCTION("""COMPUTED_VALUE"""),43962.66666666667)</f>
        <v>43962.66667</v>
      </c>
      <c r="B95" s="1">
        <f>IFERROR(__xludf.DUMMYFUNCTION("""COMPUTED_VALUE"""),12.37)</f>
        <v>12.37</v>
      </c>
      <c r="C95" s="1">
        <f>IFERROR(__xludf.DUMMYFUNCTION("""COMPUTED_VALUE"""),12.42)</f>
        <v>12.42</v>
      </c>
      <c r="D95" s="1">
        <f>IFERROR(__xludf.DUMMYFUNCTION("""COMPUTED_VALUE"""),12.36)</f>
        <v>12.36</v>
      </c>
      <c r="E95" s="1">
        <f>IFERROR(__xludf.DUMMYFUNCTION("""COMPUTED_VALUE"""),12.37)</f>
        <v>12.37</v>
      </c>
      <c r="F95" s="1">
        <f>IFERROR(__xludf.DUMMYFUNCTION("""COMPUTED_VALUE"""),10592.0)</f>
        <v>10592</v>
      </c>
    </row>
    <row r="96" ht="15.75" customHeight="1">
      <c r="A96" s="10">
        <f>IFERROR(__xludf.DUMMYFUNCTION("""COMPUTED_VALUE"""),43963.66666666667)</f>
        <v>43963.66667</v>
      </c>
      <c r="B96" s="1">
        <f>IFERROR(__xludf.DUMMYFUNCTION("""COMPUTED_VALUE"""),12.4)</f>
        <v>12.4</v>
      </c>
      <c r="C96" s="1">
        <f>IFERROR(__xludf.DUMMYFUNCTION("""COMPUTED_VALUE"""),12.45)</f>
        <v>12.45</v>
      </c>
      <c r="D96" s="1">
        <f>IFERROR(__xludf.DUMMYFUNCTION("""COMPUTED_VALUE"""),12.38)</f>
        <v>12.38</v>
      </c>
      <c r="E96" s="1">
        <f>IFERROR(__xludf.DUMMYFUNCTION("""COMPUTED_VALUE"""),12.41)</f>
        <v>12.41</v>
      </c>
      <c r="F96" s="1">
        <f>IFERROR(__xludf.DUMMYFUNCTION("""COMPUTED_VALUE"""),4277.0)</f>
        <v>4277</v>
      </c>
    </row>
    <row r="97" ht="15.75" customHeight="1">
      <c r="A97" s="10">
        <f>IFERROR(__xludf.DUMMYFUNCTION("""COMPUTED_VALUE"""),43964.66666666667)</f>
        <v>43964.66667</v>
      </c>
      <c r="B97" s="1">
        <f>IFERROR(__xludf.DUMMYFUNCTION("""COMPUTED_VALUE"""),12.43)</f>
        <v>12.43</v>
      </c>
      <c r="C97" s="1">
        <f>IFERROR(__xludf.DUMMYFUNCTION("""COMPUTED_VALUE"""),12.55)</f>
        <v>12.55</v>
      </c>
      <c r="D97" s="1">
        <f>IFERROR(__xludf.DUMMYFUNCTION("""COMPUTED_VALUE"""),12.36)</f>
        <v>12.36</v>
      </c>
      <c r="E97" s="1">
        <f>IFERROR(__xludf.DUMMYFUNCTION("""COMPUTED_VALUE"""),12.49)</f>
        <v>12.49</v>
      </c>
      <c r="F97" s="1">
        <f>IFERROR(__xludf.DUMMYFUNCTION("""COMPUTED_VALUE"""),35898.0)</f>
        <v>35898</v>
      </c>
    </row>
    <row r="98" ht="15.75" customHeight="1">
      <c r="A98" s="10">
        <f>IFERROR(__xludf.DUMMYFUNCTION("""COMPUTED_VALUE"""),43965.66666666667)</f>
        <v>43965.66667</v>
      </c>
      <c r="B98" s="1">
        <f>IFERROR(__xludf.DUMMYFUNCTION("""COMPUTED_VALUE"""),12.51)</f>
        <v>12.51</v>
      </c>
      <c r="C98" s="1">
        <f>IFERROR(__xludf.DUMMYFUNCTION("""COMPUTED_VALUE"""),12.51)</f>
        <v>12.51</v>
      </c>
      <c r="D98" s="1">
        <f>IFERROR(__xludf.DUMMYFUNCTION("""COMPUTED_VALUE"""),12.27)</f>
        <v>12.27</v>
      </c>
      <c r="E98" s="1">
        <f>IFERROR(__xludf.DUMMYFUNCTION("""COMPUTED_VALUE"""),12.4)</f>
        <v>12.4</v>
      </c>
      <c r="F98" s="1">
        <f>IFERROR(__xludf.DUMMYFUNCTION("""COMPUTED_VALUE"""),11684.0)</f>
        <v>11684</v>
      </c>
    </row>
    <row r="99" ht="15.75" customHeight="1">
      <c r="A99" s="10">
        <f>IFERROR(__xludf.DUMMYFUNCTION("""COMPUTED_VALUE"""),43966.66666666667)</f>
        <v>43966.66667</v>
      </c>
      <c r="B99" s="1">
        <f>IFERROR(__xludf.DUMMYFUNCTION("""COMPUTED_VALUE"""),12.41)</f>
        <v>12.41</v>
      </c>
      <c r="C99" s="1">
        <f>IFERROR(__xludf.DUMMYFUNCTION("""COMPUTED_VALUE"""),12.41)</f>
        <v>12.41</v>
      </c>
      <c r="D99" s="1">
        <f>IFERROR(__xludf.DUMMYFUNCTION("""COMPUTED_VALUE"""),12.35)</f>
        <v>12.35</v>
      </c>
      <c r="E99" s="1">
        <f>IFERROR(__xludf.DUMMYFUNCTION("""COMPUTED_VALUE"""),12.38)</f>
        <v>12.38</v>
      </c>
      <c r="F99" s="1">
        <f>IFERROR(__xludf.DUMMYFUNCTION("""COMPUTED_VALUE"""),3645.0)</f>
        <v>3645</v>
      </c>
    </row>
    <row r="100" ht="15.75" customHeight="1">
      <c r="A100" s="10">
        <f>IFERROR(__xludf.DUMMYFUNCTION("""COMPUTED_VALUE"""),43969.66666666667)</f>
        <v>43969.66667</v>
      </c>
      <c r="B100" s="1">
        <f>IFERROR(__xludf.DUMMYFUNCTION("""COMPUTED_VALUE"""),12.34)</f>
        <v>12.34</v>
      </c>
      <c r="C100" s="1">
        <f>IFERROR(__xludf.DUMMYFUNCTION("""COMPUTED_VALUE"""),12.37)</f>
        <v>12.37</v>
      </c>
      <c r="D100" s="1">
        <f>IFERROR(__xludf.DUMMYFUNCTION("""COMPUTED_VALUE"""),12.33)</f>
        <v>12.33</v>
      </c>
      <c r="E100" s="1">
        <f>IFERROR(__xludf.DUMMYFUNCTION("""COMPUTED_VALUE"""),12.37)</f>
        <v>12.37</v>
      </c>
      <c r="F100" s="1">
        <f>IFERROR(__xludf.DUMMYFUNCTION("""COMPUTED_VALUE"""),8035.0)</f>
        <v>8035</v>
      </c>
    </row>
    <row r="101" ht="15.75" customHeight="1">
      <c r="A101" s="10">
        <f>IFERROR(__xludf.DUMMYFUNCTION("""COMPUTED_VALUE"""),43970.66666666667)</f>
        <v>43970.66667</v>
      </c>
      <c r="B101" s="1">
        <f>IFERROR(__xludf.DUMMYFUNCTION("""COMPUTED_VALUE"""),12.38)</f>
        <v>12.38</v>
      </c>
      <c r="C101" s="1">
        <f>IFERROR(__xludf.DUMMYFUNCTION("""COMPUTED_VALUE"""),12.49)</f>
        <v>12.49</v>
      </c>
      <c r="D101" s="1">
        <f>IFERROR(__xludf.DUMMYFUNCTION("""COMPUTED_VALUE"""),12.38)</f>
        <v>12.38</v>
      </c>
      <c r="E101" s="1">
        <f>IFERROR(__xludf.DUMMYFUNCTION("""COMPUTED_VALUE"""),12.49)</f>
        <v>12.49</v>
      </c>
      <c r="F101" s="1">
        <f>IFERROR(__xludf.DUMMYFUNCTION("""COMPUTED_VALUE"""),32835.0)</f>
        <v>32835</v>
      </c>
    </row>
    <row r="102" ht="15.75" customHeight="1">
      <c r="A102" s="10">
        <f>IFERROR(__xludf.DUMMYFUNCTION("""COMPUTED_VALUE"""),43971.66666666667)</f>
        <v>43971.66667</v>
      </c>
      <c r="B102" s="1">
        <f>IFERROR(__xludf.DUMMYFUNCTION("""COMPUTED_VALUE"""),12.49)</f>
        <v>12.49</v>
      </c>
      <c r="C102" s="1">
        <f>IFERROR(__xludf.DUMMYFUNCTION("""COMPUTED_VALUE"""),12.51)</f>
        <v>12.51</v>
      </c>
      <c r="D102" s="1">
        <f>IFERROR(__xludf.DUMMYFUNCTION("""COMPUTED_VALUE"""),12.47)</f>
        <v>12.47</v>
      </c>
      <c r="E102" s="1">
        <f>IFERROR(__xludf.DUMMYFUNCTION("""COMPUTED_VALUE"""),12.5)</f>
        <v>12.5</v>
      </c>
      <c r="F102" s="1">
        <f>IFERROR(__xludf.DUMMYFUNCTION("""COMPUTED_VALUE"""),5781.0)</f>
        <v>5781</v>
      </c>
    </row>
    <row r="103" ht="15.75" customHeight="1">
      <c r="A103" s="10">
        <f>IFERROR(__xludf.DUMMYFUNCTION("""COMPUTED_VALUE"""),43972.66666666667)</f>
        <v>43972.66667</v>
      </c>
      <c r="B103" s="1">
        <f>IFERROR(__xludf.DUMMYFUNCTION("""COMPUTED_VALUE"""),12.51)</f>
        <v>12.51</v>
      </c>
      <c r="C103" s="1">
        <f>IFERROR(__xludf.DUMMYFUNCTION("""COMPUTED_VALUE"""),12.56)</f>
        <v>12.56</v>
      </c>
      <c r="D103" s="1">
        <f>IFERROR(__xludf.DUMMYFUNCTION("""COMPUTED_VALUE"""),12.51)</f>
        <v>12.51</v>
      </c>
      <c r="E103" s="1">
        <f>IFERROR(__xludf.DUMMYFUNCTION("""COMPUTED_VALUE"""),12.54)</f>
        <v>12.54</v>
      </c>
      <c r="F103" s="1">
        <f>IFERROR(__xludf.DUMMYFUNCTION("""COMPUTED_VALUE"""),28027.0)</f>
        <v>28027</v>
      </c>
    </row>
    <row r="104" ht="15.75" customHeight="1">
      <c r="A104" s="10">
        <f>IFERROR(__xludf.DUMMYFUNCTION("""COMPUTED_VALUE"""),43973.66666666667)</f>
        <v>43973.66667</v>
      </c>
      <c r="B104" s="1">
        <f>IFERROR(__xludf.DUMMYFUNCTION("""COMPUTED_VALUE"""),12.58)</f>
        <v>12.58</v>
      </c>
      <c r="C104" s="1">
        <f>IFERROR(__xludf.DUMMYFUNCTION("""COMPUTED_VALUE"""),12.64)</f>
        <v>12.64</v>
      </c>
      <c r="D104" s="1">
        <f>IFERROR(__xludf.DUMMYFUNCTION("""COMPUTED_VALUE"""),12.56)</f>
        <v>12.56</v>
      </c>
      <c r="E104" s="1">
        <f>IFERROR(__xludf.DUMMYFUNCTION("""COMPUTED_VALUE"""),12.6)</f>
        <v>12.6</v>
      </c>
      <c r="F104" s="1">
        <f>IFERROR(__xludf.DUMMYFUNCTION("""COMPUTED_VALUE"""),19734.0)</f>
        <v>19734</v>
      </c>
    </row>
    <row r="105" ht="15.75" customHeight="1">
      <c r="A105" s="10">
        <f>IFERROR(__xludf.DUMMYFUNCTION("""COMPUTED_VALUE"""),43977.66666666667)</f>
        <v>43977.66667</v>
      </c>
      <c r="B105" s="1">
        <f>IFERROR(__xludf.DUMMYFUNCTION("""COMPUTED_VALUE"""),12.61)</f>
        <v>12.61</v>
      </c>
      <c r="C105" s="1">
        <f>IFERROR(__xludf.DUMMYFUNCTION("""COMPUTED_VALUE"""),12.8)</f>
        <v>12.8</v>
      </c>
      <c r="D105" s="1">
        <f>IFERROR(__xludf.DUMMYFUNCTION("""COMPUTED_VALUE"""),12.61)</f>
        <v>12.61</v>
      </c>
      <c r="E105" s="1">
        <f>IFERROR(__xludf.DUMMYFUNCTION("""COMPUTED_VALUE"""),12.75)</f>
        <v>12.75</v>
      </c>
      <c r="F105" s="1">
        <f>IFERROR(__xludf.DUMMYFUNCTION("""COMPUTED_VALUE"""),18139.0)</f>
        <v>18139</v>
      </c>
    </row>
    <row r="106" ht="15.75" customHeight="1">
      <c r="A106" s="10">
        <f>IFERROR(__xludf.DUMMYFUNCTION("""COMPUTED_VALUE"""),43978.66666666667)</f>
        <v>43978.66667</v>
      </c>
      <c r="B106" s="1">
        <f>IFERROR(__xludf.DUMMYFUNCTION("""COMPUTED_VALUE"""),12.79)</f>
        <v>12.79</v>
      </c>
      <c r="C106" s="1">
        <f>IFERROR(__xludf.DUMMYFUNCTION("""COMPUTED_VALUE"""),12.79)</f>
        <v>12.79</v>
      </c>
      <c r="D106" s="1">
        <f>IFERROR(__xludf.DUMMYFUNCTION("""COMPUTED_VALUE"""),12.77)</f>
        <v>12.77</v>
      </c>
      <c r="E106" s="1">
        <f>IFERROR(__xludf.DUMMYFUNCTION("""COMPUTED_VALUE"""),12.78)</f>
        <v>12.78</v>
      </c>
      <c r="F106" s="1">
        <f>IFERROR(__xludf.DUMMYFUNCTION("""COMPUTED_VALUE"""),2370.0)</f>
        <v>2370</v>
      </c>
    </row>
    <row r="107" ht="15.75" customHeight="1">
      <c r="A107" s="10">
        <f>IFERROR(__xludf.DUMMYFUNCTION("""COMPUTED_VALUE"""),43979.66666666667)</f>
        <v>43979.66667</v>
      </c>
      <c r="B107" s="1">
        <f>IFERROR(__xludf.DUMMYFUNCTION("""COMPUTED_VALUE"""),12.81)</f>
        <v>12.81</v>
      </c>
      <c r="C107" s="1">
        <f>IFERROR(__xludf.DUMMYFUNCTION("""COMPUTED_VALUE"""),12.89)</f>
        <v>12.89</v>
      </c>
      <c r="D107" s="1">
        <f>IFERROR(__xludf.DUMMYFUNCTION("""COMPUTED_VALUE"""),12.81)</f>
        <v>12.81</v>
      </c>
      <c r="E107" s="1">
        <f>IFERROR(__xludf.DUMMYFUNCTION("""COMPUTED_VALUE"""),12.84)</f>
        <v>12.84</v>
      </c>
      <c r="F107" s="1">
        <f>IFERROR(__xludf.DUMMYFUNCTION("""COMPUTED_VALUE"""),12433.0)</f>
        <v>12433</v>
      </c>
    </row>
    <row r="108" ht="15.75" customHeight="1">
      <c r="A108" s="10">
        <f>IFERROR(__xludf.DUMMYFUNCTION("""COMPUTED_VALUE"""),43980.66666666667)</f>
        <v>43980.66667</v>
      </c>
      <c r="B108" s="1">
        <f>IFERROR(__xludf.DUMMYFUNCTION("""COMPUTED_VALUE"""),12.89)</f>
        <v>12.89</v>
      </c>
      <c r="C108" s="1">
        <f>IFERROR(__xludf.DUMMYFUNCTION("""COMPUTED_VALUE"""),12.98)</f>
        <v>12.98</v>
      </c>
      <c r="D108" s="1">
        <f>IFERROR(__xludf.DUMMYFUNCTION("""COMPUTED_VALUE"""),12.88)</f>
        <v>12.88</v>
      </c>
      <c r="E108" s="1">
        <f>IFERROR(__xludf.DUMMYFUNCTION("""COMPUTED_VALUE"""),12.98)</f>
        <v>12.98</v>
      </c>
      <c r="F108" s="1">
        <f>IFERROR(__xludf.DUMMYFUNCTION("""COMPUTED_VALUE"""),5140.0)</f>
        <v>5140</v>
      </c>
    </row>
    <row r="109" ht="15.75" customHeight="1">
      <c r="A109" s="10">
        <f>IFERROR(__xludf.DUMMYFUNCTION("""COMPUTED_VALUE"""),43983.66666666667)</f>
        <v>43983.66667</v>
      </c>
      <c r="B109" s="1">
        <f>IFERROR(__xludf.DUMMYFUNCTION("""COMPUTED_VALUE"""),13.05)</f>
        <v>13.05</v>
      </c>
      <c r="C109" s="1">
        <f>IFERROR(__xludf.DUMMYFUNCTION("""COMPUTED_VALUE"""),13.07)</f>
        <v>13.07</v>
      </c>
      <c r="D109" s="1">
        <f>IFERROR(__xludf.DUMMYFUNCTION("""COMPUTED_VALUE"""),13.03)</f>
        <v>13.03</v>
      </c>
      <c r="E109" s="1">
        <f>IFERROR(__xludf.DUMMYFUNCTION("""COMPUTED_VALUE"""),13.07)</f>
        <v>13.07</v>
      </c>
      <c r="F109" s="1">
        <f>IFERROR(__xludf.DUMMYFUNCTION("""COMPUTED_VALUE"""),12595.0)</f>
        <v>12595</v>
      </c>
    </row>
    <row r="110" ht="15.75" customHeight="1">
      <c r="A110" s="10">
        <f>IFERROR(__xludf.DUMMYFUNCTION("""COMPUTED_VALUE"""),43984.66666666667)</f>
        <v>43984.66667</v>
      </c>
      <c r="B110" s="1">
        <f>IFERROR(__xludf.DUMMYFUNCTION("""COMPUTED_VALUE"""),13.04)</f>
        <v>13.04</v>
      </c>
      <c r="C110" s="1">
        <f>IFERROR(__xludf.DUMMYFUNCTION("""COMPUTED_VALUE"""),13.12)</f>
        <v>13.12</v>
      </c>
      <c r="D110" s="1">
        <f>IFERROR(__xludf.DUMMYFUNCTION("""COMPUTED_VALUE"""),13.04)</f>
        <v>13.04</v>
      </c>
      <c r="E110" s="1">
        <f>IFERROR(__xludf.DUMMYFUNCTION("""COMPUTED_VALUE"""),13.08)</f>
        <v>13.08</v>
      </c>
      <c r="F110" s="1">
        <f>IFERROR(__xludf.DUMMYFUNCTION("""COMPUTED_VALUE"""),18737.0)</f>
        <v>18737</v>
      </c>
    </row>
    <row r="111" ht="15.75" customHeight="1">
      <c r="A111" s="10">
        <f>IFERROR(__xludf.DUMMYFUNCTION("""COMPUTED_VALUE"""),43985.66666666667)</f>
        <v>43985.66667</v>
      </c>
      <c r="B111" s="1">
        <f>IFERROR(__xludf.DUMMYFUNCTION("""COMPUTED_VALUE"""),13.13)</f>
        <v>13.13</v>
      </c>
      <c r="C111" s="1">
        <f>IFERROR(__xludf.DUMMYFUNCTION("""COMPUTED_VALUE"""),13.15)</f>
        <v>13.15</v>
      </c>
      <c r="D111" s="1">
        <f>IFERROR(__xludf.DUMMYFUNCTION("""COMPUTED_VALUE"""),13.08)</f>
        <v>13.08</v>
      </c>
      <c r="E111" s="1">
        <f>IFERROR(__xludf.DUMMYFUNCTION("""COMPUTED_VALUE"""),13.1)</f>
        <v>13.1</v>
      </c>
      <c r="F111" s="1">
        <f>IFERROR(__xludf.DUMMYFUNCTION("""COMPUTED_VALUE"""),5409.0)</f>
        <v>5409</v>
      </c>
    </row>
    <row r="112" ht="15.75" customHeight="1">
      <c r="A112" s="10">
        <f>IFERROR(__xludf.DUMMYFUNCTION("""COMPUTED_VALUE"""),43986.66666666667)</f>
        <v>43986.66667</v>
      </c>
      <c r="B112" s="1">
        <f>IFERROR(__xludf.DUMMYFUNCTION("""COMPUTED_VALUE"""),13.11)</f>
        <v>13.11</v>
      </c>
      <c r="C112" s="1">
        <f>IFERROR(__xludf.DUMMYFUNCTION("""COMPUTED_VALUE"""),13.11)</f>
        <v>13.11</v>
      </c>
      <c r="D112" s="1">
        <f>IFERROR(__xludf.DUMMYFUNCTION("""COMPUTED_VALUE"""),13.03)</f>
        <v>13.03</v>
      </c>
      <c r="E112" s="1">
        <f>IFERROR(__xludf.DUMMYFUNCTION("""COMPUTED_VALUE"""),13.09)</f>
        <v>13.09</v>
      </c>
      <c r="F112" s="1">
        <f>IFERROR(__xludf.DUMMYFUNCTION("""COMPUTED_VALUE"""),7196.0)</f>
        <v>7196</v>
      </c>
    </row>
    <row r="113" ht="15.75" customHeight="1">
      <c r="A113" s="10">
        <f>IFERROR(__xludf.DUMMYFUNCTION("""COMPUTED_VALUE"""),43987.66666666667)</f>
        <v>43987.66667</v>
      </c>
      <c r="B113" s="1">
        <f>IFERROR(__xludf.DUMMYFUNCTION("""COMPUTED_VALUE"""),13.15)</f>
        <v>13.15</v>
      </c>
      <c r="C113" s="1">
        <f>IFERROR(__xludf.DUMMYFUNCTION("""COMPUTED_VALUE"""),13.15)</f>
        <v>13.15</v>
      </c>
      <c r="D113" s="1">
        <f>IFERROR(__xludf.DUMMYFUNCTION("""COMPUTED_VALUE"""),12.94)</f>
        <v>12.94</v>
      </c>
      <c r="E113" s="1">
        <f>IFERROR(__xludf.DUMMYFUNCTION("""COMPUTED_VALUE"""),12.97)</f>
        <v>12.97</v>
      </c>
      <c r="F113" s="1">
        <f>IFERROR(__xludf.DUMMYFUNCTION("""COMPUTED_VALUE"""),24033.0)</f>
        <v>24033</v>
      </c>
    </row>
    <row r="114" ht="15.75" customHeight="1">
      <c r="A114" s="10">
        <f>IFERROR(__xludf.DUMMYFUNCTION("""COMPUTED_VALUE"""),43990.66666666667)</f>
        <v>43990.66667</v>
      </c>
      <c r="B114" s="1">
        <f>IFERROR(__xludf.DUMMYFUNCTION("""COMPUTED_VALUE"""),13.09)</f>
        <v>13.09</v>
      </c>
      <c r="C114" s="1">
        <f>IFERROR(__xludf.DUMMYFUNCTION("""COMPUTED_VALUE"""),13.09)</f>
        <v>13.09</v>
      </c>
      <c r="D114" s="1">
        <f>IFERROR(__xludf.DUMMYFUNCTION("""COMPUTED_VALUE"""),13.02)</f>
        <v>13.02</v>
      </c>
      <c r="E114" s="1">
        <f>IFERROR(__xludf.DUMMYFUNCTION("""COMPUTED_VALUE"""),13.05)</f>
        <v>13.05</v>
      </c>
      <c r="F114" s="1">
        <f>IFERROR(__xludf.DUMMYFUNCTION("""COMPUTED_VALUE"""),9098.0)</f>
        <v>9098</v>
      </c>
    </row>
    <row r="115" ht="15.75" customHeight="1">
      <c r="A115" s="10">
        <f>IFERROR(__xludf.DUMMYFUNCTION("""COMPUTED_VALUE"""),43991.66666666667)</f>
        <v>43991.66667</v>
      </c>
      <c r="B115" s="1">
        <f>IFERROR(__xludf.DUMMYFUNCTION("""COMPUTED_VALUE"""),13.01)</f>
        <v>13.01</v>
      </c>
      <c r="C115" s="1">
        <f>IFERROR(__xludf.DUMMYFUNCTION("""COMPUTED_VALUE"""),13.05)</f>
        <v>13.05</v>
      </c>
      <c r="D115" s="1">
        <f>IFERROR(__xludf.DUMMYFUNCTION("""COMPUTED_VALUE"""),12.95)</f>
        <v>12.95</v>
      </c>
      <c r="E115" s="1">
        <f>IFERROR(__xludf.DUMMYFUNCTION("""COMPUTED_VALUE"""),13.0)</f>
        <v>13</v>
      </c>
      <c r="F115" s="1">
        <f>IFERROR(__xludf.DUMMYFUNCTION("""COMPUTED_VALUE"""),6761.0)</f>
        <v>6761</v>
      </c>
    </row>
    <row r="116" ht="15.75" customHeight="1">
      <c r="A116" s="10">
        <f>IFERROR(__xludf.DUMMYFUNCTION("""COMPUTED_VALUE"""),43992.66666666667)</f>
        <v>43992.66667</v>
      </c>
      <c r="B116" s="1">
        <f>IFERROR(__xludf.DUMMYFUNCTION("""COMPUTED_VALUE"""),13.01)</f>
        <v>13.01</v>
      </c>
      <c r="C116" s="1">
        <f>IFERROR(__xludf.DUMMYFUNCTION("""COMPUTED_VALUE"""),13.01)</f>
        <v>13.01</v>
      </c>
      <c r="D116" s="1">
        <f>IFERROR(__xludf.DUMMYFUNCTION("""COMPUTED_VALUE"""),12.92)</f>
        <v>12.92</v>
      </c>
      <c r="E116" s="1">
        <f>IFERROR(__xludf.DUMMYFUNCTION("""COMPUTED_VALUE"""),13.0)</f>
        <v>13</v>
      </c>
      <c r="F116" s="1">
        <f>IFERROR(__xludf.DUMMYFUNCTION("""COMPUTED_VALUE"""),7889.0)</f>
        <v>7889</v>
      </c>
    </row>
    <row r="117" ht="15.75" customHeight="1">
      <c r="A117" s="10">
        <f>IFERROR(__xludf.DUMMYFUNCTION("""COMPUTED_VALUE"""),43993.66666666667)</f>
        <v>43993.66667</v>
      </c>
      <c r="B117" s="1">
        <f>IFERROR(__xludf.DUMMYFUNCTION("""COMPUTED_VALUE"""),13.02)</f>
        <v>13.02</v>
      </c>
      <c r="C117" s="1">
        <f>IFERROR(__xludf.DUMMYFUNCTION("""COMPUTED_VALUE"""),13.02)</f>
        <v>13.02</v>
      </c>
      <c r="D117" s="1">
        <f>IFERROR(__xludf.DUMMYFUNCTION("""COMPUTED_VALUE"""),12.86)</f>
        <v>12.86</v>
      </c>
      <c r="E117" s="1">
        <f>IFERROR(__xludf.DUMMYFUNCTION("""COMPUTED_VALUE"""),12.86)</f>
        <v>12.86</v>
      </c>
      <c r="F117" s="1">
        <f>IFERROR(__xludf.DUMMYFUNCTION("""COMPUTED_VALUE"""),8183.0)</f>
        <v>8183</v>
      </c>
    </row>
    <row r="118" ht="15.75" customHeight="1">
      <c r="A118" s="10">
        <f>IFERROR(__xludf.DUMMYFUNCTION("""COMPUTED_VALUE"""),43994.66666666667)</f>
        <v>43994.66667</v>
      </c>
      <c r="B118" s="1">
        <f>IFERROR(__xludf.DUMMYFUNCTION("""COMPUTED_VALUE"""),12.89)</f>
        <v>12.89</v>
      </c>
      <c r="C118" s="1">
        <f>IFERROR(__xludf.DUMMYFUNCTION("""COMPUTED_VALUE"""),12.89)</f>
        <v>12.89</v>
      </c>
      <c r="D118" s="1">
        <f>IFERROR(__xludf.DUMMYFUNCTION("""COMPUTED_VALUE"""),12.81)</f>
        <v>12.81</v>
      </c>
      <c r="E118" s="1">
        <f>IFERROR(__xludf.DUMMYFUNCTION("""COMPUTED_VALUE"""),12.89)</f>
        <v>12.89</v>
      </c>
      <c r="F118" s="1">
        <f>IFERROR(__xludf.DUMMYFUNCTION("""COMPUTED_VALUE"""),7734.0)</f>
        <v>7734</v>
      </c>
    </row>
    <row r="119" ht="15.75" customHeight="1">
      <c r="A119" s="10">
        <f>IFERROR(__xludf.DUMMYFUNCTION("""COMPUTED_VALUE"""),43997.66666666667)</f>
        <v>43997.66667</v>
      </c>
      <c r="B119" s="1">
        <f>IFERROR(__xludf.DUMMYFUNCTION("""COMPUTED_VALUE"""),12.88)</f>
        <v>12.88</v>
      </c>
      <c r="C119" s="1">
        <f>IFERROR(__xludf.DUMMYFUNCTION("""COMPUTED_VALUE"""),12.91)</f>
        <v>12.91</v>
      </c>
      <c r="D119" s="1">
        <f>IFERROR(__xludf.DUMMYFUNCTION("""COMPUTED_VALUE"""),12.83)</f>
        <v>12.83</v>
      </c>
      <c r="E119" s="1">
        <f>IFERROR(__xludf.DUMMYFUNCTION("""COMPUTED_VALUE"""),12.85)</f>
        <v>12.85</v>
      </c>
      <c r="F119" s="1">
        <f>IFERROR(__xludf.DUMMYFUNCTION("""COMPUTED_VALUE"""),12037.0)</f>
        <v>12037</v>
      </c>
    </row>
    <row r="120" ht="15.75" customHeight="1">
      <c r="A120" s="10">
        <f>IFERROR(__xludf.DUMMYFUNCTION("""COMPUTED_VALUE"""),43998.66666666667)</f>
        <v>43998.66667</v>
      </c>
      <c r="B120" s="1">
        <f>IFERROR(__xludf.DUMMYFUNCTION("""COMPUTED_VALUE"""),12.86)</f>
        <v>12.86</v>
      </c>
      <c r="C120" s="1">
        <f>IFERROR(__xludf.DUMMYFUNCTION("""COMPUTED_VALUE"""),12.97)</f>
        <v>12.97</v>
      </c>
      <c r="D120" s="1">
        <f>IFERROR(__xludf.DUMMYFUNCTION("""COMPUTED_VALUE"""),12.86)</f>
        <v>12.86</v>
      </c>
      <c r="E120" s="1">
        <f>IFERROR(__xludf.DUMMYFUNCTION("""COMPUTED_VALUE"""),12.93)</f>
        <v>12.93</v>
      </c>
      <c r="F120" s="1">
        <f>IFERROR(__xludf.DUMMYFUNCTION("""COMPUTED_VALUE"""),12235.0)</f>
        <v>12235</v>
      </c>
    </row>
    <row r="121" ht="15.75" customHeight="1">
      <c r="A121" s="10">
        <f>IFERROR(__xludf.DUMMYFUNCTION("""COMPUTED_VALUE"""),43999.66666666667)</f>
        <v>43999.66667</v>
      </c>
      <c r="B121" s="1">
        <f>IFERROR(__xludf.DUMMYFUNCTION("""COMPUTED_VALUE"""),12.93)</f>
        <v>12.93</v>
      </c>
      <c r="C121" s="1">
        <f>IFERROR(__xludf.DUMMYFUNCTION("""COMPUTED_VALUE"""),13.05)</f>
        <v>13.05</v>
      </c>
      <c r="D121" s="1">
        <f>IFERROR(__xludf.DUMMYFUNCTION("""COMPUTED_VALUE"""),12.92)</f>
        <v>12.92</v>
      </c>
      <c r="E121" s="1">
        <f>IFERROR(__xludf.DUMMYFUNCTION("""COMPUTED_VALUE"""),13.04)</f>
        <v>13.04</v>
      </c>
      <c r="F121" s="1">
        <f>IFERROR(__xludf.DUMMYFUNCTION("""COMPUTED_VALUE"""),57721.0)</f>
        <v>57721</v>
      </c>
    </row>
    <row r="122" ht="15.75" customHeight="1">
      <c r="A122" s="10">
        <f>IFERROR(__xludf.DUMMYFUNCTION("""COMPUTED_VALUE"""),44000.66666666667)</f>
        <v>44000.66667</v>
      </c>
      <c r="B122" s="1">
        <f>IFERROR(__xludf.DUMMYFUNCTION("""COMPUTED_VALUE"""),13.01)</f>
        <v>13.01</v>
      </c>
      <c r="C122" s="1">
        <f>IFERROR(__xludf.DUMMYFUNCTION("""COMPUTED_VALUE"""),13.08)</f>
        <v>13.08</v>
      </c>
      <c r="D122" s="1">
        <f>IFERROR(__xludf.DUMMYFUNCTION("""COMPUTED_VALUE"""),13.0)</f>
        <v>13</v>
      </c>
      <c r="E122" s="1">
        <f>IFERROR(__xludf.DUMMYFUNCTION("""COMPUTED_VALUE"""),13.08)</f>
        <v>13.08</v>
      </c>
      <c r="F122" s="1">
        <f>IFERROR(__xludf.DUMMYFUNCTION("""COMPUTED_VALUE"""),9282.0)</f>
        <v>9282</v>
      </c>
    </row>
    <row r="123" ht="15.75" customHeight="1">
      <c r="A123" s="10">
        <f>IFERROR(__xludf.DUMMYFUNCTION("""COMPUTED_VALUE"""),44001.66666666667)</f>
        <v>44001.66667</v>
      </c>
      <c r="B123" s="1">
        <f>IFERROR(__xludf.DUMMYFUNCTION("""COMPUTED_VALUE"""),13.07)</f>
        <v>13.07</v>
      </c>
      <c r="C123" s="1">
        <f>IFERROR(__xludf.DUMMYFUNCTION("""COMPUTED_VALUE"""),13.15)</f>
        <v>13.15</v>
      </c>
      <c r="D123" s="1">
        <f>IFERROR(__xludf.DUMMYFUNCTION("""COMPUTED_VALUE"""),12.99)</f>
        <v>12.99</v>
      </c>
      <c r="E123" s="1">
        <f>IFERROR(__xludf.DUMMYFUNCTION("""COMPUTED_VALUE"""),12.99)</f>
        <v>12.99</v>
      </c>
      <c r="F123" s="1">
        <f>IFERROR(__xludf.DUMMYFUNCTION("""COMPUTED_VALUE"""),6210.0)</f>
        <v>6210</v>
      </c>
    </row>
    <row r="124" ht="15.75" customHeight="1">
      <c r="A124" s="10">
        <f>IFERROR(__xludf.DUMMYFUNCTION("""COMPUTED_VALUE"""),44004.66666666667)</f>
        <v>44004.66667</v>
      </c>
      <c r="B124" s="1">
        <f>IFERROR(__xludf.DUMMYFUNCTION("""COMPUTED_VALUE"""),13.1)</f>
        <v>13.1</v>
      </c>
      <c r="C124" s="1">
        <f>IFERROR(__xludf.DUMMYFUNCTION("""COMPUTED_VALUE"""),13.14)</f>
        <v>13.14</v>
      </c>
      <c r="D124" s="1">
        <f>IFERROR(__xludf.DUMMYFUNCTION("""COMPUTED_VALUE"""),13.1)</f>
        <v>13.1</v>
      </c>
      <c r="E124" s="1">
        <f>IFERROR(__xludf.DUMMYFUNCTION("""COMPUTED_VALUE"""),13.14)</f>
        <v>13.14</v>
      </c>
      <c r="F124" s="1">
        <f>IFERROR(__xludf.DUMMYFUNCTION("""COMPUTED_VALUE"""),1449.0)</f>
        <v>1449</v>
      </c>
    </row>
    <row r="125" ht="15.75" customHeight="1">
      <c r="A125" s="10">
        <f>IFERROR(__xludf.DUMMYFUNCTION("""COMPUTED_VALUE"""),44005.66666666667)</f>
        <v>44005.66667</v>
      </c>
      <c r="B125" s="1">
        <f>IFERROR(__xludf.DUMMYFUNCTION("""COMPUTED_VALUE"""),13.06)</f>
        <v>13.06</v>
      </c>
      <c r="C125" s="1">
        <f>IFERROR(__xludf.DUMMYFUNCTION("""COMPUTED_VALUE"""),13.27)</f>
        <v>13.27</v>
      </c>
      <c r="D125" s="1">
        <f>IFERROR(__xludf.DUMMYFUNCTION("""COMPUTED_VALUE"""),13.06)</f>
        <v>13.06</v>
      </c>
      <c r="E125" s="1">
        <f>IFERROR(__xludf.DUMMYFUNCTION("""COMPUTED_VALUE"""),13.22)</f>
        <v>13.22</v>
      </c>
      <c r="F125" s="1">
        <f>IFERROR(__xludf.DUMMYFUNCTION("""COMPUTED_VALUE"""),16504.0)</f>
        <v>16504</v>
      </c>
    </row>
    <row r="126" ht="15.75" customHeight="1">
      <c r="A126" s="10">
        <f>IFERROR(__xludf.DUMMYFUNCTION("""COMPUTED_VALUE"""),44006.66666666667)</f>
        <v>44006.66667</v>
      </c>
      <c r="B126" s="1">
        <f>IFERROR(__xludf.DUMMYFUNCTION("""COMPUTED_VALUE"""),13.27)</f>
        <v>13.27</v>
      </c>
      <c r="C126" s="1">
        <f>IFERROR(__xludf.DUMMYFUNCTION("""COMPUTED_VALUE"""),13.34)</f>
        <v>13.34</v>
      </c>
      <c r="D126" s="1">
        <f>IFERROR(__xludf.DUMMYFUNCTION("""COMPUTED_VALUE"""),13.21)</f>
        <v>13.21</v>
      </c>
      <c r="E126" s="1">
        <f>IFERROR(__xludf.DUMMYFUNCTION("""COMPUTED_VALUE"""),13.28)</f>
        <v>13.28</v>
      </c>
      <c r="F126" s="1">
        <f>IFERROR(__xludf.DUMMYFUNCTION("""COMPUTED_VALUE"""),20501.0)</f>
        <v>20501</v>
      </c>
    </row>
    <row r="127" ht="15.75" customHeight="1">
      <c r="A127" s="10">
        <f>IFERROR(__xludf.DUMMYFUNCTION("""COMPUTED_VALUE"""),44007.66666666667)</f>
        <v>44007.66667</v>
      </c>
      <c r="B127" s="1">
        <f>IFERROR(__xludf.DUMMYFUNCTION("""COMPUTED_VALUE"""),13.31)</f>
        <v>13.31</v>
      </c>
      <c r="C127" s="1">
        <f>IFERROR(__xludf.DUMMYFUNCTION("""COMPUTED_VALUE"""),13.34)</f>
        <v>13.34</v>
      </c>
      <c r="D127" s="1">
        <f>IFERROR(__xludf.DUMMYFUNCTION("""COMPUTED_VALUE"""),13.29)</f>
        <v>13.29</v>
      </c>
      <c r="E127" s="1">
        <f>IFERROR(__xludf.DUMMYFUNCTION("""COMPUTED_VALUE"""),13.3)</f>
        <v>13.3</v>
      </c>
      <c r="F127" s="1">
        <f>IFERROR(__xludf.DUMMYFUNCTION("""COMPUTED_VALUE"""),2589.0)</f>
        <v>2589</v>
      </c>
    </row>
    <row r="128" ht="15.75" customHeight="1">
      <c r="A128" s="10">
        <f>IFERROR(__xludf.DUMMYFUNCTION("""COMPUTED_VALUE"""),44008.66666666667)</f>
        <v>44008.66667</v>
      </c>
      <c r="B128" s="1">
        <f>IFERROR(__xludf.DUMMYFUNCTION("""COMPUTED_VALUE"""),13.32)</f>
        <v>13.32</v>
      </c>
      <c r="C128" s="1">
        <f>IFERROR(__xludf.DUMMYFUNCTION("""COMPUTED_VALUE"""),13.32)</f>
        <v>13.32</v>
      </c>
      <c r="D128" s="1">
        <f>IFERROR(__xludf.DUMMYFUNCTION("""COMPUTED_VALUE"""),13.25)</f>
        <v>13.25</v>
      </c>
      <c r="E128" s="1">
        <f>IFERROR(__xludf.DUMMYFUNCTION("""COMPUTED_VALUE"""),13.26)</f>
        <v>13.26</v>
      </c>
      <c r="F128" s="1">
        <f>IFERROR(__xludf.DUMMYFUNCTION("""COMPUTED_VALUE"""),2794.0)</f>
        <v>2794</v>
      </c>
    </row>
    <row r="129" ht="15.75" customHeight="1">
      <c r="A129" s="10">
        <f>IFERROR(__xludf.DUMMYFUNCTION("""COMPUTED_VALUE"""),44011.66666666667)</f>
        <v>44011.66667</v>
      </c>
      <c r="B129" s="1">
        <f>IFERROR(__xludf.DUMMYFUNCTION("""COMPUTED_VALUE"""),13.3)</f>
        <v>13.3</v>
      </c>
      <c r="C129" s="1">
        <f>IFERROR(__xludf.DUMMYFUNCTION("""COMPUTED_VALUE"""),13.32)</f>
        <v>13.32</v>
      </c>
      <c r="D129" s="1">
        <f>IFERROR(__xludf.DUMMYFUNCTION("""COMPUTED_VALUE"""),13.22)</f>
        <v>13.22</v>
      </c>
      <c r="E129" s="1">
        <f>IFERROR(__xludf.DUMMYFUNCTION("""COMPUTED_VALUE"""),13.23)</f>
        <v>13.23</v>
      </c>
      <c r="F129" s="1">
        <f>IFERROR(__xludf.DUMMYFUNCTION("""COMPUTED_VALUE"""),2527.0)</f>
        <v>2527</v>
      </c>
    </row>
    <row r="130" ht="15.75" customHeight="1">
      <c r="A130" s="10">
        <f>IFERROR(__xludf.DUMMYFUNCTION("""COMPUTED_VALUE"""),44012.66666666667)</f>
        <v>44012.66667</v>
      </c>
      <c r="B130" s="1">
        <f>IFERROR(__xludf.DUMMYFUNCTION("""COMPUTED_VALUE"""),13.26)</f>
        <v>13.26</v>
      </c>
      <c r="C130" s="1">
        <f>IFERROR(__xludf.DUMMYFUNCTION("""COMPUTED_VALUE"""),13.26)</f>
        <v>13.26</v>
      </c>
      <c r="D130" s="1">
        <f>IFERROR(__xludf.DUMMYFUNCTION("""COMPUTED_VALUE"""),13.19)</f>
        <v>13.19</v>
      </c>
      <c r="E130" s="1">
        <f>IFERROR(__xludf.DUMMYFUNCTION("""COMPUTED_VALUE"""),13.2)</f>
        <v>13.2</v>
      </c>
      <c r="F130" s="1">
        <f>IFERROR(__xludf.DUMMYFUNCTION("""COMPUTED_VALUE"""),4833.0)</f>
        <v>4833</v>
      </c>
    </row>
    <row r="131" ht="15.75" customHeight="1">
      <c r="A131" s="10">
        <f>IFERROR(__xludf.DUMMYFUNCTION("""COMPUTED_VALUE"""),44013.66666666667)</f>
        <v>44013.66667</v>
      </c>
      <c r="B131" s="1">
        <f>IFERROR(__xludf.DUMMYFUNCTION("""COMPUTED_VALUE"""),13.29)</f>
        <v>13.29</v>
      </c>
      <c r="C131" s="1">
        <f>IFERROR(__xludf.DUMMYFUNCTION("""COMPUTED_VALUE"""),13.29)</f>
        <v>13.29</v>
      </c>
      <c r="D131" s="1">
        <f>IFERROR(__xludf.DUMMYFUNCTION("""COMPUTED_VALUE"""),13.21)</f>
        <v>13.21</v>
      </c>
      <c r="E131" s="1">
        <f>IFERROR(__xludf.DUMMYFUNCTION("""COMPUTED_VALUE"""),13.28)</f>
        <v>13.28</v>
      </c>
      <c r="F131" s="1">
        <f>IFERROR(__xludf.DUMMYFUNCTION("""COMPUTED_VALUE"""),5201.0)</f>
        <v>5201</v>
      </c>
    </row>
    <row r="132" ht="15.75" customHeight="1">
      <c r="A132" s="10">
        <f>IFERROR(__xludf.DUMMYFUNCTION("""COMPUTED_VALUE"""),44014.66666666667)</f>
        <v>44014.66667</v>
      </c>
      <c r="B132" s="1">
        <f>IFERROR(__xludf.DUMMYFUNCTION("""COMPUTED_VALUE"""),13.3)</f>
        <v>13.3</v>
      </c>
      <c r="C132" s="1">
        <f>IFERROR(__xludf.DUMMYFUNCTION("""COMPUTED_VALUE"""),13.4)</f>
        <v>13.4</v>
      </c>
      <c r="D132" s="1">
        <f>IFERROR(__xludf.DUMMYFUNCTION("""COMPUTED_VALUE"""),13.3)</f>
        <v>13.3</v>
      </c>
      <c r="E132" s="1">
        <f>IFERROR(__xludf.DUMMYFUNCTION("""COMPUTED_VALUE"""),13.35)</f>
        <v>13.35</v>
      </c>
      <c r="F132" s="1">
        <f>IFERROR(__xludf.DUMMYFUNCTION("""COMPUTED_VALUE"""),5258.0)</f>
        <v>5258</v>
      </c>
    </row>
    <row r="133" ht="15.75" customHeight="1">
      <c r="A133" s="10">
        <f>IFERROR(__xludf.DUMMYFUNCTION("""COMPUTED_VALUE"""),44018.66666666667)</f>
        <v>44018.66667</v>
      </c>
      <c r="B133" s="1">
        <f>IFERROR(__xludf.DUMMYFUNCTION("""COMPUTED_VALUE"""),13.31)</f>
        <v>13.31</v>
      </c>
      <c r="C133" s="1">
        <f>IFERROR(__xludf.DUMMYFUNCTION("""COMPUTED_VALUE"""),13.39)</f>
        <v>13.39</v>
      </c>
      <c r="D133" s="1">
        <f>IFERROR(__xludf.DUMMYFUNCTION("""COMPUTED_VALUE"""),13.29)</f>
        <v>13.29</v>
      </c>
      <c r="E133" s="1">
        <f>IFERROR(__xludf.DUMMYFUNCTION("""COMPUTED_VALUE"""),13.39)</f>
        <v>13.39</v>
      </c>
      <c r="F133" s="1">
        <f>IFERROR(__xludf.DUMMYFUNCTION("""COMPUTED_VALUE"""),5845.0)</f>
        <v>5845</v>
      </c>
    </row>
    <row r="134" ht="15.75" customHeight="1">
      <c r="A134" s="10">
        <f>IFERROR(__xludf.DUMMYFUNCTION("""COMPUTED_VALUE"""),44019.66666666667)</f>
        <v>44019.66667</v>
      </c>
      <c r="B134" s="1">
        <f>IFERROR(__xludf.DUMMYFUNCTION("""COMPUTED_VALUE"""),13.39)</f>
        <v>13.39</v>
      </c>
      <c r="C134" s="1">
        <f>IFERROR(__xludf.DUMMYFUNCTION("""COMPUTED_VALUE"""),13.41)</f>
        <v>13.41</v>
      </c>
      <c r="D134" s="1">
        <f>IFERROR(__xludf.DUMMYFUNCTION("""COMPUTED_VALUE"""),13.34)</f>
        <v>13.34</v>
      </c>
      <c r="E134" s="1">
        <f>IFERROR(__xludf.DUMMYFUNCTION("""COMPUTED_VALUE"""),13.41)</f>
        <v>13.41</v>
      </c>
      <c r="F134" s="1">
        <f>IFERROR(__xludf.DUMMYFUNCTION("""COMPUTED_VALUE"""),6420.0)</f>
        <v>6420</v>
      </c>
    </row>
    <row r="135" ht="15.75" customHeight="1">
      <c r="A135" s="10">
        <f>IFERROR(__xludf.DUMMYFUNCTION("""COMPUTED_VALUE"""),44020.66666666667)</f>
        <v>44020.66667</v>
      </c>
      <c r="B135" s="1">
        <f>IFERROR(__xludf.DUMMYFUNCTION("""COMPUTED_VALUE"""),13.35)</f>
        <v>13.35</v>
      </c>
      <c r="C135" s="1">
        <f>IFERROR(__xludf.DUMMYFUNCTION("""COMPUTED_VALUE"""),13.47)</f>
        <v>13.47</v>
      </c>
      <c r="D135" s="1">
        <f>IFERROR(__xludf.DUMMYFUNCTION("""COMPUTED_VALUE"""),13.35)</f>
        <v>13.35</v>
      </c>
      <c r="E135" s="1">
        <f>IFERROR(__xludf.DUMMYFUNCTION("""COMPUTED_VALUE"""),13.44)</f>
        <v>13.44</v>
      </c>
      <c r="F135" s="1">
        <f>IFERROR(__xludf.DUMMYFUNCTION("""COMPUTED_VALUE"""),19272.0)</f>
        <v>19272</v>
      </c>
    </row>
    <row r="136" ht="15.75" customHeight="1">
      <c r="A136" s="10">
        <f>IFERROR(__xludf.DUMMYFUNCTION("""COMPUTED_VALUE"""),44021.66666666667)</f>
        <v>44021.66667</v>
      </c>
      <c r="B136" s="1">
        <f>IFERROR(__xludf.DUMMYFUNCTION("""COMPUTED_VALUE"""),13.44)</f>
        <v>13.44</v>
      </c>
      <c r="C136" s="1">
        <f>IFERROR(__xludf.DUMMYFUNCTION("""COMPUTED_VALUE"""),13.46)</f>
        <v>13.46</v>
      </c>
      <c r="D136" s="1">
        <f>IFERROR(__xludf.DUMMYFUNCTION("""COMPUTED_VALUE"""),13.4)</f>
        <v>13.4</v>
      </c>
      <c r="E136" s="1">
        <f>IFERROR(__xludf.DUMMYFUNCTION("""COMPUTED_VALUE"""),13.46)</f>
        <v>13.46</v>
      </c>
      <c r="F136" s="1">
        <f>IFERROR(__xludf.DUMMYFUNCTION("""COMPUTED_VALUE"""),818.0)</f>
        <v>818</v>
      </c>
    </row>
    <row r="137" ht="15.75" customHeight="1">
      <c r="A137" s="10">
        <f>IFERROR(__xludf.DUMMYFUNCTION("""COMPUTED_VALUE"""),44022.66666666667)</f>
        <v>44022.66667</v>
      </c>
      <c r="B137" s="1">
        <f>IFERROR(__xludf.DUMMYFUNCTION("""COMPUTED_VALUE"""),13.59)</f>
        <v>13.59</v>
      </c>
      <c r="C137" s="1">
        <f>IFERROR(__xludf.DUMMYFUNCTION("""COMPUTED_VALUE"""),13.59)</f>
        <v>13.59</v>
      </c>
      <c r="D137" s="1">
        <f>IFERROR(__xludf.DUMMYFUNCTION("""COMPUTED_VALUE"""),13.48)</f>
        <v>13.48</v>
      </c>
      <c r="E137" s="1">
        <f>IFERROR(__xludf.DUMMYFUNCTION("""COMPUTED_VALUE"""),13.48)</f>
        <v>13.48</v>
      </c>
      <c r="F137" s="1">
        <f>IFERROR(__xludf.DUMMYFUNCTION("""COMPUTED_VALUE"""),2172.0)</f>
        <v>2172</v>
      </c>
    </row>
    <row r="138" ht="15.75" customHeight="1">
      <c r="A138" s="10">
        <f>IFERROR(__xludf.DUMMYFUNCTION("""COMPUTED_VALUE"""),44025.66666666667)</f>
        <v>44025.66667</v>
      </c>
      <c r="B138" s="1">
        <f>IFERROR(__xludf.DUMMYFUNCTION("""COMPUTED_VALUE"""),13.55)</f>
        <v>13.55</v>
      </c>
      <c r="C138" s="1">
        <f>IFERROR(__xludf.DUMMYFUNCTION("""COMPUTED_VALUE"""),13.57)</f>
        <v>13.57</v>
      </c>
      <c r="D138" s="1">
        <f>IFERROR(__xludf.DUMMYFUNCTION("""COMPUTED_VALUE"""),13.45)</f>
        <v>13.45</v>
      </c>
      <c r="E138" s="1">
        <f>IFERROR(__xludf.DUMMYFUNCTION("""COMPUTED_VALUE"""),13.45)</f>
        <v>13.45</v>
      </c>
      <c r="F138" s="1">
        <f>IFERROR(__xludf.DUMMYFUNCTION("""COMPUTED_VALUE"""),7872.0)</f>
        <v>7872</v>
      </c>
    </row>
    <row r="139" ht="15.75" customHeight="1">
      <c r="A139" s="10">
        <f>IFERROR(__xludf.DUMMYFUNCTION("""COMPUTED_VALUE"""),44026.66666666667)</f>
        <v>44026.66667</v>
      </c>
      <c r="B139" s="1">
        <f>IFERROR(__xludf.DUMMYFUNCTION("""COMPUTED_VALUE"""),13.43)</f>
        <v>13.43</v>
      </c>
      <c r="C139" s="1">
        <f>IFERROR(__xludf.DUMMYFUNCTION("""COMPUTED_VALUE"""),13.43)</f>
        <v>13.43</v>
      </c>
      <c r="D139" s="1">
        <f>IFERROR(__xludf.DUMMYFUNCTION("""COMPUTED_VALUE"""),13.4)</f>
        <v>13.4</v>
      </c>
      <c r="E139" s="1">
        <f>IFERROR(__xludf.DUMMYFUNCTION("""COMPUTED_VALUE"""),13.4)</f>
        <v>13.4</v>
      </c>
      <c r="F139" s="1">
        <f>IFERROR(__xludf.DUMMYFUNCTION("""COMPUTED_VALUE"""),2935.0)</f>
        <v>2935</v>
      </c>
    </row>
    <row r="140" ht="15.75" customHeight="1">
      <c r="A140" s="10">
        <f>IFERROR(__xludf.DUMMYFUNCTION("""COMPUTED_VALUE"""),44027.66666666667)</f>
        <v>44027.66667</v>
      </c>
      <c r="B140" s="1">
        <f>IFERROR(__xludf.DUMMYFUNCTION("""COMPUTED_VALUE"""),13.41)</f>
        <v>13.41</v>
      </c>
      <c r="C140" s="1">
        <f>IFERROR(__xludf.DUMMYFUNCTION("""COMPUTED_VALUE"""),13.41)</f>
        <v>13.41</v>
      </c>
      <c r="D140" s="1">
        <f>IFERROR(__xludf.DUMMYFUNCTION("""COMPUTED_VALUE"""),13.4)</f>
        <v>13.4</v>
      </c>
      <c r="E140" s="1">
        <f>IFERROR(__xludf.DUMMYFUNCTION("""COMPUTED_VALUE"""),13.4)</f>
        <v>13.4</v>
      </c>
      <c r="F140" s="1">
        <f>IFERROR(__xludf.DUMMYFUNCTION("""COMPUTED_VALUE"""),1403.0)</f>
        <v>1403</v>
      </c>
    </row>
    <row r="141" ht="15.75" customHeight="1">
      <c r="A141" s="10">
        <f>IFERROR(__xludf.DUMMYFUNCTION("""COMPUTED_VALUE"""),44028.66666666667)</f>
        <v>44028.66667</v>
      </c>
      <c r="B141" s="1">
        <f>IFERROR(__xludf.DUMMYFUNCTION("""COMPUTED_VALUE"""),13.38)</f>
        <v>13.38</v>
      </c>
      <c r="C141" s="1">
        <f>IFERROR(__xludf.DUMMYFUNCTION("""COMPUTED_VALUE"""),13.43)</f>
        <v>13.43</v>
      </c>
      <c r="D141" s="1">
        <f>IFERROR(__xludf.DUMMYFUNCTION("""COMPUTED_VALUE"""),13.32)</f>
        <v>13.32</v>
      </c>
      <c r="E141" s="1">
        <f>IFERROR(__xludf.DUMMYFUNCTION("""COMPUTED_VALUE"""),13.32)</f>
        <v>13.32</v>
      </c>
      <c r="F141" s="1">
        <f>IFERROR(__xludf.DUMMYFUNCTION("""COMPUTED_VALUE"""),6086.0)</f>
        <v>6086</v>
      </c>
    </row>
    <row r="142" ht="15.75" customHeight="1">
      <c r="A142" s="10">
        <f>IFERROR(__xludf.DUMMYFUNCTION("""COMPUTED_VALUE"""),44029.66666666667)</f>
        <v>44029.66667</v>
      </c>
      <c r="B142" s="1">
        <f>IFERROR(__xludf.DUMMYFUNCTION("""COMPUTED_VALUE"""),13.4)</f>
        <v>13.4</v>
      </c>
      <c r="C142" s="1">
        <f>IFERROR(__xludf.DUMMYFUNCTION("""COMPUTED_VALUE"""),13.4)</f>
        <v>13.4</v>
      </c>
      <c r="D142" s="1">
        <f>IFERROR(__xludf.DUMMYFUNCTION("""COMPUTED_VALUE"""),13.37)</f>
        <v>13.37</v>
      </c>
      <c r="E142" s="1">
        <f>IFERROR(__xludf.DUMMYFUNCTION("""COMPUTED_VALUE"""),13.37)</f>
        <v>13.37</v>
      </c>
      <c r="F142" s="1">
        <f>IFERROR(__xludf.DUMMYFUNCTION("""COMPUTED_VALUE"""),5920.0)</f>
        <v>5920</v>
      </c>
    </row>
    <row r="143" ht="15.75" customHeight="1">
      <c r="A143" s="10">
        <f>IFERROR(__xludf.DUMMYFUNCTION("""COMPUTED_VALUE"""),44032.66666666667)</f>
        <v>44032.66667</v>
      </c>
      <c r="B143" s="1">
        <f>IFERROR(__xludf.DUMMYFUNCTION("""COMPUTED_VALUE"""),13.39)</f>
        <v>13.39</v>
      </c>
      <c r="C143" s="1">
        <f>IFERROR(__xludf.DUMMYFUNCTION("""COMPUTED_VALUE"""),13.4)</f>
        <v>13.4</v>
      </c>
      <c r="D143" s="1">
        <f>IFERROR(__xludf.DUMMYFUNCTION("""COMPUTED_VALUE"""),13.35)</f>
        <v>13.35</v>
      </c>
      <c r="E143" s="1">
        <f>IFERROR(__xludf.DUMMYFUNCTION("""COMPUTED_VALUE"""),13.37)</f>
        <v>13.37</v>
      </c>
      <c r="F143" s="1">
        <f>IFERROR(__xludf.DUMMYFUNCTION("""COMPUTED_VALUE"""),10404.0)</f>
        <v>10404</v>
      </c>
    </row>
    <row r="144" ht="15.75" customHeight="1">
      <c r="A144" s="10">
        <f>IFERROR(__xludf.DUMMYFUNCTION("""COMPUTED_VALUE"""),44033.66666666667)</f>
        <v>44033.66667</v>
      </c>
      <c r="B144" s="1">
        <f>IFERROR(__xludf.DUMMYFUNCTION("""COMPUTED_VALUE"""),13.39)</f>
        <v>13.39</v>
      </c>
      <c r="C144" s="1">
        <f>IFERROR(__xludf.DUMMYFUNCTION("""COMPUTED_VALUE"""),13.47)</f>
        <v>13.47</v>
      </c>
      <c r="D144" s="1">
        <f>IFERROR(__xludf.DUMMYFUNCTION("""COMPUTED_VALUE"""),13.39)</f>
        <v>13.39</v>
      </c>
      <c r="E144" s="1">
        <f>IFERROR(__xludf.DUMMYFUNCTION("""COMPUTED_VALUE"""),13.47)</f>
        <v>13.47</v>
      </c>
      <c r="F144" s="1">
        <f>IFERROR(__xludf.DUMMYFUNCTION("""COMPUTED_VALUE"""),4958.0)</f>
        <v>4958</v>
      </c>
    </row>
    <row r="145" ht="15.75" customHeight="1">
      <c r="A145" s="10">
        <f>IFERROR(__xludf.DUMMYFUNCTION("""COMPUTED_VALUE"""),44034.66666666667)</f>
        <v>44034.66667</v>
      </c>
      <c r="B145" s="1">
        <f>IFERROR(__xludf.DUMMYFUNCTION("""COMPUTED_VALUE"""),13.48)</f>
        <v>13.48</v>
      </c>
      <c r="C145" s="1">
        <f>IFERROR(__xludf.DUMMYFUNCTION("""COMPUTED_VALUE"""),13.51)</f>
        <v>13.51</v>
      </c>
      <c r="D145" s="1">
        <f>IFERROR(__xludf.DUMMYFUNCTION("""COMPUTED_VALUE"""),13.48)</f>
        <v>13.48</v>
      </c>
      <c r="E145" s="1">
        <f>IFERROR(__xludf.DUMMYFUNCTION("""COMPUTED_VALUE"""),13.48)</f>
        <v>13.48</v>
      </c>
      <c r="F145" s="1">
        <f>IFERROR(__xludf.DUMMYFUNCTION("""COMPUTED_VALUE"""),4317.0)</f>
        <v>4317</v>
      </c>
    </row>
    <row r="146" ht="15.75" customHeight="1">
      <c r="A146" s="10">
        <f>IFERROR(__xludf.DUMMYFUNCTION("""COMPUTED_VALUE"""),44035.66666666667)</f>
        <v>44035.66667</v>
      </c>
      <c r="B146" s="1">
        <f>IFERROR(__xludf.DUMMYFUNCTION("""COMPUTED_VALUE"""),13.51)</f>
        <v>13.51</v>
      </c>
      <c r="C146" s="1">
        <f>IFERROR(__xludf.DUMMYFUNCTION("""COMPUTED_VALUE"""),13.55)</f>
        <v>13.55</v>
      </c>
      <c r="D146" s="1">
        <f>IFERROR(__xludf.DUMMYFUNCTION("""COMPUTED_VALUE"""),13.51)</f>
        <v>13.51</v>
      </c>
      <c r="E146" s="1">
        <f>IFERROR(__xludf.DUMMYFUNCTION("""COMPUTED_VALUE"""),13.54)</f>
        <v>13.54</v>
      </c>
      <c r="F146" s="1">
        <f>IFERROR(__xludf.DUMMYFUNCTION("""COMPUTED_VALUE"""),7433.0)</f>
        <v>7433</v>
      </c>
    </row>
    <row r="147" ht="15.75" customHeight="1">
      <c r="A147" s="10">
        <f>IFERROR(__xludf.DUMMYFUNCTION("""COMPUTED_VALUE"""),44036.66666666667)</f>
        <v>44036.66667</v>
      </c>
      <c r="B147" s="1">
        <f>IFERROR(__xludf.DUMMYFUNCTION("""COMPUTED_VALUE"""),13.48)</f>
        <v>13.48</v>
      </c>
      <c r="C147" s="1">
        <f>IFERROR(__xludf.DUMMYFUNCTION("""COMPUTED_VALUE"""),13.54)</f>
        <v>13.54</v>
      </c>
      <c r="D147" s="1">
        <f>IFERROR(__xludf.DUMMYFUNCTION("""COMPUTED_VALUE"""),13.48)</f>
        <v>13.48</v>
      </c>
      <c r="E147" s="1">
        <f>IFERROR(__xludf.DUMMYFUNCTION("""COMPUTED_VALUE"""),13.54)</f>
        <v>13.54</v>
      </c>
      <c r="F147" s="1">
        <f>IFERROR(__xludf.DUMMYFUNCTION("""COMPUTED_VALUE"""),4871.0)</f>
        <v>4871</v>
      </c>
    </row>
    <row r="148" ht="15.75" customHeight="1">
      <c r="A148" s="10">
        <f>IFERROR(__xludf.DUMMYFUNCTION("""COMPUTED_VALUE"""),44039.66666666667)</f>
        <v>44039.66667</v>
      </c>
      <c r="B148" s="1">
        <f>IFERROR(__xludf.DUMMYFUNCTION("""COMPUTED_VALUE"""),13.57)</f>
        <v>13.57</v>
      </c>
      <c r="C148" s="1">
        <f>IFERROR(__xludf.DUMMYFUNCTION("""COMPUTED_VALUE"""),13.57)</f>
        <v>13.57</v>
      </c>
      <c r="D148" s="1">
        <f>IFERROR(__xludf.DUMMYFUNCTION("""COMPUTED_VALUE"""),13.5)</f>
        <v>13.5</v>
      </c>
      <c r="E148" s="1">
        <f>IFERROR(__xludf.DUMMYFUNCTION("""COMPUTED_VALUE"""),13.51)</f>
        <v>13.51</v>
      </c>
      <c r="F148" s="1">
        <f>IFERROR(__xludf.DUMMYFUNCTION("""COMPUTED_VALUE"""),8221.0)</f>
        <v>8221</v>
      </c>
    </row>
    <row r="149" ht="15.75" customHeight="1">
      <c r="A149" s="10">
        <f>IFERROR(__xludf.DUMMYFUNCTION("""COMPUTED_VALUE"""),44040.66666666667)</f>
        <v>44040.66667</v>
      </c>
      <c r="B149" s="1">
        <f>IFERROR(__xludf.DUMMYFUNCTION("""COMPUTED_VALUE"""),13.53)</f>
        <v>13.53</v>
      </c>
      <c r="C149" s="1">
        <f>IFERROR(__xludf.DUMMYFUNCTION("""COMPUTED_VALUE"""),13.6)</f>
        <v>13.6</v>
      </c>
      <c r="D149" s="1">
        <f>IFERROR(__xludf.DUMMYFUNCTION("""COMPUTED_VALUE"""),13.52)</f>
        <v>13.52</v>
      </c>
      <c r="E149" s="1">
        <f>IFERROR(__xludf.DUMMYFUNCTION("""COMPUTED_VALUE"""),13.52)</f>
        <v>13.52</v>
      </c>
      <c r="F149" s="1">
        <f>IFERROR(__xludf.DUMMYFUNCTION("""COMPUTED_VALUE"""),13187.0)</f>
        <v>13187</v>
      </c>
    </row>
    <row r="150" ht="15.75" customHeight="1">
      <c r="A150" s="10">
        <f>IFERROR(__xludf.DUMMYFUNCTION("""COMPUTED_VALUE"""),44041.66666666667)</f>
        <v>44041.66667</v>
      </c>
      <c r="B150" s="1">
        <f>IFERROR(__xludf.DUMMYFUNCTION("""COMPUTED_VALUE"""),13.5)</f>
        <v>13.5</v>
      </c>
      <c r="C150" s="1">
        <f>IFERROR(__xludf.DUMMYFUNCTION("""COMPUTED_VALUE"""),13.59)</f>
        <v>13.59</v>
      </c>
      <c r="D150" s="1">
        <f>IFERROR(__xludf.DUMMYFUNCTION("""COMPUTED_VALUE"""),13.5)</f>
        <v>13.5</v>
      </c>
      <c r="E150" s="1">
        <f>IFERROR(__xludf.DUMMYFUNCTION("""COMPUTED_VALUE"""),13.53)</f>
        <v>13.53</v>
      </c>
      <c r="F150" s="1">
        <f>IFERROR(__xludf.DUMMYFUNCTION("""COMPUTED_VALUE"""),9903.0)</f>
        <v>9903</v>
      </c>
    </row>
    <row r="151" ht="15.75" customHeight="1">
      <c r="A151" s="10">
        <f>IFERROR(__xludf.DUMMYFUNCTION("""COMPUTED_VALUE"""),44042.66666666667)</f>
        <v>44042.66667</v>
      </c>
      <c r="B151" s="1">
        <f>IFERROR(__xludf.DUMMYFUNCTION("""COMPUTED_VALUE"""),13.51)</f>
        <v>13.51</v>
      </c>
      <c r="C151" s="1">
        <f>IFERROR(__xludf.DUMMYFUNCTION("""COMPUTED_VALUE"""),13.63)</f>
        <v>13.63</v>
      </c>
      <c r="D151" s="1">
        <f>IFERROR(__xludf.DUMMYFUNCTION("""COMPUTED_VALUE"""),13.51)</f>
        <v>13.51</v>
      </c>
      <c r="E151" s="1">
        <f>IFERROR(__xludf.DUMMYFUNCTION("""COMPUTED_VALUE"""),13.62)</f>
        <v>13.62</v>
      </c>
      <c r="F151" s="1">
        <f>IFERROR(__xludf.DUMMYFUNCTION("""COMPUTED_VALUE"""),10015.0)</f>
        <v>10015</v>
      </c>
    </row>
    <row r="152" ht="15.75" customHeight="1">
      <c r="A152" s="10">
        <f>IFERROR(__xludf.DUMMYFUNCTION("""COMPUTED_VALUE"""),44043.66666666667)</f>
        <v>44043.66667</v>
      </c>
      <c r="B152" s="1">
        <f>IFERROR(__xludf.DUMMYFUNCTION("""COMPUTED_VALUE"""),13.6)</f>
        <v>13.6</v>
      </c>
      <c r="C152" s="1">
        <f>IFERROR(__xludf.DUMMYFUNCTION("""COMPUTED_VALUE"""),13.66)</f>
        <v>13.66</v>
      </c>
      <c r="D152" s="1">
        <f>IFERROR(__xludf.DUMMYFUNCTION("""COMPUTED_VALUE"""),13.6)</f>
        <v>13.6</v>
      </c>
      <c r="E152" s="1">
        <f>IFERROR(__xludf.DUMMYFUNCTION("""COMPUTED_VALUE"""),13.63)</f>
        <v>13.63</v>
      </c>
      <c r="F152" s="1">
        <f>IFERROR(__xludf.DUMMYFUNCTION("""COMPUTED_VALUE"""),4184.0)</f>
        <v>4184</v>
      </c>
    </row>
    <row r="153" ht="15.75" customHeight="1">
      <c r="A153" s="10">
        <f>IFERROR(__xludf.DUMMYFUNCTION("""COMPUTED_VALUE"""),44046.66666666667)</f>
        <v>44046.66667</v>
      </c>
      <c r="B153" s="1">
        <f>IFERROR(__xludf.DUMMYFUNCTION("""COMPUTED_VALUE"""),13.66)</f>
        <v>13.66</v>
      </c>
      <c r="C153" s="1">
        <f>IFERROR(__xludf.DUMMYFUNCTION("""COMPUTED_VALUE"""),13.72)</f>
        <v>13.72</v>
      </c>
      <c r="D153" s="1">
        <f>IFERROR(__xludf.DUMMYFUNCTION("""COMPUTED_VALUE"""),13.64)</f>
        <v>13.64</v>
      </c>
      <c r="E153" s="1">
        <f>IFERROR(__xludf.DUMMYFUNCTION("""COMPUTED_VALUE"""),13.65)</f>
        <v>13.65</v>
      </c>
      <c r="F153" s="1">
        <f>IFERROR(__xludf.DUMMYFUNCTION("""COMPUTED_VALUE"""),13258.0)</f>
        <v>13258</v>
      </c>
    </row>
    <row r="154" ht="15.75" customHeight="1">
      <c r="A154" s="10">
        <f>IFERROR(__xludf.DUMMYFUNCTION("""COMPUTED_VALUE"""),44047.66666666667)</f>
        <v>44047.66667</v>
      </c>
      <c r="B154" s="1">
        <f>IFERROR(__xludf.DUMMYFUNCTION("""COMPUTED_VALUE"""),13.65)</f>
        <v>13.65</v>
      </c>
      <c r="C154" s="1">
        <f>IFERROR(__xludf.DUMMYFUNCTION("""COMPUTED_VALUE"""),13.68)</f>
        <v>13.68</v>
      </c>
      <c r="D154" s="1">
        <f>IFERROR(__xludf.DUMMYFUNCTION("""COMPUTED_VALUE"""),13.64)</f>
        <v>13.64</v>
      </c>
      <c r="E154" s="1">
        <f>IFERROR(__xludf.DUMMYFUNCTION("""COMPUTED_VALUE"""),13.68)</f>
        <v>13.68</v>
      </c>
      <c r="F154" s="1">
        <f>IFERROR(__xludf.DUMMYFUNCTION("""COMPUTED_VALUE"""),17356.0)</f>
        <v>17356</v>
      </c>
    </row>
    <row r="155" ht="15.75" customHeight="1">
      <c r="A155" s="10">
        <f>IFERROR(__xludf.DUMMYFUNCTION("""COMPUTED_VALUE"""),44048.66666666667)</f>
        <v>44048.66667</v>
      </c>
      <c r="B155" s="1">
        <f>IFERROR(__xludf.DUMMYFUNCTION("""COMPUTED_VALUE"""),13.68)</f>
        <v>13.68</v>
      </c>
      <c r="C155" s="1">
        <f>IFERROR(__xludf.DUMMYFUNCTION("""COMPUTED_VALUE"""),13.8)</f>
        <v>13.8</v>
      </c>
      <c r="D155" s="1">
        <f>IFERROR(__xludf.DUMMYFUNCTION("""COMPUTED_VALUE"""),13.68)</f>
        <v>13.68</v>
      </c>
      <c r="E155" s="1">
        <f>IFERROR(__xludf.DUMMYFUNCTION("""COMPUTED_VALUE"""),13.77)</f>
        <v>13.77</v>
      </c>
      <c r="F155" s="1">
        <f>IFERROR(__xludf.DUMMYFUNCTION("""COMPUTED_VALUE"""),30713.0)</f>
        <v>30713</v>
      </c>
    </row>
    <row r="156" ht="15.75" customHeight="1">
      <c r="A156" s="10">
        <f>IFERROR(__xludf.DUMMYFUNCTION("""COMPUTED_VALUE"""),44049.66666666667)</f>
        <v>44049.66667</v>
      </c>
      <c r="B156" s="1">
        <f>IFERROR(__xludf.DUMMYFUNCTION("""COMPUTED_VALUE"""),13.77)</f>
        <v>13.77</v>
      </c>
      <c r="C156" s="1">
        <f>IFERROR(__xludf.DUMMYFUNCTION("""COMPUTED_VALUE"""),13.78)</f>
        <v>13.78</v>
      </c>
      <c r="D156" s="1">
        <f>IFERROR(__xludf.DUMMYFUNCTION("""COMPUTED_VALUE"""),13.76)</f>
        <v>13.76</v>
      </c>
      <c r="E156" s="1">
        <f>IFERROR(__xludf.DUMMYFUNCTION("""COMPUTED_VALUE"""),13.78)</f>
        <v>13.78</v>
      </c>
      <c r="F156" s="1">
        <f>IFERROR(__xludf.DUMMYFUNCTION("""COMPUTED_VALUE"""),3835.0)</f>
        <v>3835</v>
      </c>
    </row>
    <row r="157" ht="15.75" customHeight="1">
      <c r="A157" s="10">
        <f>IFERROR(__xludf.DUMMYFUNCTION("""COMPUTED_VALUE"""),44050.66666666667)</f>
        <v>44050.66667</v>
      </c>
      <c r="B157" s="1">
        <f>IFERROR(__xludf.DUMMYFUNCTION("""COMPUTED_VALUE"""),13.82)</f>
        <v>13.82</v>
      </c>
      <c r="C157" s="1">
        <f>IFERROR(__xludf.DUMMYFUNCTION("""COMPUTED_VALUE"""),13.89)</f>
        <v>13.89</v>
      </c>
      <c r="D157" s="1">
        <f>IFERROR(__xludf.DUMMYFUNCTION("""COMPUTED_VALUE"""),13.82)</f>
        <v>13.82</v>
      </c>
      <c r="E157" s="1">
        <f>IFERROR(__xludf.DUMMYFUNCTION("""COMPUTED_VALUE"""),13.87)</f>
        <v>13.87</v>
      </c>
      <c r="F157" s="1">
        <f>IFERROR(__xludf.DUMMYFUNCTION("""COMPUTED_VALUE"""),4551.0)</f>
        <v>4551</v>
      </c>
    </row>
    <row r="158" ht="15.75" customHeight="1">
      <c r="A158" s="10">
        <f>IFERROR(__xludf.DUMMYFUNCTION("""COMPUTED_VALUE"""),44053.66666666667)</f>
        <v>44053.66667</v>
      </c>
      <c r="B158" s="1">
        <f>IFERROR(__xludf.DUMMYFUNCTION("""COMPUTED_VALUE"""),13.85)</f>
        <v>13.85</v>
      </c>
      <c r="C158" s="1">
        <f>IFERROR(__xludf.DUMMYFUNCTION("""COMPUTED_VALUE"""),13.98)</f>
        <v>13.98</v>
      </c>
      <c r="D158" s="1">
        <f>IFERROR(__xludf.DUMMYFUNCTION("""COMPUTED_VALUE"""),13.81)</f>
        <v>13.81</v>
      </c>
      <c r="E158" s="1">
        <f>IFERROR(__xludf.DUMMYFUNCTION("""COMPUTED_VALUE"""),13.91)</f>
        <v>13.91</v>
      </c>
      <c r="F158" s="1">
        <f>IFERROR(__xludf.DUMMYFUNCTION("""COMPUTED_VALUE"""),19206.0)</f>
        <v>19206</v>
      </c>
    </row>
    <row r="159" ht="15.75" customHeight="1">
      <c r="A159" s="10">
        <f>IFERROR(__xludf.DUMMYFUNCTION("""COMPUTED_VALUE"""),44054.66666666667)</f>
        <v>44054.66667</v>
      </c>
      <c r="B159" s="1">
        <f>IFERROR(__xludf.DUMMYFUNCTION("""COMPUTED_VALUE"""),13.81)</f>
        <v>13.81</v>
      </c>
      <c r="C159" s="1">
        <f>IFERROR(__xludf.DUMMYFUNCTION("""COMPUTED_VALUE"""),13.93)</f>
        <v>13.93</v>
      </c>
      <c r="D159" s="1">
        <f>IFERROR(__xludf.DUMMYFUNCTION("""COMPUTED_VALUE"""),13.81)</f>
        <v>13.81</v>
      </c>
      <c r="E159" s="1">
        <f>IFERROR(__xludf.DUMMYFUNCTION("""COMPUTED_VALUE"""),13.83)</f>
        <v>13.83</v>
      </c>
      <c r="F159" s="1">
        <f>IFERROR(__xludf.DUMMYFUNCTION("""COMPUTED_VALUE"""),29490.0)</f>
        <v>29490</v>
      </c>
    </row>
    <row r="160" ht="15.75" customHeight="1">
      <c r="A160" s="10">
        <f>IFERROR(__xludf.DUMMYFUNCTION("""COMPUTED_VALUE"""),44055.66666666667)</f>
        <v>44055.66667</v>
      </c>
      <c r="B160" s="1">
        <f>IFERROR(__xludf.DUMMYFUNCTION("""COMPUTED_VALUE"""),13.83)</f>
        <v>13.83</v>
      </c>
      <c r="C160" s="1">
        <f>IFERROR(__xludf.DUMMYFUNCTION("""COMPUTED_VALUE"""),13.97)</f>
        <v>13.97</v>
      </c>
      <c r="D160" s="1">
        <f>IFERROR(__xludf.DUMMYFUNCTION("""COMPUTED_VALUE"""),13.76)</f>
        <v>13.76</v>
      </c>
      <c r="E160" s="1">
        <f>IFERROR(__xludf.DUMMYFUNCTION("""COMPUTED_VALUE"""),13.77)</f>
        <v>13.77</v>
      </c>
      <c r="F160" s="1">
        <f>IFERROR(__xludf.DUMMYFUNCTION("""COMPUTED_VALUE"""),8165.0)</f>
        <v>8165</v>
      </c>
    </row>
    <row r="161" ht="15.75" customHeight="1">
      <c r="A161" s="10">
        <f>IFERROR(__xludf.DUMMYFUNCTION("""COMPUTED_VALUE"""),44056.66666666667)</f>
        <v>44056.66667</v>
      </c>
      <c r="B161" s="1">
        <f>IFERROR(__xludf.DUMMYFUNCTION("""COMPUTED_VALUE"""),13.74)</f>
        <v>13.74</v>
      </c>
      <c r="C161" s="1">
        <f>IFERROR(__xludf.DUMMYFUNCTION("""COMPUTED_VALUE"""),13.79)</f>
        <v>13.79</v>
      </c>
      <c r="D161" s="1">
        <f>IFERROR(__xludf.DUMMYFUNCTION("""COMPUTED_VALUE"""),13.72)</f>
        <v>13.72</v>
      </c>
      <c r="E161" s="1">
        <f>IFERROR(__xludf.DUMMYFUNCTION("""COMPUTED_VALUE"""),13.72)</f>
        <v>13.72</v>
      </c>
      <c r="F161" s="1">
        <f>IFERROR(__xludf.DUMMYFUNCTION("""COMPUTED_VALUE"""),8967.0)</f>
        <v>8967</v>
      </c>
    </row>
    <row r="162" ht="15.75" customHeight="1">
      <c r="A162" s="10">
        <f>IFERROR(__xludf.DUMMYFUNCTION("""COMPUTED_VALUE"""),44057.66666666667)</f>
        <v>44057.66667</v>
      </c>
      <c r="B162" s="1">
        <f>IFERROR(__xludf.DUMMYFUNCTION("""COMPUTED_VALUE"""),13.74)</f>
        <v>13.74</v>
      </c>
      <c r="C162" s="1">
        <f>IFERROR(__xludf.DUMMYFUNCTION("""COMPUTED_VALUE"""),13.74)</f>
        <v>13.74</v>
      </c>
      <c r="D162" s="1">
        <f>IFERROR(__xludf.DUMMYFUNCTION("""COMPUTED_VALUE"""),13.65)</f>
        <v>13.65</v>
      </c>
      <c r="E162" s="1">
        <f>IFERROR(__xludf.DUMMYFUNCTION("""COMPUTED_VALUE"""),13.65)</f>
        <v>13.65</v>
      </c>
      <c r="F162" s="1">
        <f>IFERROR(__xludf.DUMMYFUNCTION("""COMPUTED_VALUE"""),6531.0)</f>
        <v>6531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14.43"/>
  </cols>
  <sheetData>
    <row r="1" ht="15.75" customHeight="1">
      <c r="A1" s="11" t="s">
        <v>5</v>
      </c>
      <c r="B1" s="11" t="s">
        <v>169</v>
      </c>
      <c r="C1" s="11" t="s">
        <v>170</v>
      </c>
      <c r="D1" s="11" t="s">
        <v>171</v>
      </c>
      <c r="E1" s="11" t="s">
        <v>172</v>
      </c>
      <c r="F1" s="11" t="s">
        <v>173</v>
      </c>
      <c r="G1" s="11" t="s">
        <v>174</v>
      </c>
      <c r="H1" s="11" t="s">
        <v>175</v>
      </c>
      <c r="I1" s="11" t="s">
        <v>176</v>
      </c>
    </row>
    <row r="2" ht="15.75" customHeight="1">
      <c r="A2" s="12">
        <v>43764.0</v>
      </c>
      <c r="B2" s="13">
        <v>83.0</v>
      </c>
      <c r="C2" s="14">
        <v>90.0</v>
      </c>
      <c r="D2" s="14">
        <v>4000.0</v>
      </c>
      <c r="E2" s="13">
        <v>3120.0</v>
      </c>
      <c r="F2" s="13">
        <v>70.0</v>
      </c>
      <c r="G2" s="13">
        <v>69.2</v>
      </c>
      <c r="H2" s="13">
        <v>0.0</v>
      </c>
      <c r="I2" s="13">
        <v>0.0</v>
      </c>
    </row>
    <row r="3" ht="15.75" customHeight="1">
      <c r="A3" s="12">
        <v>43765.0</v>
      </c>
      <c r="B3" s="13">
        <v>67.0</v>
      </c>
      <c r="C3" s="13">
        <v>97.0</v>
      </c>
      <c r="D3" s="13">
        <v>4000.0</v>
      </c>
      <c r="E3" s="13">
        <v>4610.0</v>
      </c>
      <c r="F3" s="13">
        <v>70.0</v>
      </c>
      <c r="G3" s="13">
        <v>63.2</v>
      </c>
      <c r="H3" s="13">
        <v>1.0</v>
      </c>
      <c r="I3" s="13">
        <v>0.0</v>
      </c>
    </row>
    <row r="4" ht="15.75" customHeight="1">
      <c r="A4" s="12">
        <v>43766.0</v>
      </c>
      <c r="B4" s="13">
        <v>81.0</v>
      </c>
      <c r="C4" s="13">
        <v>90.0</v>
      </c>
      <c r="D4" s="13">
        <v>4000.0</v>
      </c>
      <c r="E4" s="13">
        <v>3260.0</v>
      </c>
      <c r="F4" s="13">
        <v>78.0</v>
      </c>
      <c r="G4" s="13">
        <v>69.3</v>
      </c>
      <c r="H4" s="13">
        <v>0.0</v>
      </c>
      <c r="I4" s="13">
        <v>-1.0</v>
      </c>
    </row>
    <row r="5" ht="15.75" customHeight="1">
      <c r="A5" s="12">
        <v>43767.0</v>
      </c>
      <c r="B5" s="13">
        <v>114.0</v>
      </c>
      <c r="C5" s="13">
        <v>88.0</v>
      </c>
      <c r="D5" s="13">
        <v>2910.73</v>
      </c>
      <c r="E5" s="13">
        <v>4400.0</v>
      </c>
      <c r="F5" s="13">
        <v>74.0</v>
      </c>
      <c r="G5" s="13">
        <v>63.2</v>
      </c>
      <c r="H5" s="13">
        <v>1.0</v>
      </c>
      <c r="I5" s="13">
        <v>1.0</v>
      </c>
    </row>
    <row r="6" ht="15.75" customHeight="1">
      <c r="A6" s="12">
        <v>43768.0</v>
      </c>
      <c r="B6" s="13">
        <v>100.0</v>
      </c>
      <c r="C6" s="13">
        <v>98.0</v>
      </c>
      <c r="D6" s="13">
        <v>4000.98</v>
      </c>
      <c r="E6" s="13">
        <v>4260.0</v>
      </c>
      <c r="F6" s="13">
        <v>72.0</v>
      </c>
      <c r="G6" s="13">
        <v>63.2</v>
      </c>
      <c r="H6" s="13">
        <v>1.0</v>
      </c>
      <c r="I6" s="13">
        <v>-1.0</v>
      </c>
    </row>
    <row r="7" ht="15.75" customHeight="1">
      <c r="A7" s="12">
        <v>43769.0</v>
      </c>
      <c r="B7" s="13">
        <v>107.0</v>
      </c>
      <c r="C7" s="13">
        <v>98.0</v>
      </c>
      <c r="D7" s="13">
        <v>4550.06</v>
      </c>
      <c r="E7" s="13">
        <v>4920.0</v>
      </c>
      <c r="F7" s="13">
        <v>73.0</v>
      </c>
      <c r="G7" s="13">
        <v>75.0</v>
      </c>
      <c r="H7" s="13">
        <v>0.0</v>
      </c>
      <c r="I7" s="13">
        <v>0.0</v>
      </c>
    </row>
    <row r="8" ht="15.75" customHeight="1">
      <c r="A8" s="12">
        <v>43770.0</v>
      </c>
      <c r="B8" s="13">
        <v>138.0</v>
      </c>
      <c r="C8" s="13">
        <v>99.0</v>
      </c>
      <c r="D8" s="13">
        <v>4980.0</v>
      </c>
      <c r="E8" s="13">
        <v>4500.0</v>
      </c>
      <c r="F8" s="13">
        <v>78.0</v>
      </c>
      <c r="G8" s="13">
        <v>63.2</v>
      </c>
      <c r="H8" s="13">
        <v>0.0</v>
      </c>
      <c r="I8" s="13">
        <v>0.0</v>
      </c>
    </row>
    <row r="9" ht="15.75" customHeight="1">
      <c r="A9" s="12">
        <v>43771.0</v>
      </c>
      <c r="B9" s="13">
        <v>67.0</v>
      </c>
      <c r="C9" s="13">
        <v>80.0</v>
      </c>
      <c r="D9" s="13">
        <v>4950.0</v>
      </c>
      <c r="E9" s="13">
        <v>4700.0</v>
      </c>
      <c r="F9" s="13">
        <v>78.0</v>
      </c>
      <c r="G9" s="13">
        <v>63.2</v>
      </c>
      <c r="H9" s="13">
        <v>0.0</v>
      </c>
      <c r="I9" s="13">
        <v>1.0</v>
      </c>
    </row>
    <row r="10" ht="15.75" customHeight="1">
      <c r="A10" s="12">
        <v>43772.0</v>
      </c>
      <c r="B10" s="13">
        <v>67.0</v>
      </c>
      <c r="C10" s="13">
        <v>85.0</v>
      </c>
      <c r="D10" s="13">
        <v>5000.0</v>
      </c>
      <c r="E10" s="13">
        <v>4370.0</v>
      </c>
      <c r="F10" s="13">
        <v>70.0</v>
      </c>
      <c r="G10" s="13">
        <v>63.2</v>
      </c>
      <c r="H10" s="13">
        <v>-1.0</v>
      </c>
      <c r="I10" s="13">
        <v>0.0</v>
      </c>
    </row>
    <row r="11" ht="15.75" customHeight="1">
      <c r="A11" s="12">
        <v>43773.0</v>
      </c>
      <c r="B11" s="13">
        <v>70.0</v>
      </c>
      <c r="C11" s="13">
        <v>88.0</v>
      </c>
      <c r="D11" s="13">
        <v>4100.99</v>
      </c>
      <c r="E11" s="13">
        <v>4490.0</v>
      </c>
      <c r="F11" s="13">
        <v>70.0</v>
      </c>
      <c r="G11" s="13">
        <v>63.2</v>
      </c>
      <c r="H11" s="13">
        <v>0.0</v>
      </c>
      <c r="I11" s="13">
        <v>1.0</v>
      </c>
    </row>
    <row r="12" ht="15.75" customHeight="1">
      <c r="A12" s="12">
        <v>43774.0</v>
      </c>
      <c r="B12" s="13">
        <v>77.0</v>
      </c>
      <c r="C12" s="13">
        <v>58.0</v>
      </c>
      <c r="D12" s="13">
        <v>3280.0</v>
      </c>
      <c r="E12" s="13">
        <v>3310.0</v>
      </c>
      <c r="F12" s="13">
        <v>70.0</v>
      </c>
      <c r="G12" s="13">
        <v>63.2</v>
      </c>
      <c r="H12" s="13">
        <v>-1.0</v>
      </c>
      <c r="I12" s="13">
        <v>1.0</v>
      </c>
    </row>
    <row r="13" ht="15.75" customHeight="1">
      <c r="A13" s="12">
        <v>43775.0</v>
      </c>
      <c r="B13" s="13">
        <v>67.0</v>
      </c>
      <c r="C13" s="13">
        <v>67.0</v>
      </c>
      <c r="D13" s="13">
        <v>4680.0</v>
      </c>
      <c r="E13" s="13">
        <v>4310.0</v>
      </c>
      <c r="F13" s="13">
        <v>87.0</v>
      </c>
      <c r="G13" s="13">
        <v>63.2</v>
      </c>
      <c r="H13" s="13">
        <v>0.0</v>
      </c>
      <c r="I13" s="13">
        <v>0.0</v>
      </c>
    </row>
    <row r="14" ht="15.75" customHeight="1">
      <c r="A14" s="12">
        <v>43776.0</v>
      </c>
      <c r="B14" s="13">
        <v>67.0</v>
      </c>
      <c r="C14" s="13">
        <v>80.0</v>
      </c>
      <c r="D14" s="13">
        <v>4440.0</v>
      </c>
      <c r="E14" s="13">
        <v>3570.0</v>
      </c>
      <c r="F14" s="13">
        <v>98.0</v>
      </c>
      <c r="G14" s="13">
        <v>65.9</v>
      </c>
      <c r="H14" s="13">
        <v>0.0</v>
      </c>
      <c r="I14" s="13">
        <v>1.0</v>
      </c>
    </row>
    <row r="15" ht="15.75" customHeight="1">
      <c r="A15" s="12">
        <v>43777.0</v>
      </c>
      <c r="B15" s="13">
        <v>80.0</v>
      </c>
      <c r="C15" s="13">
        <v>87.0</v>
      </c>
      <c r="D15" s="13">
        <v>5000.0</v>
      </c>
      <c r="E15" s="13">
        <v>4740.0</v>
      </c>
      <c r="F15" s="13">
        <v>88.0</v>
      </c>
      <c r="G15" s="13">
        <v>63.2</v>
      </c>
      <c r="H15" s="13">
        <v>-1.0</v>
      </c>
      <c r="I15" s="13">
        <v>-1.0</v>
      </c>
    </row>
    <row r="16" ht="15.75" customHeight="1">
      <c r="A16" s="12">
        <v>43778.0</v>
      </c>
      <c r="B16" s="13">
        <v>95.0</v>
      </c>
      <c r="C16" s="13">
        <v>99.0</v>
      </c>
      <c r="D16" s="13">
        <v>4990.0</v>
      </c>
      <c r="E16" s="13">
        <v>3590.0</v>
      </c>
      <c r="F16" s="13">
        <v>70.0</v>
      </c>
      <c r="G16" s="13">
        <v>63.2</v>
      </c>
      <c r="H16" s="13">
        <v>0.0</v>
      </c>
      <c r="I16" s="13">
        <v>1.0</v>
      </c>
    </row>
    <row r="17" ht="15.75" customHeight="1">
      <c r="A17" s="12">
        <v>43779.0</v>
      </c>
      <c r="B17" s="13">
        <v>70.0</v>
      </c>
      <c r="C17" s="13">
        <v>89.0</v>
      </c>
      <c r="D17" s="13">
        <v>4260.0</v>
      </c>
      <c r="E17" s="13">
        <v>4770.0</v>
      </c>
      <c r="F17" s="13">
        <v>70.0</v>
      </c>
      <c r="G17" s="13">
        <v>63.2</v>
      </c>
      <c r="H17" s="13">
        <v>0.0</v>
      </c>
      <c r="I17" s="13">
        <v>0.0</v>
      </c>
    </row>
    <row r="18" ht="15.75" customHeight="1">
      <c r="A18" s="12">
        <v>43780.0</v>
      </c>
      <c r="B18" s="13">
        <v>70.0</v>
      </c>
      <c r="C18" s="13">
        <v>89.0</v>
      </c>
      <c r="D18" s="13">
        <v>4470.0</v>
      </c>
      <c r="E18" s="13">
        <v>4040.0</v>
      </c>
      <c r="F18" s="13">
        <v>70.0</v>
      </c>
      <c r="G18" s="13">
        <v>70.0</v>
      </c>
      <c r="H18" s="13">
        <v>0.0</v>
      </c>
      <c r="I18" s="13">
        <v>0.0</v>
      </c>
    </row>
    <row r="19" ht="15.75" customHeight="1">
      <c r="A19" s="12">
        <v>43781.0</v>
      </c>
      <c r="B19" s="13">
        <v>70.0</v>
      </c>
      <c r="C19" s="13">
        <v>98.0</v>
      </c>
      <c r="D19" s="13">
        <v>4760.0</v>
      </c>
      <c r="E19" s="13">
        <v>3640.0</v>
      </c>
      <c r="F19" s="13">
        <v>78.0</v>
      </c>
      <c r="G19" s="13">
        <v>63.2</v>
      </c>
      <c r="H19" s="13">
        <v>-1.0</v>
      </c>
      <c r="I19" s="13">
        <v>0.0</v>
      </c>
    </row>
    <row r="20" ht="15.75" customHeight="1">
      <c r="A20" s="12">
        <v>43782.0</v>
      </c>
      <c r="B20" s="13">
        <v>98.0</v>
      </c>
      <c r="C20" s="13">
        <v>70.0</v>
      </c>
      <c r="D20" s="13">
        <v>3330.0</v>
      </c>
      <c r="E20" s="13">
        <v>4040.0</v>
      </c>
      <c r="F20" s="13">
        <v>74.0</v>
      </c>
      <c r="G20" s="13">
        <v>63.2</v>
      </c>
      <c r="H20" s="13">
        <v>0.0</v>
      </c>
      <c r="I20" s="13">
        <v>0.0</v>
      </c>
    </row>
    <row r="21" ht="15.75" customHeight="1">
      <c r="A21" s="12">
        <v>43783.0</v>
      </c>
      <c r="B21" s="13">
        <v>75.0</v>
      </c>
      <c r="C21" s="13">
        <v>94.0</v>
      </c>
      <c r="D21" s="13">
        <v>3710.0</v>
      </c>
      <c r="E21" s="13">
        <v>3360.0</v>
      </c>
      <c r="F21" s="13">
        <v>72.0</v>
      </c>
      <c r="G21" s="13">
        <v>63.2</v>
      </c>
      <c r="H21" s="13">
        <v>-1.0</v>
      </c>
      <c r="I21" s="13">
        <v>0.0</v>
      </c>
    </row>
    <row r="22" ht="15.75" customHeight="1">
      <c r="A22" s="12">
        <v>43784.0</v>
      </c>
      <c r="B22" s="13">
        <v>67.0</v>
      </c>
      <c r="C22" s="13">
        <v>98.0</v>
      </c>
      <c r="D22" s="13">
        <v>3500.98</v>
      </c>
      <c r="E22" s="13">
        <v>3830.0</v>
      </c>
      <c r="F22" s="13">
        <v>73.0</v>
      </c>
      <c r="G22" s="13">
        <v>63.2</v>
      </c>
      <c r="H22" s="13">
        <v>-1.0</v>
      </c>
      <c r="I22" s="13">
        <v>0.0</v>
      </c>
    </row>
    <row r="23" ht="15.75" customHeight="1">
      <c r="A23" s="12">
        <v>43785.0</v>
      </c>
      <c r="B23" s="13">
        <v>89.0</v>
      </c>
      <c r="C23" s="13">
        <v>99.0</v>
      </c>
      <c r="D23" s="13">
        <v>3200.97</v>
      </c>
      <c r="E23" s="13">
        <v>4170.0</v>
      </c>
      <c r="F23" s="13">
        <v>77.0</v>
      </c>
      <c r="G23" s="13">
        <v>63.2</v>
      </c>
      <c r="H23" s="13">
        <v>-1.0</v>
      </c>
      <c r="I23" s="13">
        <v>0.0</v>
      </c>
    </row>
    <row r="24" ht="15.75" customHeight="1">
      <c r="A24" s="12">
        <v>43786.0</v>
      </c>
      <c r="B24" s="13">
        <v>93.0</v>
      </c>
      <c r="C24" s="13">
        <v>70.0</v>
      </c>
      <c r="D24" s="13">
        <v>5000.0</v>
      </c>
      <c r="E24" s="13">
        <v>4260.0</v>
      </c>
      <c r="F24" s="13">
        <v>87.0</v>
      </c>
      <c r="G24" s="13">
        <v>63.2</v>
      </c>
      <c r="H24" s="13">
        <v>1.0</v>
      </c>
      <c r="I24" s="13">
        <v>-1.0</v>
      </c>
    </row>
    <row r="25" ht="15.75" customHeight="1">
      <c r="A25" s="12">
        <v>43787.0</v>
      </c>
      <c r="B25" s="13">
        <v>108.0</v>
      </c>
      <c r="C25" s="13">
        <v>99.0</v>
      </c>
      <c r="D25" s="13">
        <v>3990.7</v>
      </c>
      <c r="E25" s="13">
        <v>4750.0</v>
      </c>
      <c r="F25" s="13">
        <v>98.0</v>
      </c>
      <c r="G25" s="13">
        <v>63.2</v>
      </c>
      <c r="H25" s="13">
        <v>0.0</v>
      </c>
      <c r="I25" s="13">
        <v>-1.0</v>
      </c>
    </row>
    <row r="26" ht="15.75" customHeight="1">
      <c r="A26" s="12">
        <v>43788.0</v>
      </c>
      <c r="B26" s="13">
        <v>111.0</v>
      </c>
      <c r="C26" s="13">
        <v>94.0</v>
      </c>
      <c r="D26" s="13">
        <v>4790.29</v>
      </c>
      <c r="E26" s="13">
        <v>4460.0</v>
      </c>
      <c r="F26" s="13">
        <v>88.0</v>
      </c>
      <c r="G26" s="13">
        <v>63.2</v>
      </c>
      <c r="H26" s="13">
        <v>0.0</v>
      </c>
      <c r="I26" s="13">
        <v>-1.0</v>
      </c>
    </row>
    <row r="27" ht="15.75" customHeight="1">
      <c r="A27" s="12">
        <v>43789.0</v>
      </c>
      <c r="B27" s="13">
        <v>67.0</v>
      </c>
      <c r="C27" s="13">
        <v>79.0</v>
      </c>
      <c r="D27" s="13">
        <v>4940.3</v>
      </c>
      <c r="E27" s="13">
        <v>3930.0</v>
      </c>
      <c r="F27" s="13">
        <v>70.0</v>
      </c>
      <c r="G27" s="13">
        <v>63.2</v>
      </c>
      <c r="H27" s="13">
        <v>0.0</v>
      </c>
      <c r="I27" s="13">
        <v>-1.0</v>
      </c>
    </row>
    <row r="28" ht="15.75" customHeight="1">
      <c r="A28" s="12">
        <v>43790.0</v>
      </c>
      <c r="B28" s="13">
        <v>60.0</v>
      </c>
      <c r="C28" s="13">
        <v>88.0</v>
      </c>
      <c r="D28" s="13">
        <v>4090.84</v>
      </c>
      <c r="E28" s="13">
        <v>3930.0</v>
      </c>
      <c r="F28" s="13">
        <v>70.0</v>
      </c>
      <c r="G28" s="13">
        <v>63.2</v>
      </c>
      <c r="H28" s="13">
        <v>-1.0</v>
      </c>
      <c r="I28" s="13">
        <v>1.0</v>
      </c>
    </row>
    <row r="29" ht="15.75" customHeight="1">
      <c r="A29" s="12">
        <v>43791.0</v>
      </c>
      <c r="B29" s="13">
        <v>70.0</v>
      </c>
      <c r="C29" s="13">
        <v>89.0</v>
      </c>
      <c r="D29" s="13">
        <v>4459.45</v>
      </c>
      <c r="E29" s="13">
        <v>5000.0</v>
      </c>
      <c r="F29" s="13">
        <v>70.0</v>
      </c>
      <c r="G29" s="13">
        <v>63.2</v>
      </c>
      <c r="H29" s="13">
        <v>0.0</v>
      </c>
      <c r="I29" s="13">
        <v>0.0</v>
      </c>
    </row>
    <row r="30" ht="15.75" customHeight="1">
      <c r="A30" s="12">
        <v>43792.0</v>
      </c>
      <c r="B30" s="13">
        <v>67.0</v>
      </c>
      <c r="C30" s="13">
        <v>76.0</v>
      </c>
      <c r="D30" s="13">
        <v>3000.0</v>
      </c>
      <c r="E30" s="13">
        <v>3100.0</v>
      </c>
      <c r="F30" s="13">
        <v>87.0</v>
      </c>
      <c r="G30" s="13">
        <v>63.2</v>
      </c>
      <c r="H30" s="13">
        <v>-1.0</v>
      </c>
      <c r="I30" s="13">
        <v>1.0</v>
      </c>
    </row>
    <row r="31" ht="15.75" customHeight="1">
      <c r="A31" s="12">
        <v>43793.0</v>
      </c>
      <c r="B31" s="13">
        <v>67.0</v>
      </c>
      <c r="C31" s="13">
        <v>80.0</v>
      </c>
      <c r="D31" s="13">
        <v>4980.0</v>
      </c>
      <c r="E31" s="13">
        <v>4590.0</v>
      </c>
      <c r="F31" s="13">
        <v>98.0</v>
      </c>
      <c r="G31" s="13">
        <v>63.2</v>
      </c>
      <c r="H31" s="13">
        <v>0.0</v>
      </c>
      <c r="I31" s="13">
        <v>-1.0</v>
      </c>
    </row>
    <row r="32" ht="15.75" customHeight="1">
      <c r="A32" s="12">
        <v>43794.0</v>
      </c>
      <c r="B32" s="13">
        <v>68.0</v>
      </c>
      <c r="C32" s="13">
        <v>97.0</v>
      </c>
      <c r="D32" s="13">
        <v>2790.48</v>
      </c>
      <c r="E32" s="13">
        <v>4690.0</v>
      </c>
      <c r="F32" s="13">
        <v>88.0</v>
      </c>
      <c r="G32" s="13">
        <v>63.2</v>
      </c>
      <c r="H32" s="13">
        <v>0.0</v>
      </c>
      <c r="I32" s="13">
        <v>0.0</v>
      </c>
    </row>
    <row r="33" ht="15.75" customHeight="1">
      <c r="A33" s="12">
        <v>43795.0</v>
      </c>
      <c r="B33" s="13">
        <v>64.0</v>
      </c>
      <c r="C33" s="13">
        <v>76.0</v>
      </c>
      <c r="D33" s="13">
        <v>4910.0</v>
      </c>
      <c r="E33" s="13">
        <v>3520.0</v>
      </c>
      <c r="F33" s="13">
        <v>70.0</v>
      </c>
      <c r="G33" s="13">
        <v>63.2</v>
      </c>
      <c r="H33" s="13">
        <v>0.0</v>
      </c>
      <c r="I33" s="13">
        <v>-1.0</v>
      </c>
    </row>
    <row r="34" ht="15.75" customHeight="1">
      <c r="A34" s="12">
        <v>43796.0</v>
      </c>
      <c r="B34" s="13">
        <v>65.0</v>
      </c>
      <c r="C34" s="13">
        <v>92.0</v>
      </c>
      <c r="D34" s="13">
        <v>4250.99</v>
      </c>
      <c r="E34" s="13">
        <v>4430.0</v>
      </c>
      <c r="F34" s="13">
        <v>70.0</v>
      </c>
      <c r="G34" s="13">
        <v>63.2</v>
      </c>
      <c r="H34" s="13">
        <v>-1.0</v>
      </c>
      <c r="I34" s="13">
        <v>-1.0</v>
      </c>
    </row>
    <row r="35" ht="15.75" customHeight="1">
      <c r="A35" s="12">
        <v>43797.0</v>
      </c>
      <c r="B35" s="13">
        <v>71.0</v>
      </c>
      <c r="C35" s="13">
        <v>97.0</v>
      </c>
      <c r="D35" s="13">
        <v>4230.0</v>
      </c>
      <c r="E35" s="13">
        <v>4910.0</v>
      </c>
      <c r="F35" s="13">
        <v>70.0</v>
      </c>
      <c r="G35" s="13">
        <v>63.2</v>
      </c>
      <c r="H35" s="13">
        <v>-1.0</v>
      </c>
      <c r="I35" s="13">
        <v>1.0</v>
      </c>
    </row>
    <row r="36" ht="15.75" customHeight="1">
      <c r="A36" s="12">
        <v>43798.0</v>
      </c>
      <c r="B36" s="13">
        <v>67.0</v>
      </c>
      <c r="C36" s="13">
        <v>84.0</v>
      </c>
      <c r="D36" s="13">
        <v>4440.0</v>
      </c>
      <c r="E36" s="13">
        <v>4120.0</v>
      </c>
      <c r="F36" s="13">
        <v>87.0</v>
      </c>
      <c r="G36" s="13">
        <v>63.2</v>
      </c>
      <c r="H36" s="13">
        <v>0.0</v>
      </c>
      <c r="I36" s="13">
        <v>1.0</v>
      </c>
    </row>
    <row r="37" ht="15.75" customHeight="1">
      <c r="A37" s="12">
        <v>43799.0</v>
      </c>
      <c r="B37" s="13">
        <v>67.0</v>
      </c>
      <c r="C37" s="13">
        <v>90.0</v>
      </c>
      <c r="D37" s="13">
        <v>4450.0</v>
      </c>
      <c r="E37" s="13">
        <v>4490.0</v>
      </c>
      <c r="F37" s="13">
        <v>98.0</v>
      </c>
      <c r="G37" s="13">
        <v>63.2</v>
      </c>
      <c r="H37" s="13">
        <v>1.0</v>
      </c>
      <c r="I37" s="13">
        <v>-1.0</v>
      </c>
    </row>
    <row r="38" ht="15.75" customHeight="1">
      <c r="A38" s="12">
        <v>43800.0</v>
      </c>
      <c r="B38" s="13">
        <v>71.0</v>
      </c>
      <c r="C38" s="13">
        <v>90.0</v>
      </c>
      <c r="D38" s="13">
        <v>5000.0</v>
      </c>
      <c r="E38" s="13">
        <v>4630.0</v>
      </c>
      <c r="F38" s="13">
        <v>88.0</v>
      </c>
      <c r="G38" s="13">
        <v>63.2</v>
      </c>
      <c r="H38" s="13">
        <v>0.0</v>
      </c>
      <c r="I38" s="13">
        <v>0.0</v>
      </c>
    </row>
    <row r="39" ht="15.75" customHeight="1">
      <c r="A39" s="12">
        <v>43801.0</v>
      </c>
      <c r="B39" s="13">
        <v>151.0</v>
      </c>
      <c r="C39" s="13">
        <v>99.0</v>
      </c>
      <c r="D39" s="13">
        <v>4000.98</v>
      </c>
      <c r="E39" s="13">
        <v>4630.0</v>
      </c>
      <c r="F39" s="13">
        <v>70.0</v>
      </c>
      <c r="G39" s="13">
        <v>63.2</v>
      </c>
      <c r="H39" s="13">
        <v>0.0</v>
      </c>
      <c r="I39" s="13">
        <v>1.0</v>
      </c>
    </row>
    <row r="40" ht="15.75" customHeight="1">
      <c r="A40" s="12">
        <v>43802.0</v>
      </c>
      <c r="B40" s="13">
        <v>151.0</v>
      </c>
      <c r="C40" s="13">
        <v>92.0</v>
      </c>
      <c r="D40" s="13">
        <v>4450.0</v>
      </c>
      <c r="E40" s="13">
        <v>4550.0</v>
      </c>
      <c r="F40" s="13">
        <v>70.0</v>
      </c>
      <c r="G40" s="13">
        <v>63.2</v>
      </c>
      <c r="H40" s="13">
        <v>-1.0</v>
      </c>
      <c r="I40" s="13">
        <v>-1.0</v>
      </c>
    </row>
    <row r="41" ht="15.75" customHeight="1">
      <c r="A41" s="12">
        <v>43803.0</v>
      </c>
      <c r="B41" s="13">
        <v>121.0</v>
      </c>
      <c r="C41" s="13">
        <v>80.0</v>
      </c>
      <c r="D41" s="13">
        <v>4450.0</v>
      </c>
      <c r="E41" s="13">
        <v>3300.0</v>
      </c>
      <c r="F41" s="13">
        <v>70.0</v>
      </c>
      <c r="G41" s="13">
        <v>63.2</v>
      </c>
      <c r="H41" s="13">
        <v>-1.0</v>
      </c>
      <c r="I41" s="13">
        <v>1.0</v>
      </c>
    </row>
    <row r="42" ht="15.75" customHeight="1">
      <c r="A42" s="12">
        <v>43804.0</v>
      </c>
      <c r="B42" s="13">
        <v>66.0</v>
      </c>
      <c r="C42" s="13">
        <v>91.0</v>
      </c>
      <c r="D42" s="13">
        <v>4500.98</v>
      </c>
      <c r="E42" s="13">
        <v>3900.0</v>
      </c>
      <c r="F42" s="13">
        <v>77.0</v>
      </c>
      <c r="G42" s="13">
        <v>63.2</v>
      </c>
      <c r="H42" s="13">
        <v>-1.0</v>
      </c>
      <c r="I42" s="13">
        <v>-1.0</v>
      </c>
    </row>
    <row r="43" ht="15.75" customHeight="1">
      <c r="A43" s="12">
        <v>43805.0</v>
      </c>
      <c r="B43" s="13">
        <v>76.0</v>
      </c>
      <c r="C43" s="13">
        <v>98.0</v>
      </c>
      <c r="D43" s="13">
        <v>5000.0</v>
      </c>
      <c r="E43" s="13">
        <v>4280.0</v>
      </c>
      <c r="F43" s="13">
        <v>89.0</v>
      </c>
      <c r="G43" s="13">
        <v>63.2</v>
      </c>
      <c r="H43" s="13">
        <v>1.0</v>
      </c>
      <c r="I43" s="13">
        <v>0.0</v>
      </c>
    </row>
    <row r="44" ht="15.75" customHeight="1">
      <c r="A44" s="12">
        <v>43806.0</v>
      </c>
      <c r="B44" s="13">
        <v>151.0</v>
      </c>
      <c r="C44" s="13">
        <v>67.0</v>
      </c>
      <c r="D44" s="13">
        <v>4750.0</v>
      </c>
      <c r="E44" s="13">
        <v>4340.0</v>
      </c>
      <c r="F44" s="13">
        <v>87.0</v>
      </c>
      <c r="G44" s="13">
        <v>63.2</v>
      </c>
      <c r="H44" s="13">
        <v>1.0</v>
      </c>
      <c r="I44" s="13">
        <v>-1.0</v>
      </c>
    </row>
    <row r="45" ht="15.75" customHeight="1">
      <c r="A45" s="12">
        <v>43807.0</v>
      </c>
      <c r="B45" s="13">
        <v>153.0</v>
      </c>
      <c r="C45" s="13">
        <v>93.0</v>
      </c>
      <c r="D45" s="13">
        <v>3100.0</v>
      </c>
      <c r="E45" s="13">
        <v>3140.0</v>
      </c>
      <c r="F45" s="13">
        <v>98.0</v>
      </c>
      <c r="G45" s="13">
        <v>63.2</v>
      </c>
      <c r="H45" s="13">
        <v>0.0</v>
      </c>
      <c r="I45" s="13">
        <v>-1.0</v>
      </c>
    </row>
    <row r="46" ht="15.75" customHeight="1">
      <c r="A46" s="12">
        <v>43808.0</v>
      </c>
      <c r="B46" s="13">
        <v>151.0</v>
      </c>
      <c r="C46" s="13">
        <v>89.0</v>
      </c>
      <c r="D46" s="13">
        <v>3230.0</v>
      </c>
      <c r="E46" s="13">
        <v>4890.0</v>
      </c>
      <c r="F46" s="13">
        <v>88.0</v>
      </c>
      <c r="G46" s="13">
        <v>63.2</v>
      </c>
      <c r="H46" s="13">
        <v>-1.0</v>
      </c>
      <c r="I46" s="13">
        <v>1.0</v>
      </c>
    </row>
    <row r="47" ht="15.75" customHeight="1">
      <c r="A47" s="12">
        <v>43809.0</v>
      </c>
      <c r="B47" s="13">
        <v>70.0</v>
      </c>
      <c r="C47" s="13">
        <v>99.0</v>
      </c>
      <c r="D47" s="13">
        <v>4500.0</v>
      </c>
      <c r="E47" s="13">
        <v>4160.0</v>
      </c>
      <c r="F47" s="13">
        <v>70.0</v>
      </c>
      <c r="G47" s="13">
        <v>63.2</v>
      </c>
      <c r="H47" s="13">
        <v>1.0</v>
      </c>
      <c r="I47" s="13">
        <v>1.0</v>
      </c>
    </row>
    <row r="48" ht="15.75" customHeight="1">
      <c r="A48" s="12">
        <v>43810.0</v>
      </c>
      <c r="B48" s="13">
        <v>68.0</v>
      </c>
      <c r="C48" s="13">
        <v>95.0</v>
      </c>
      <c r="D48" s="13">
        <v>4530.0</v>
      </c>
      <c r="E48" s="13">
        <v>4860.0</v>
      </c>
      <c r="F48" s="13">
        <v>70.0</v>
      </c>
      <c r="G48" s="13">
        <v>63.2</v>
      </c>
      <c r="H48" s="13">
        <v>0.0</v>
      </c>
      <c r="I48" s="13">
        <v>1.0</v>
      </c>
    </row>
    <row r="49" ht="15.75" customHeight="1">
      <c r="A49" s="12">
        <v>43811.0</v>
      </c>
      <c r="B49" s="13">
        <v>153.0</v>
      </c>
      <c r="C49" s="13">
        <v>89.0</v>
      </c>
      <c r="D49" s="13">
        <v>4990.0</v>
      </c>
      <c r="E49" s="13">
        <v>4920.0</v>
      </c>
      <c r="F49" s="13">
        <v>70.0</v>
      </c>
      <c r="G49" s="13">
        <v>63.2</v>
      </c>
      <c r="H49" s="13">
        <v>-1.0</v>
      </c>
      <c r="I49" s="13">
        <v>1.0</v>
      </c>
    </row>
    <row r="50" ht="15.75" customHeight="1">
      <c r="A50" s="12">
        <v>43812.0</v>
      </c>
      <c r="B50" s="13">
        <v>95.0</v>
      </c>
      <c r="C50" s="13">
        <v>90.0</v>
      </c>
      <c r="D50" s="13">
        <v>3280.0</v>
      </c>
      <c r="E50" s="13">
        <v>3660.0</v>
      </c>
      <c r="F50" s="13">
        <v>70.0</v>
      </c>
      <c r="G50" s="13">
        <v>63.2</v>
      </c>
      <c r="H50" s="13">
        <v>0.0</v>
      </c>
      <c r="I50" s="13">
        <v>1.0</v>
      </c>
    </row>
    <row r="51" ht="15.75" customHeight="1">
      <c r="A51" s="12">
        <v>43813.0</v>
      </c>
      <c r="B51" s="13">
        <v>131.0</v>
      </c>
      <c r="C51" s="13">
        <v>79.0</v>
      </c>
      <c r="D51" s="13">
        <v>4950.0</v>
      </c>
      <c r="E51" s="13">
        <v>4120.0</v>
      </c>
      <c r="F51" s="13">
        <v>98.0</v>
      </c>
      <c r="G51" s="13">
        <v>63.2</v>
      </c>
      <c r="H51" s="13">
        <v>0.0</v>
      </c>
      <c r="I51" s="13">
        <v>1.0</v>
      </c>
    </row>
    <row r="52" ht="15.75" customHeight="1">
      <c r="A52" s="12">
        <v>43814.0</v>
      </c>
      <c r="B52" s="13">
        <v>89.0</v>
      </c>
      <c r="C52" s="13">
        <v>90.0</v>
      </c>
      <c r="D52" s="13">
        <v>4990.0</v>
      </c>
      <c r="E52" s="13">
        <v>4620.0</v>
      </c>
      <c r="F52" s="13">
        <v>78.0</v>
      </c>
      <c r="G52" s="13">
        <v>63.2</v>
      </c>
      <c r="H52" s="13">
        <v>1.0</v>
      </c>
      <c r="I52" s="13">
        <v>1.0</v>
      </c>
    </row>
    <row r="53" ht="15.75" customHeight="1">
      <c r="A53" s="12">
        <v>43815.0</v>
      </c>
      <c r="B53" s="13">
        <v>66.0</v>
      </c>
      <c r="C53" s="13">
        <v>89.0</v>
      </c>
      <c r="D53" s="13">
        <v>5000.0</v>
      </c>
      <c r="E53" s="13">
        <v>3660.0</v>
      </c>
      <c r="F53" s="13">
        <v>77.0</v>
      </c>
      <c r="G53" s="13">
        <v>63.2</v>
      </c>
      <c r="H53" s="13">
        <v>0.0</v>
      </c>
      <c r="I53" s="13">
        <v>-1.0</v>
      </c>
    </row>
    <row r="54" ht="15.75" customHeight="1">
      <c r="A54" s="12">
        <v>43816.0</v>
      </c>
      <c r="B54" s="13">
        <v>85.0</v>
      </c>
      <c r="C54" s="13">
        <v>83.0</v>
      </c>
      <c r="D54" s="13">
        <v>4760.0</v>
      </c>
      <c r="E54" s="13">
        <v>3250.0</v>
      </c>
      <c r="F54" s="13">
        <v>77.0</v>
      </c>
      <c r="G54" s="13">
        <v>63.2</v>
      </c>
      <c r="H54" s="13">
        <v>0.0</v>
      </c>
      <c r="I54" s="13">
        <v>-1.0</v>
      </c>
    </row>
    <row r="55" ht="15.75" customHeight="1">
      <c r="A55" s="12">
        <v>43817.0</v>
      </c>
      <c r="B55" s="13">
        <v>79.0</v>
      </c>
      <c r="C55" s="13">
        <v>75.0</v>
      </c>
      <c r="D55" s="13">
        <v>4000.0</v>
      </c>
      <c r="E55" s="13">
        <v>4430.0</v>
      </c>
      <c r="F55" s="13">
        <v>77.0</v>
      </c>
      <c r="G55" s="13">
        <v>63.2</v>
      </c>
      <c r="H55" s="13">
        <v>0.0</v>
      </c>
      <c r="I55" s="13">
        <v>0.0</v>
      </c>
    </row>
    <row r="56" ht="15.75" customHeight="1">
      <c r="A56" s="12">
        <v>43818.0</v>
      </c>
      <c r="B56" s="13">
        <v>80.0</v>
      </c>
      <c r="C56" s="13">
        <v>67.0</v>
      </c>
      <c r="D56" s="13">
        <v>4990.0</v>
      </c>
      <c r="E56" s="13">
        <v>4950.0</v>
      </c>
      <c r="F56" s="13">
        <v>100.0</v>
      </c>
      <c r="G56" s="13">
        <v>63.2</v>
      </c>
      <c r="H56" s="13">
        <v>1.0</v>
      </c>
      <c r="I56" s="13">
        <v>1.0</v>
      </c>
    </row>
    <row r="57" ht="15.75" customHeight="1">
      <c r="A57" s="12">
        <v>43819.0</v>
      </c>
      <c r="B57" s="13">
        <v>187.0</v>
      </c>
      <c r="C57" s="13">
        <v>53.0</v>
      </c>
      <c r="D57" s="13">
        <v>4890.0</v>
      </c>
      <c r="E57" s="13">
        <v>4140.0</v>
      </c>
      <c r="F57" s="13">
        <v>100.0</v>
      </c>
      <c r="G57" s="13">
        <v>63.2</v>
      </c>
      <c r="H57" s="13">
        <v>1.0</v>
      </c>
      <c r="I57" s="13">
        <v>-1.0</v>
      </c>
    </row>
    <row r="58" ht="15.75" customHeight="1">
      <c r="A58" s="12">
        <v>43820.0</v>
      </c>
      <c r="B58" s="13">
        <v>184.0</v>
      </c>
      <c r="C58" s="13">
        <v>56.0</v>
      </c>
      <c r="D58" s="13">
        <v>5000.0</v>
      </c>
      <c r="E58" s="13">
        <v>3750.0</v>
      </c>
      <c r="F58" s="13">
        <v>100.0</v>
      </c>
      <c r="G58" s="13">
        <v>63.2</v>
      </c>
      <c r="H58" s="13">
        <v>0.0</v>
      </c>
      <c r="I58" s="13">
        <v>0.0</v>
      </c>
    </row>
    <row r="59" ht="15.75" customHeight="1">
      <c r="A59" s="12">
        <v>43821.0</v>
      </c>
      <c r="B59" s="13">
        <v>199.0</v>
      </c>
      <c r="C59" s="13">
        <v>59.0</v>
      </c>
      <c r="D59" s="13">
        <v>4240.0</v>
      </c>
      <c r="E59" s="13">
        <v>3350.0</v>
      </c>
      <c r="F59" s="13">
        <v>99.0</v>
      </c>
      <c r="G59" s="13">
        <v>63.2</v>
      </c>
      <c r="H59" s="13">
        <v>1.0</v>
      </c>
      <c r="I59" s="13">
        <v>1.0</v>
      </c>
    </row>
    <row r="60" ht="15.75" customHeight="1">
      <c r="A60" s="12">
        <v>43822.0</v>
      </c>
      <c r="B60" s="13">
        <v>200.0</v>
      </c>
      <c r="C60" s="13">
        <v>40.0</v>
      </c>
      <c r="D60" s="13">
        <v>5000.0</v>
      </c>
      <c r="E60" s="13">
        <v>4200.0</v>
      </c>
      <c r="F60" s="13">
        <v>97.0</v>
      </c>
      <c r="G60" s="13">
        <v>63.2</v>
      </c>
      <c r="H60" s="13">
        <v>0.0</v>
      </c>
      <c r="I60" s="13">
        <v>1.0</v>
      </c>
    </row>
    <row r="61" ht="15.75" customHeight="1">
      <c r="A61" s="12">
        <v>43823.0</v>
      </c>
      <c r="B61" s="13">
        <v>200.0</v>
      </c>
      <c r="C61" s="13">
        <v>40.0</v>
      </c>
      <c r="D61" s="13">
        <v>4990.0</v>
      </c>
      <c r="E61" s="13">
        <v>3950.0</v>
      </c>
      <c r="F61" s="13">
        <v>92.0</v>
      </c>
      <c r="G61" s="13">
        <v>67.0</v>
      </c>
      <c r="H61" s="13">
        <v>1.0</v>
      </c>
      <c r="I61" s="13">
        <v>-1.0</v>
      </c>
    </row>
    <row r="62" ht="15.75" customHeight="1">
      <c r="A62" s="12">
        <v>43824.0</v>
      </c>
      <c r="B62" s="13">
        <v>200.0</v>
      </c>
      <c r="C62" s="13">
        <v>50.0</v>
      </c>
      <c r="D62" s="13">
        <v>4500.0</v>
      </c>
      <c r="E62" s="13">
        <v>4450.0</v>
      </c>
      <c r="F62" s="13">
        <v>94.5</v>
      </c>
      <c r="G62" s="13">
        <v>68.0</v>
      </c>
      <c r="H62" s="13">
        <v>1.0</v>
      </c>
      <c r="I62" s="13">
        <v>0.0</v>
      </c>
    </row>
    <row r="63" ht="15.75" customHeight="1">
      <c r="A63" s="12">
        <v>43825.0</v>
      </c>
      <c r="B63" s="13">
        <v>199.0</v>
      </c>
      <c r="C63" s="13">
        <v>57.0</v>
      </c>
      <c r="D63" s="13">
        <v>5000.0</v>
      </c>
      <c r="E63" s="13">
        <v>4040.0</v>
      </c>
      <c r="F63" s="13">
        <v>100.0</v>
      </c>
      <c r="G63" s="13">
        <v>70.0</v>
      </c>
      <c r="H63" s="13">
        <v>1.0</v>
      </c>
      <c r="I63" s="13">
        <v>0.0</v>
      </c>
    </row>
    <row r="64" ht="15.75" customHeight="1">
      <c r="A64" s="12">
        <v>43826.0</v>
      </c>
      <c r="B64" s="13">
        <v>198.0</v>
      </c>
      <c r="C64" s="13">
        <v>59.0</v>
      </c>
      <c r="D64" s="13">
        <v>5000.0</v>
      </c>
      <c r="E64" s="13">
        <v>3240.0</v>
      </c>
      <c r="F64" s="13">
        <v>97.2</v>
      </c>
      <c r="G64" s="13">
        <v>77.0</v>
      </c>
      <c r="H64" s="13">
        <v>1.0</v>
      </c>
      <c r="I64" s="13">
        <v>0.0</v>
      </c>
    </row>
    <row r="65" ht="15.75" customHeight="1">
      <c r="A65" s="12">
        <v>43827.0</v>
      </c>
      <c r="B65" s="13">
        <v>199.0</v>
      </c>
      <c r="C65" s="13">
        <v>69.0</v>
      </c>
      <c r="D65" s="13">
        <v>3470.0</v>
      </c>
      <c r="E65" s="13">
        <v>3310.0</v>
      </c>
      <c r="F65" s="13">
        <v>92.2</v>
      </c>
      <c r="G65" s="13">
        <v>78.0</v>
      </c>
      <c r="H65" s="13">
        <v>1.0</v>
      </c>
      <c r="I65" s="13">
        <v>-1.0</v>
      </c>
    </row>
    <row r="66" ht="15.75" customHeight="1">
      <c r="A66" s="12">
        <v>43828.0</v>
      </c>
      <c r="B66" s="13">
        <v>199.0</v>
      </c>
      <c r="C66" s="13">
        <v>30.0</v>
      </c>
      <c r="D66" s="13">
        <v>4760.0</v>
      </c>
      <c r="E66" s="13">
        <v>3230.0</v>
      </c>
      <c r="F66" s="13">
        <v>100.0</v>
      </c>
      <c r="G66" s="13">
        <v>89.0</v>
      </c>
      <c r="H66" s="13">
        <v>1.0</v>
      </c>
      <c r="I66" s="13">
        <v>-1.0</v>
      </c>
    </row>
    <row r="67" ht="15.75" customHeight="1">
      <c r="A67" s="12">
        <v>43829.0</v>
      </c>
      <c r="B67" s="13">
        <v>187.0</v>
      </c>
      <c r="C67" s="13">
        <v>27.0</v>
      </c>
      <c r="D67" s="13">
        <v>3290.0</v>
      </c>
      <c r="E67" s="13">
        <v>3360.0</v>
      </c>
      <c r="F67" s="13">
        <v>100.0</v>
      </c>
      <c r="G67" s="13">
        <v>88.0</v>
      </c>
      <c r="H67" s="13">
        <v>1.0</v>
      </c>
      <c r="I67" s="13">
        <v>-1.0</v>
      </c>
    </row>
    <row r="68" ht="15.75" customHeight="1">
      <c r="A68" s="12">
        <v>43830.0</v>
      </c>
      <c r="B68" s="13">
        <v>199.0</v>
      </c>
      <c r="C68" s="13">
        <v>55.0</v>
      </c>
      <c r="D68" s="13">
        <v>4250.99</v>
      </c>
      <c r="E68" s="13">
        <v>3620.0</v>
      </c>
      <c r="F68" s="13">
        <v>100.0</v>
      </c>
      <c r="G68" s="13">
        <v>84.0</v>
      </c>
      <c r="H68" s="13">
        <v>0.0</v>
      </c>
      <c r="I68" s="13">
        <v>0.0</v>
      </c>
    </row>
    <row r="69" ht="15.75" customHeight="1">
      <c r="A69" s="12">
        <v>43831.0</v>
      </c>
      <c r="B69" s="13">
        <v>200.0</v>
      </c>
      <c r="C69" s="13">
        <v>83.0</v>
      </c>
      <c r="D69" s="13">
        <v>4160.0</v>
      </c>
      <c r="E69" s="13">
        <v>4740.0</v>
      </c>
      <c r="F69" s="13">
        <v>100.0</v>
      </c>
      <c r="G69" s="13">
        <v>78.0</v>
      </c>
      <c r="H69" s="13">
        <v>1.0</v>
      </c>
      <c r="I69" s="13">
        <v>0.0</v>
      </c>
    </row>
    <row r="70" ht="15.75" customHeight="1">
      <c r="A70" s="12">
        <v>43832.0</v>
      </c>
      <c r="B70" s="13">
        <v>180.0</v>
      </c>
      <c r="C70" s="13">
        <v>111.0</v>
      </c>
      <c r="D70" s="13">
        <v>3800.0</v>
      </c>
      <c r="E70" s="13">
        <v>3190.0</v>
      </c>
      <c r="F70" s="13">
        <v>99.0</v>
      </c>
      <c r="G70" s="13">
        <v>77.0</v>
      </c>
      <c r="H70" s="13">
        <v>0.0</v>
      </c>
      <c r="I70" s="13">
        <v>-1.0</v>
      </c>
    </row>
    <row r="71" ht="15.75" customHeight="1">
      <c r="A71" s="12">
        <v>43833.0</v>
      </c>
      <c r="B71" s="13">
        <v>170.0</v>
      </c>
      <c r="C71" s="13">
        <v>139.0</v>
      </c>
      <c r="D71" s="13">
        <v>3280.0</v>
      </c>
      <c r="E71" s="13">
        <v>3040.0</v>
      </c>
      <c r="F71" s="13">
        <v>97.0</v>
      </c>
      <c r="G71" s="13">
        <v>90.0</v>
      </c>
      <c r="H71" s="13">
        <v>1.0</v>
      </c>
      <c r="I71" s="13">
        <v>-1.0</v>
      </c>
    </row>
    <row r="72" ht="15.75" customHeight="1">
      <c r="A72" s="12">
        <v>43834.0</v>
      </c>
      <c r="B72" s="13">
        <v>199.0</v>
      </c>
      <c r="C72" s="13">
        <v>101.0</v>
      </c>
      <c r="D72" s="13">
        <v>5000.0</v>
      </c>
      <c r="E72" s="13">
        <v>3250.0</v>
      </c>
      <c r="F72" s="13">
        <v>92.0</v>
      </c>
      <c r="G72" s="13">
        <v>99.0</v>
      </c>
      <c r="H72" s="13">
        <v>0.0</v>
      </c>
      <c r="I72" s="13">
        <v>0.0</v>
      </c>
    </row>
    <row r="73" ht="15.75" customHeight="1">
      <c r="A73" s="12">
        <v>43835.0</v>
      </c>
      <c r="B73" s="13">
        <v>200.0</v>
      </c>
      <c r="C73" s="13">
        <v>80.0</v>
      </c>
      <c r="D73" s="13">
        <v>4150.0</v>
      </c>
      <c r="E73" s="13">
        <v>3020.0</v>
      </c>
      <c r="F73" s="13">
        <v>94.5</v>
      </c>
      <c r="G73" s="13">
        <v>63.2</v>
      </c>
      <c r="H73" s="13">
        <v>0.0</v>
      </c>
      <c r="I73" s="13">
        <v>-1.0</v>
      </c>
    </row>
    <row r="74" ht="15.75" customHeight="1">
      <c r="A74" s="12">
        <v>43836.0</v>
      </c>
      <c r="B74" s="13">
        <v>170.0</v>
      </c>
      <c r="C74" s="13">
        <v>90.0</v>
      </c>
      <c r="D74" s="13">
        <v>3620.93</v>
      </c>
      <c r="E74" s="13">
        <v>3920.0</v>
      </c>
      <c r="F74" s="13">
        <v>100.0</v>
      </c>
      <c r="G74" s="13">
        <v>78.0</v>
      </c>
      <c r="H74" s="13">
        <v>1.0</v>
      </c>
      <c r="I74" s="13">
        <v>-1.0</v>
      </c>
    </row>
    <row r="75" ht="15.75" customHeight="1">
      <c r="A75" s="12">
        <v>43837.0</v>
      </c>
      <c r="B75" s="13">
        <v>170.0</v>
      </c>
      <c r="C75" s="13">
        <v>48.0</v>
      </c>
      <c r="D75" s="13">
        <v>3760.0</v>
      </c>
      <c r="E75" s="13">
        <v>4110.0</v>
      </c>
      <c r="F75" s="13">
        <v>97.2</v>
      </c>
      <c r="G75" s="13">
        <v>66.0</v>
      </c>
      <c r="H75" s="13">
        <v>0.0</v>
      </c>
      <c r="I75" s="13">
        <v>-1.0</v>
      </c>
    </row>
    <row r="76" ht="15.75" customHeight="1">
      <c r="A76" s="12">
        <v>43838.0</v>
      </c>
      <c r="B76" s="13">
        <v>150.0</v>
      </c>
      <c r="C76" s="13">
        <v>19.0</v>
      </c>
      <c r="D76" s="13">
        <v>4610.55</v>
      </c>
      <c r="E76" s="13">
        <v>4430.0</v>
      </c>
      <c r="F76" s="13">
        <v>92.2</v>
      </c>
      <c r="G76" s="13">
        <v>63.2</v>
      </c>
      <c r="H76" s="13">
        <v>1.0</v>
      </c>
      <c r="I76" s="13">
        <v>0.0</v>
      </c>
    </row>
    <row r="77" ht="15.75" customHeight="1">
      <c r="A77" s="12">
        <v>43839.0</v>
      </c>
      <c r="B77" s="13">
        <v>140.0</v>
      </c>
      <c r="C77" s="13">
        <v>19.0</v>
      </c>
      <c r="D77" s="13">
        <v>3460.0</v>
      </c>
      <c r="E77" s="13">
        <v>3160.0</v>
      </c>
      <c r="F77" s="13">
        <v>99.0</v>
      </c>
      <c r="G77" s="13">
        <v>89.4</v>
      </c>
      <c r="H77" s="13">
        <v>0.0</v>
      </c>
      <c r="I77" s="13">
        <v>0.0</v>
      </c>
    </row>
    <row r="78" ht="15.75" customHeight="1">
      <c r="A78" s="12">
        <v>43840.0</v>
      </c>
      <c r="B78" s="13">
        <v>79.0</v>
      </c>
      <c r="C78" s="13">
        <v>99.0</v>
      </c>
      <c r="D78" s="13">
        <v>3280.0</v>
      </c>
      <c r="E78" s="13">
        <v>3380.0</v>
      </c>
      <c r="F78" s="13">
        <v>97.0</v>
      </c>
      <c r="G78" s="13">
        <v>63.2</v>
      </c>
      <c r="H78" s="13">
        <v>0.0</v>
      </c>
      <c r="I78" s="13">
        <v>-1.0</v>
      </c>
    </row>
    <row r="79" ht="15.75" customHeight="1">
      <c r="A79" s="12">
        <v>43841.0</v>
      </c>
      <c r="B79" s="13">
        <v>120.0</v>
      </c>
      <c r="C79" s="13">
        <v>97.0</v>
      </c>
      <c r="D79" s="13">
        <v>3180.0</v>
      </c>
      <c r="E79" s="13">
        <v>3660.0</v>
      </c>
      <c r="F79" s="13">
        <v>92.0</v>
      </c>
      <c r="G79" s="13">
        <v>63.2</v>
      </c>
      <c r="H79" s="13">
        <v>0.0</v>
      </c>
      <c r="I79" s="13">
        <v>0.0</v>
      </c>
    </row>
    <row r="80" ht="15.75" customHeight="1">
      <c r="A80" s="12">
        <v>43842.0</v>
      </c>
      <c r="B80" s="13">
        <v>151.0</v>
      </c>
      <c r="C80" s="13">
        <v>70.0</v>
      </c>
      <c r="D80" s="13">
        <v>4790.29</v>
      </c>
      <c r="E80" s="13">
        <v>4310.0</v>
      </c>
      <c r="F80" s="13">
        <v>94.5</v>
      </c>
      <c r="G80" s="13">
        <v>63.2</v>
      </c>
      <c r="H80" s="13">
        <v>0.0</v>
      </c>
      <c r="I80" s="13">
        <v>1.0</v>
      </c>
    </row>
    <row r="81" ht="15.75" customHeight="1">
      <c r="A81" s="12">
        <v>43843.0</v>
      </c>
      <c r="B81" s="13">
        <v>61.0</v>
      </c>
      <c r="C81" s="13">
        <v>98.0</v>
      </c>
      <c r="D81" s="13">
        <v>4680.0</v>
      </c>
      <c r="E81" s="13">
        <v>3170.0</v>
      </c>
      <c r="F81" s="13">
        <v>100.0</v>
      </c>
      <c r="G81" s="13">
        <v>63.2</v>
      </c>
      <c r="H81" s="13">
        <v>1.0</v>
      </c>
      <c r="I81" s="13">
        <v>-1.0</v>
      </c>
    </row>
    <row r="82" ht="15.75" customHeight="1">
      <c r="A82" s="12">
        <v>43844.0</v>
      </c>
      <c r="B82" s="13">
        <v>68.0</v>
      </c>
      <c r="C82" s="13">
        <v>99.0</v>
      </c>
      <c r="D82" s="13">
        <v>2970.64</v>
      </c>
      <c r="E82" s="13">
        <v>3470.0</v>
      </c>
      <c r="F82" s="13">
        <v>97.2</v>
      </c>
      <c r="G82" s="13">
        <v>63.2</v>
      </c>
      <c r="H82" s="13">
        <v>0.0</v>
      </c>
      <c r="I82" s="13">
        <v>-1.0</v>
      </c>
    </row>
    <row r="83" ht="15.75" customHeight="1">
      <c r="A83" s="12">
        <v>43845.0</v>
      </c>
      <c r="B83" s="13">
        <v>62.0</v>
      </c>
      <c r="C83" s="13">
        <v>77.0</v>
      </c>
      <c r="D83" s="13">
        <v>3450.0</v>
      </c>
      <c r="E83" s="13">
        <v>4810.0</v>
      </c>
      <c r="F83" s="13">
        <v>92.2</v>
      </c>
      <c r="G83" s="13">
        <v>63.2</v>
      </c>
      <c r="H83" s="13">
        <v>0.0</v>
      </c>
      <c r="I83" s="13">
        <v>-1.0</v>
      </c>
    </row>
    <row r="84" ht="15.75" customHeight="1">
      <c r="A84" s="12">
        <v>43846.0</v>
      </c>
      <c r="B84" s="13">
        <v>63.0</v>
      </c>
      <c r="C84" s="13">
        <v>78.0</v>
      </c>
      <c r="D84" s="13">
        <v>4790.29</v>
      </c>
      <c r="E84" s="13">
        <v>3510.0</v>
      </c>
      <c r="F84" s="13">
        <v>70.0</v>
      </c>
      <c r="G84" s="13">
        <v>63.2</v>
      </c>
      <c r="H84" s="13">
        <v>0.0</v>
      </c>
      <c r="I84" s="13">
        <v>-1.0</v>
      </c>
    </row>
    <row r="85" ht="15.75" customHeight="1">
      <c r="A85" s="12">
        <v>43847.0</v>
      </c>
      <c r="B85" s="13">
        <v>151.0</v>
      </c>
      <c r="C85" s="13">
        <v>67.0</v>
      </c>
      <c r="D85" s="13">
        <v>2970.64</v>
      </c>
      <c r="E85" s="13">
        <v>4820.0</v>
      </c>
      <c r="F85" s="13">
        <v>70.0</v>
      </c>
      <c r="G85" s="13">
        <v>63.2</v>
      </c>
      <c r="H85" s="13">
        <v>1.0</v>
      </c>
      <c r="I85" s="13">
        <v>0.0</v>
      </c>
    </row>
    <row r="86" ht="15.75" customHeight="1">
      <c r="A86" s="12">
        <v>43848.0</v>
      </c>
      <c r="B86" s="13">
        <v>151.0</v>
      </c>
      <c r="C86" s="13">
        <v>89.0</v>
      </c>
      <c r="D86" s="13">
        <v>4990.0</v>
      </c>
      <c r="E86" s="13">
        <v>4130.0</v>
      </c>
      <c r="F86" s="13">
        <v>70.0</v>
      </c>
      <c r="G86" s="13">
        <v>63.2</v>
      </c>
      <c r="H86" s="13">
        <v>0.0</v>
      </c>
      <c r="I86" s="13">
        <v>1.0</v>
      </c>
    </row>
    <row r="87" ht="15.75" customHeight="1">
      <c r="A87" s="12">
        <v>43849.0</v>
      </c>
      <c r="B87" s="13">
        <v>71.0</v>
      </c>
      <c r="C87" s="13">
        <v>98.0</v>
      </c>
      <c r="D87" s="13">
        <v>4450.0</v>
      </c>
      <c r="E87" s="13">
        <v>4850.0</v>
      </c>
      <c r="F87" s="13">
        <v>78.0</v>
      </c>
      <c r="G87" s="13">
        <v>65.7</v>
      </c>
      <c r="H87" s="13">
        <v>0.0</v>
      </c>
      <c r="I87" s="13">
        <v>-1.0</v>
      </c>
    </row>
    <row r="88" ht="15.75" customHeight="1">
      <c r="A88" s="12">
        <v>43850.0</v>
      </c>
      <c r="B88" s="13">
        <v>67.0</v>
      </c>
      <c r="C88" s="13">
        <v>89.0</v>
      </c>
      <c r="D88" s="13">
        <v>4680.0</v>
      </c>
      <c r="E88" s="13">
        <v>3380.0</v>
      </c>
      <c r="F88" s="13">
        <v>74.0</v>
      </c>
      <c r="G88" s="13">
        <v>63.2</v>
      </c>
      <c r="H88" s="13">
        <v>1.0</v>
      </c>
      <c r="I88" s="13">
        <v>1.0</v>
      </c>
    </row>
    <row r="89" ht="15.75" customHeight="1">
      <c r="A89" s="12">
        <v>43851.0</v>
      </c>
      <c r="B89" s="13">
        <v>65.0</v>
      </c>
      <c r="C89" s="13">
        <v>100.0</v>
      </c>
      <c r="D89" s="13">
        <v>3170.0</v>
      </c>
      <c r="E89" s="13">
        <v>3240.0</v>
      </c>
      <c r="F89" s="13">
        <v>72.0</v>
      </c>
      <c r="G89" s="13">
        <v>63.2</v>
      </c>
      <c r="H89" s="13">
        <v>0.0</v>
      </c>
      <c r="I89" s="13">
        <v>-1.0</v>
      </c>
    </row>
    <row r="90" ht="15.75" customHeight="1">
      <c r="A90" s="12">
        <v>43852.0</v>
      </c>
      <c r="B90" s="13">
        <v>151.0</v>
      </c>
      <c r="C90" s="13">
        <v>95.0</v>
      </c>
      <c r="D90" s="13">
        <v>3990.98</v>
      </c>
      <c r="E90" s="13">
        <v>3840.0</v>
      </c>
      <c r="F90" s="13">
        <v>73.0</v>
      </c>
      <c r="G90" s="13">
        <v>73.4</v>
      </c>
      <c r="H90" s="13">
        <v>0.0</v>
      </c>
      <c r="I90" s="13">
        <v>0.0</v>
      </c>
    </row>
    <row r="91" ht="15.75" customHeight="1">
      <c r="A91" s="12">
        <v>43853.0</v>
      </c>
      <c r="B91" s="13">
        <v>135.0</v>
      </c>
      <c r="C91" s="13">
        <v>78.0</v>
      </c>
      <c r="D91" s="13">
        <v>4090.0</v>
      </c>
      <c r="E91" s="13">
        <v>3320.0</v>
      </c>
      <c r="F91" s="13">
        <v>70.0</v>
      </c>
      <c r="G91" s="13">
        <v>63.2</v>
      </c>
      <c r="H91" s="13">
        <v>-1.0</v>
      </c>
      <c r="I91" s="13">
        <v>0.0</v>
      </c>
    </row>
    <row r="92" ht="15.75" customHeight="1">
      <c r="A92" s="12">
        <v>43854.0</v>
      </c>
      <c r="B92" s="13">
        <v>151.0</v>
      </c>
      <c r="C92" s="13">
        <v>98.0</v>
      </c>
      <c r="D92" s="13">
        <v>3500.98</v>
      </c>
      <c r="E92" s="13">
        <v>3610.0</v>
      </c>
      <c r="F92" s="13">
        <v>78.0</v>
      </c>
      <c r="G92" s="13">
        <v>63.2</v>
      </c>
      <c r="H92" s="13">
        <v>-1.0</v>
      </c>
      <c r="I92" s="13">
        <v>-1.0</v>
      </c>
    </row>
    <row r="93" ht="15.75" customHeight="1">
      <c r="A93" s="12">
        <v>43855.0</v>
      </c>
      <c r="B93" s="13">
        <v>93.0</v>
      </c>
      <c r="C93" s="13">
        <v>89.0</v>
      </c>
      <c r="D93" s="13">
        <v>4680.0</v>
      </c>
      <c r="E93" s="13">
        <v>3200.0</v>
      </c>
      <c r="F93" s="13">
        <v>70.0</v>
      </c>
      <c r="G93" s="13">
        <v>63.2</v>
      </c>
      <c r="H93" s="13">
        <v>-1.0</v>
      </c>
      <c r="I93" s="13">
        <v>1.0</v>
      </c>
    </row>
    <row r="94" ht="15.75" customHeight="1">
      <c r="A94" s="12">
        <v>43856.0</v>
      </c>
      <c r="B94" s="13">
        <v>153.0</v>
      </c>
      <c r="C94" s="13">
        <v>97.0</v>
      </c>
      <c r="D94" s="13">
        <v>4760.0</v>
      </c>
      <c r="E94" s="13">
        <v>4080.0</v>
      </c>
      <c r="F94" s="13">
        <v>70.0</v>
      </c>
      <c r="G94" s="13">
        <v>63.2</v>
      </c>
      <c r="H94" s="13">
        <v>0.0</v>
      </c>
      <c r="I94" s="13">
        <v>1.0</v>
      </c>
    </row>
    <row r="95" ht="15.75" customHeight="1">
      <c r="A95" s="12">
        <v>43857.0</v>
      </c>
      <c r="B95" s="13">
        <v>137.0</v>
      </c>
      <c r="C95" s="13">
        <v>57.0</v>
      </c>
      <c r="D95" s="13">
        <v>3090.0</v>
      </c>
      <c r="E95" s="13">
        <v>4440.0</v>
      </c>
      <c r="F95" s="13">
        <v>70.0</v>
      </c>
      <c r="G95" s="13">
        <v>72.3</v>
      </c>
      <c r="H95" s="13">
        <v>0.0</v>
      </c>
      <c r="I95" s="13">
        <v>0.0</v>
      </c>
    </row>
    <row r="96" ht="15.75" customHeight="1">
      <c r="A96" s="12">
        <v>43858.0</v>
      </c>
      <c r="B96" s="13">
        <v>153.0</v>
      </c>
      <c r="C96" s="13">
        <v>98.0</v>
      </c>
      <c r="D96" s="13">
        <v>3500.99</v>
      </c>
      <c r="E96" s="13">
        <v>4670.0</v>
      </c>
      <c r="F96" s="13">
        <v>87.0</v>
      </c>
      <c r="G96" s="13">
        <v>63.2</v>
      </c>
      <c r="H96" s="13">
        <v>0.0</v>
      </c>
      <c r="I96" s="13">
        <v>-1.0</v>
      </c>
    </row>
    <row r="97" ht="15.75" customHeight="1">
      <c r="A97" s="12">
        <v>43859.0</v>
      </c>
      <c r="B97" s="13">
        <v>151.0</v>
      </c>
      <c r="C97" s="13">
        <v>88.0</v>
      </c>
      <c r="D97" s="13">
        <v>3000.0</v>
      </c>
      <c r="E97" s="13">
        <v>3930.0</v>
      </c>
      <c r="F97" s="13">
        <v>98.0</v>
      </c>
      <c r="G97" s="13">
        <v>63.2</v>
      </c>
      <c r="H97" s="13">
        <v>0.0</v>
      </c>
      <c r="I97" s="13">
        <v>0.0</v>
      </c>
    </row>
    <row r="98" ht="15.75" customHeight="1">
      <c r="A98" s="12">
        <v>43860.0</v>
      </c>
      <c r="B98" s="13">
        <v>151.0</v>
      </c>
      <c r="C98" s="13">
        <v>83.0</v>
      </c>
      <c r="D98" s="13">
        <v>4980.0</v>
      </c>
      <c r="E98" s="13">
        <v>3230.0</v>
      </c>
      <c r="F98" s="13">
        <v>88.0</v>
      </c>
      <c r="G98" s="13">
        <v>63.2</v>
      </c>
      <c r="H98" s="13">
        <v>0.0</v>
      </c>
      <c r="I98" s="13">
        <v>-1.0</v>
      </c>
    </row>
    <row r="99" ht="15.75" customHeight="1">
      <c r="A99" s="12">
        <v>43861.0</v>
      </c>
      <c r="B99" s="13">
        <v>132.0</v>
      </c>
      <c r="C99" s="13">
        <v>79.0</v>
      </c>
      <c r="D99" s="13">
        <v>4090.0</v>
      </c>
      <c r="E99" s="13">
        <v>3530.0</v>
      </c>
      <c r="F99" s="13">
        <v>70.0</v>
      </c>
      <c r="G99" s="13">
        <v>63.2</v>
      </c>
      <c r="H99" s="13">
        <v>1.0</v>
      </c>
      <c r="I99" s="13">
        <v>0.0</v>
      </c>
    </row>
    <row r="100" ht="15.75" customHeight="1">
      <c r="A100" s="12">
        <v>43862.0</v>
      </c>
      <c r="B100" s="13">
        <v>67.0</v>
      </c>
      <c r="C100" s="13">
        <v>87.0</v>
      </c>
      <c r="D100" s="13">
        <v>3670.0</v>
      </c>
      <c r="E100" s="13">
        <v>3810.0</v>
      </c>
      <c r="F100" s="13">
        <v>70.0</v>
      </c>
      <c r="G100" s="13">
        <v>63.2</v>
      </c>
      <c r="H100" s="13">
        <v>0.0</v>
      </c>
      <c r="I100" s="13">
        <v>-1.0</v>
      </c>
    </row>
    <row r="101" ht="15.75" customHeight="1">
      <c r="A101" s="12">
        <v>43863.0</v>
      </c>
      <c r="B101" s="13">
        <v>151.0</v>
      </c>
      <c r="C101" s="13">
        <v>80.0</v>
      </c>
      <c r="D101" s="13">
        <v>4450.45</v>
      </c>
      <c r="E101" s="13">
        <v>4350.0</v>
      </c>
      <c r="F101" s="13">
        <v>70.0</v>
      </c>
      <c r="G101" s="13">
        <v>63.2</v>
      </c>
      <c r="H101" s="13">
        <v>-1.0</v>
      </c>
      <c r="I101" s="13">
        <v>1.0</v>
      </c>
    </row>
    <row r="102" ht="15.75" customHeight="1">
      <c r="A102" s="12">
        <v>43864.0</v>
      </c>
      <c r="B102" s="13">
        <v>70.0</v>
      </c>
      <c r="C102" s="13">
        <v>78.0</v>
      </c>
      <c r="D102" s="13">
        <v>4340.0</v>
      </c>
      <c r="E102" s="13">
        <v>3340.0</v>
      </c>
      <c r="F102" s="13">
        <v>78.0</v>
      </c>
      <c r="G102" s="13">
        <v>63.2</v>
      </c>
      <c r="H102" s="13">
        <v>1.0</v>
      </c>
      <c r="I102" s="13">
        <v>-1.0</v>
      </c>
    </row>
    <row r="103" ht="15.75" customHeight="1">
      <c r="A103" s="12">
        <v>43865.0</v>
      </c>
      <c r="B103" s="13">
        <v>69.0</v>
      </c>
      <c r="C103" s="13">
        <v>89.0</v>
      </c>
      <c r="D103" s="13">
        <v>4790.29</v>
      </c>
      <c r="E103" s="13">
        <v>4910.0</v>
      </c>
      <c r="F103" s="13">
        <v>74.0</v>
      </c>
      <c r="G103" s="13">
        <v>100.9</v>
      </c>
      <c r="H103" s="13">
        <v>1.0</v>
      </c>
      <c r="I103" s="13">
        <v>1.0</v>
      </c>
    </row>
    <row r="104" ht="15.75" customHeight="1">
      <c r="A104" s="12">
        <v>43866.0</v>
      </c>
      <c r="B104" s="13">
        <v>151.0</v>
      </c>
      <c r="C104" s="13">
        <v>64.0</v>
      </c>
      <c r="D104" s="13">
        <v>3060.14</v>
      </c>
      <c r="E104" s="13">
        <v>4210.0</v>
      </c>
      <c r="F104" s="13">
        <v>72.0</v>
      </c>
      <c r="G104" s="13">
        <v>63.2</v>
      </c>
      <c r="H104" s="13">
        <v>-1.0</v>
      </c>
      <c r="I104" s="13">
        <v>0.0</v>
      </c>
    </row>
    <row r="105" ht="15.75" customHeight="1">
      <c r="A105" s="12">
        <v>43867.0</v>
      </c>
      <c r="B105" s="13">
        <v>73.0</v>
      </c>
      <c r="C105" s="13">
        <v>92.0</v>
      </c>
      <c r="D105" s="13">
        <v>3990.0</v>
      </c>
      <c r="E105" s="13">
        <v>3120.0</v>
      </c>
      <c r="F105" s="13">
        <v>73.0</v>
      </c>
      <c r="G105" s="13">
        <v>63.2</v>
      </c>
      <c r="H105" s="13">
        <v>-1.0</v>
      </c>
      <c r="I105" s="13">
        <v>0.0</v>
      </c>
    </row>
    <row r="106" ht="15.75" customHeight="1">
      <c r="A106" s="12">
        <v>43868.0</v>
      </c>
      <c r="B106" s="13">
        <v>88.0</v>
      </c>
      <c r="C106" s="13">
        <v>87.0</v>
      </c>
      <c r="D106" s="13">
        <v>3080.16</v>
      </c>
      <c r="E106" s="13">
        <v>4560.0</v>
      </c>
      <c r="F106" s="13">
        <v>77.0</v>
      </c>
      <c r="G106" s="13">
        <v>63.2</v>
      </c>
      <c r="H106" s="13">
        <v>0.0</v>
      </c>
      <c r="I106" s="13">
        <v>0.0</v>
      </c>
    </row>
    <row r="107" ht="15.75" customHeight="1">
      <c r="A107" s="12">
        <v>43869.0</v>
      </c>
      <c r="B107" s="13">
        <v>66.0</v>
      </c>
      <c r="C107" s="13">
        <v>86.0</v>
      </c>
      <c r="D107" s="13">
        <v>4010.0</v>
      </c>
      <c r="E107" s="13">
        <v>3760.0</v>
      </c>
      <c r="F107" s="13">
        <v>70.0</v>
      </c>
      <c r="G107" s="13">
        <v>63.2</v>
      </c>
      <c r="H107" s="13">
        <v>0.0</v>
      </c>
      <c r="I107" s="13">
        <v>0.0</v>
      </c>
    </row>
    <row r="108" ht="15.75" customHeight="1">
      <c r="A108" s="12">
        <v>43870.0</v>
      </c>
      <c r="B108" s="13">
        <v>67.0</v>
      </c>
      <c r="C108" s="13">
        <v>70.0</v>
      </c>
      <c r="D108" s="13">
        <v>3990.0</v>
      </c>
      <c r="E108" s="13">
        <v>4640.0</v>
      </c>
      <c r="F108" s="13">
        <v>87.0</v>
      </c>
      <c r="G108" s="13">
        <v>63.2</v>
      </c>
      <c r="H108" s="13">
        <v>-1.0</v>
      </c>
      <c r="I108" s="13">
        <v>0.0</v>
      </c>
    </row>
    <row r="109" ht="15.75" customHeight="1">
      <c r="A109" s="12">
        <v>43871.0</v>
      </c>
      <c r="B109" s="13">
        <v>151.0</v>
      </c>
      <c r="C109" s="13">
        <v>88.0</v>
      </c>
      <c r="D109" s="13">
        <v>4770.0</v>
      </c>
      <c r="E109" s="13">
        <v>4390.0</v>
      </c>
      <c r="F109" s="13">
        <v>87.0</v>
      </c>
      <c r="G109" s="13">
        <v>63.2</v>
      </c>
      <c r="H109" s="13">
        <v>0.0</v>
      </c>
      <c r="I109" s="13">
        <v>-1.0</v>
      </c>
    </row>
    <row r="110" ht="15.75" customHeight="1">
      <c r="A110" s="12">
        <v>43872.0</v>
      </c>
      <c r="B110" s="13">
        <v>66.0</v>
      </c>
      <c r="C110" s="13">
        <v>83.0</v>
      </c>
      <c r="D110" s="13">
        <v>4150.99</v>
      </c>
      <c r="E110" s="13">
        <v>3270.0</v>
      </c>
      <c r="F110" s="13">
        <v>88.0</v>
      </c>
      <c r="G110" s="13">
        <v>63.2</v>
      </c>
      <c r="H110" s="13">
        <v>1.0</v>
      </c>
      <c r="I110" s="13">
        <v>-1.0</v>
      </c>
    </row>
    <row r="111" ht="15.75" customHeight="1">
      <c r="A111" s="12">
        <v>43873.0</v>
      </c>
      <c r="B111" s="13">
        <v>134.0</v>
      </c>
      <c r="C111" s="13">
        <v>79.0</v>
      </c>
      <c r="D111" s="13">
        <v>4990.0</v>
      </c>
      <c r="E111" s="13">
        <v>3580.0</v>
      </c>
      <c r="F111" s="13">
        <v>89.0</v>
      </c>
      <c r="G111" s="13">
        <v>63.2</v>
      </c>
      <c r="H111" s="13">
        <v>0.0</v>
      </c>
      <c r="I111" s="13">
        <v>-1.0</v>
      </c>
    </row>
    <row r="112" ht="15.75" customHeight="1">
      <c r="A112" s="12">
        <v>43874.0</v>
      </c>
      <c r="B112" s="13">
        <v>151.0</v>
      </c>
      <c r="C112" s="13">
        <v>60.0</v>
      </c>
      <c r="D112" s="13">
        <v>4990.0</v>
      </c>
      <c r="E112" s="13">
        <v>3210.0</v>
      </c>
      <c r="F112" s="13">
        <v>82.0</v>
      </c>
      <c r="G112" s="13">
        <v>63.2</v>
      </c>
      <c r="H112" s="13">
        <v>0.0</v>
      </c>
      <c r="I112" s="13">
        <v>-1.0</v>
      </c>
    </row>
    <row r="113" ht="15.75" customHeight="1">
      <c r="A113" s="12">
        <v>43875.0</v>
      </c>
      <c r="B113" s="13">
        <v>131.0</v>
      </c>
      <c r="C113" s="13">
        <v>76.0</v>
      </c>
      <c r="D113" s="13">
        <v>4680.0</v>
      </c>
      <c r="E113" s="13">
        <v>3330.0</v>
      </c>
      <c r="F113" s="13">
        <v>88.0</v>
      </c>
      <c r="G113" s="13">
        <v>63.2</v>
      </c>
      <c r="H113" s="13">
        <v>-1.0</v>
      </c>
      <c r="I113" s="13">
        <v>1.0</v>
      </c>
    </row>
    <row r="114" ht="15.75" customHeight="1">
      <c r="A114" s="12">
        <v>43876.0</v>
      </c>
      <c r="B114" s="13">
        <v>113.0</v>
      </c>
      <c r="C114" s="13">
        <v>99.0</v>
      </c>
      <c r="D114" s="13">
        <v>3200.98</v>
      </c>
      <c r="E114" s="13">
        <v>3680.0</v>
      </c>
      <c r="F114" s="13">
        <v>88.0</v>
      </c>
      <c r="G114" s="13">
        <v>63.2</v>
      </c>
      <c r="H114" s="13">
        <v>1.0</v>
      </c>
      <c r="I114" s="13">
        <v>0.0</v>
      </c>
    </row>
    <row r="115" ht="15.75" customHeight="1">
      <c r="A115" s="12">
        <v>43877.0</v>
      </c>
      <c r="B115" s="13">
        <v>151.0</v>
      </c>
      <c r="C115" s="13">
        <v>98.0</v>
      </c>
      <c r="D115" s="13">
        <v>2800.0</v>
      </c>
      <c r="E115" s="13">
        <v>4400.0</v>
      </c>
      <c r="F115" s="13">
        <v>88.0</v>
      </c>
      <c r="G115" s="13">
        <v>63.2</v>
      </c>
      <c r="H115" s="13">
        <v>-1.0</v>
      </c>
      <c r="I115" s="13">
        <v>0.0</v>
      </c>
    </row>
    <row r="116" ht="15.75" customHeight="1">
      <c r="A116" s="12">
        <v>43878.0</v>
      </c>
      <c r="B116" s="13">
        <v>151.0</v>
      </c>
      <c r="C116" s="13">
        <v>81.0</v>
      </c>
      <c r="D116" s="13">
        <v>3000.0</v>
      </c>
      <c r="E116" s="13">
        <v>4720.0</v>
      </c>
      <c r="F116" s="13">
        <v>87.0</v>
      </c>
      <c r="G116" s="13">
        <v>63.2</v>
      </c>
      <c r="H116" s="13">
        <v>-1.0</v>
      </c>
      <c r="I116" s="13">
        <v>1.0</v>
      </c>
    </row>
    <row r="117" ht="15.75" customHeight="1">
      <c r="A117" s="12">
        <v>43879.0</v>
      </c>
      <c r="B117" s="13">
        <v>119.0</v>
      </c>
      <c r="C117" s="13">
        <v>89.0</v>
      </c>
      <c r="D117" s="13">
        <v>3000.0</v>
      </c>
      <c r="E117" s="13">
        <v>4840.0</v>
      </c>
      <c r="F117" s="13">
        <v>93.0</v>
      </c>
      <c r="G117" s="13">
        <v>63.2</v>
      </c>
      <c r="H117" s="13">
        <v>1.0</v>
      </c>
      <c r="I117" s="13">
        <v>1.0</v>
      </c>
    </row>
    <row r="118" ht="15.75" customHeight="1">
      <c r="A118" s="12">
        <v>43880.0</v>
      </c>
      <c r="B118" s="13">
        <v>82.0</v>
      </c>
      <c r="C118" s="13">
        <v>87.0</v>
      </c>
      <c r="D118" s="13">
        <v>3000.0</v>
      </c>
      <c r="E118" s="13">
        <v>4640.0</v>
      </c>
      <c r="F118" s="13">
        <v>79.0</v>
      </c>
      <c r="G118" s="13">
        <v>63.2</v>
      </c>
      <c r="H118" s="13">
        <v>0.0</v>
      </c>
      <c r="I118" s="13">
        <v>0.0</v>
      </c>
    </row>
    <row r="119" ht="15.75" customHeight="1">
      <c r="A119" s="12">
        <v>43881.0</v>
      </c>
      <c r="B119" s="13">
        <v>69.0</v>
      </c>
      <c r="C119" s="13">
        <v>77.0</v>
      </c>
      <c r="D119" s="13">
        <v>4520.0</v>
      </c>
      <c r="E119" s="13">
        <v>4240.0</v>
      </c>
      <c r="F119" s="13">
        <v>80.0</v>
      </c>
      <c r="G119" s="13">
        <v>63.2</v>
      </c>
      <c r="H119" s="13">
        <v>-1.0</v>
      </c>
      <c r="I119" s="13">
        <v>0.0</v>
      </c>
    </row>
    <row r="120" ht="15.75" customHeight="1">
      <c r="A120" s="12">
        <v>43882.0</v>
      </c>
      <c r="B120" s="13">
        <v>68.0</v>
      </c>
      <c r="C120" s="13">
        <v>70.0</v>
      </c>
      <c r="D120" s="13">
        <v>4990.0</v>
      </c>
      <c r="E120" s="13">
        <v>4350.0</v>
      </c>
      <c r="F120" s="13">
        <v>93.0</v>
      </c>
      <c r="G120" s="13">
        <v>79.2</v>
      </c>
      <c r="H120" s="13">
        <v>1.0</v>
      </c>
      <c r="I120" s="13">
        <v>-1.0</v>
      </c>
    </row>
    <row r="121" ht="15.75" customHeight="1">
      <c r="A121" s="12">
        <v>43883.0</v>
      </c>
      <c r="B121" s="13">
        <v>67.0</v>
      </c>
      <c r="C121" s="13">
        <v>76.0</v>
      </c>
      <c r="D121" s="13">
        <v>4070.0</v>
      </c>
      <c r="E121" s="13">
        <v>4480.0</v>
      </c>
      <c r="F121" s="13">
        <v>84.0</v>
      </c>
      <c r="G121" s="13">
        <v>63.2</v>
      </c>
      <c r="H121" s="13">
        <v>1.0</v>
      </c>
      <c r="I121" s="13">
        <v>1.0</v>
      </c>
    </row>
    <row r="122" ht="15.75" customHeight="1">
      <c r="A122" s="12">
        <v>43884.0</v>
      </c>
      <c r="B122" s="13">
        <v>70.0</v>
      </c>
      <c r="C122" s="13">
        <v>99.0</v>
      </c>
      <c r="D122" s="13">
        <v>3790.0</v>
      </c>
      <c r="E122" s="13">
        <v>3350.0</v>
      </c>
      <c r="F122" s="13">
        <v>85.0</v>
      </c>
      <c r="G122" s="13">
        <v>63.2</v>
      </c>
      <c r="H122" s="13">
        <v>1.0</v>
      </c>
      <c r="I122" s="13">
        <v>-1.0</v>
      </c>
    </row>
    <row r="123" ht="15.75" customHeight="1">
      <c r="A123" s="12">
        <v>43885.0</v>
      </c>
      <c r="B123" s="13">
        <v>61.0</v>
      </c>
      <c r="C123" s="13">
        <v>74.0</v>
      </c>
      <c r="D123" s="13">
        <v>4110.0</v>
      </c>
      <c r="E123" s="13">
        <v>3050.0</v>
      </c>
      <c r="F123" s="13">
        <v>76.0</v>
      </c>
      <c r="G123" s="13">
        <v>63.2</v>
      </c>
      <c r="H123" s="13">
        <v>1.0</v>
      </c>
      <c r="I123" s="13">
        <v>1.0</v>
      </c>
    </row>
    <row r="124" ht="15.75" customHeight="1">
      <c r="A124" s="12">
        <v>43886.0</v>
      </c>
      <c r="B124" s="13">
        <v>66.0</v>
      </c>
      <c r="C124" s="13">
        <v>99.0</v>
      </c>
      <c r="D124" s="13">
        <v>4550.0</v>
      </c>
      <c r="E124" s="13">
        <v>4410.0</v>
      </c>
      <c r="F124" s="13">
        <v>79.0</v>
      </c>
      <c r="G124" s="13">
        <v>63.2</v>
      </c>
      <c r="H124" s="13">
        <v>0.0</v>
      </c>
      <c r="I124" s="13">
        <v>-1.0</v>
      </c>
    </row>
    <row r="125" ht="15.75" customHeight="1">
      <c r="A125" s="12">
        <v>43887.0</v>
      </c>
      <c r="B125" s="13">
        <v>70.0</v>
      </c>
      <c r="C125" s="13">
        <v>88.0</v>
      </c>
      <c r="D125" s="13">
        <v>4560.0</v>
      </c>
      <c r="E125" s="13">
        <v>4480.0</v>
      </c>
      <c r="F125" s="13">
        <v>89.0</v>
      </c>
      <c r="G125" s="13">
        <v>63.2</v>
      </c>
      <c r="H125" s="13">
        <v>0.0</v>
      </c>
      <c r="I125" s="13">
        <v>0.0</v>
      </c>
    </row>
    <row r="126" ht="15.75" customHeight="1">
      <c r="A126" s="12">
        <v>43888.0</v>
      </c>
      <c r="B126" s="13">
        <v>80.0</v>
      </c>
      <c r="C126" s="13">
        <v>75.0</v>
      </c>
      <c r="D126" s="13">
        <v>4790.29</v>
      </c>
      <c r="E126" s="13">
        <v>3350.0</v>
      </c>
      <c r="F126" s="13">
        <v>70.0</v>
      </c>
      <c r="G126" s="13">
        <v>74.2</v>
      </c>
      <c r="H126" s="13">
        <v>1.0</v>
      </c>
      <c r="I126" s="13">
        <v>-1.0</v>
      </c>
    </row>
    <row r="127" ht="15.75" customHeight="1">
      <c r="A127" s="12">
        <v>43889.0</v>
      </c>
      <c r="B127" s="13">
        <v>65.0</v>
      </c>
      <c r="C127" s="13">
        <v>72.0</v>
      </c>
      <c r="D127" s="13">
        <v>4720.0</v>
      </c>
      <c r="E127" s="13">
        <v>3970.0</v>
      </c>
      <c r="F127" s="13">
        <v>70.0</v>
      </c>
      <c r="G127" s="13">
        <v>63.2</v>
      </c>
      <c r="H127" s="13">
        <v>1.0</v>
      </c>
      <c r="I127" s="13">
        <v>1.0</v>
      </c>
    </row>
    <row r="128" ht="15.75" customHeight="1">
      <c r="A128" s="12">
        <v>43890.0</v>
      </c>
      <c r="B128" s="13">
        <v>64.0</v>
      </c>
      <c r="C128" s="13">
        <v>72.0</v>
      </c>
      <c r="D128" s="13">
        <v>4250.99</v>
      </c>
      <c r="E128" s="13">
        <v>3720.0</v>
      </c>
      <c r="F128" s="13">
        <v>70.0</v>
      </c>
      <c r="G128" s="13">
        <v>63.2</v>
      </c>
      <c r="H128" s="13">
        <v>1.0</v>
      </c>
      <c r="I128" s="13">
        <v>-1.0</v>
      </c>
    </row>
    <row r="129" ht="15.75" customHeight="1">
      <c r="A129" s="12">
        <v>43891.0</v>
      </c>
      <c r="B129" s="13">
        <v>74.0</v>
      </c>
      <c r="C129" s="13">
        <v>79.0</v>
      </c>
      <c r="D129" s="13">
        <v>4370.0</v>
      </c>
      <c r="E129" s="13">
        <v>4300.0</v>
      </c>
      <c r="F129" s="13">
        <v>70.0</v>
      </c>
      <c r="G129" s="13">
        <v>63.2</v>
      </c>
      <c r="H129" s="13">
        <v>1.0</v>
      </c>
      <c r="I129" s="13">
        <v>1.0</v>
      </c>
    </row>
    <row r="130" ht="15.75" customHeight="1">
      <c r="A130" s="12">
        <v>43892.0</v>
      </c>
      <c r="B130" s="13">
        <v>67.0</v>
      </c>
      <c r="C130" s="13">
        <v>80.0</v>
      </c>
      <c r="D130" s="13">
        <v>4660.0</v>
      </c>
      <c r="E130" s="13">
        <v>3090.0</v>
      </c>
      <c r="F130" s="13">
        <v>70.0</v>
      </c>
      <c r="G130" s="13">
        <v>63.2</v>
      </c>
      <c r="H130" s="13">
        <v>1.0</v>
      </c>
      <c r="I130" s="13">
        <v>-1.0</v>
      </c>
    </row>
    <row r="131" ht="15.75" customHeight="1">
      <c r="A131" s="12">
        <v>43893.0</v>
      </c>
      <c r="B131" s="13">
        <v>67.0</v>
      </c>
      <c r="C131" s="13">
        <v>81.0</v>
      </c>
      <c r="D131" s="13">
        <v>4450.0</v>
      </c>
      <c r="E131" s="13">
        <v>4090.0</v>
      </c>
      <c r="F131" s="13">
        <v>70.0</v>
      </c>
      <c r="G131" s="13">
        <v>63.2</v>
      </c>
      <c r="H131" s="13">
        <v>-1.0</v>
      </c>
      <c r="I131" s="13">
        <v>-1.0</v>
      </c>
    </row>
    <row r="132" ht="15.75" customHeight="1">
      <c r="A132" s="12">
        <v>43894.0</v>
      </c>
      <c r="B132" s="13">
        <v>69.0</v>
      </c>
      <c r="C132" s="13">
        <v>63.0</v>
      </c>
      <c r="D132" s="13">
        <v>4890.0</v>
      </c>
      <c r="E132" s="13">
        <v>4400.0</v>
      </c>
      <c r="F132" s="13">
        <v>70.0</v>
      </c>
      <c r="G132" s="13">
        <v>63.2</v>
      </c>
      <c r="H132" s="15">
        <v>-1.0</v>
      </c>
      <c r="I132" s="13">
        <v>-1.0</v>
      </c>
    </row>
    <row r="133" ht="15.75" customHeight="1">
      <c r="A133" s="12">
        <v>43895.0</v>
      </c>
      <c r="B133" s="13">
        <v>69.0</v>
      </c>
      <c r="C133" s="13">
        <v>75.0</v>
      </c>
      <c r="D133" s="13">
        <v>3980.0</v>
      </c>
      <c r="E133" s="13">
        <v>3390.0</v>
      </c>
      <c r="F133" s="13">
        <v>89.0</v>
      </c>
      <c r="G133" s="13">
        <v>63.2</v>
      </c>
      <c r="H133" s="13">
        <v>-1.0</v>
      </c>
      <c r="I133" s="13">
        <v>-1.0</v>
      </c>
    </row>
    <row r="134" ht="15.75" customHeight="1">
      <c r="A134" s="12">
        <v>43896.0</v>
      </c>
      <c r="B134" s="13">
        <v>77.0</v>
      </c>
      <c r="C134" s="13">
        <v>94.0</v>
      </c>
      <c r="D134" s="13">
        <v>4459.0</v>
      </c>
      <c r="E134" s="13">
        <v>3330.0</v>
      </c>
      <c r="F134" s="13">
        <v>79.0</v>
      </c>
      <c r="G134" s="13">
        <v>63.2</v>
      </c>
      <c r="H134" s="13">
        <v>0.0</v>
      </c>
      <c r="I134" s="13">
        <v>-1.0</v>
      </c>
    </row>
    <row r="135" ht="15.75" customHeight="1">
      <c r="A135" s="12">
        <v>43897.0</v>
      </c>
      <c r="B135" s="13">
        <v>67.0</v>
      </c>
      <c r="C135" s="13">
        <v>77.0</v>
      </c>
      <c r="D135" s="13">
        <v>4650.0</v>
      </c>
      <c r="E135" s="13">
        <v>3350.0</v>
      </c>
      <c r="F135" s="13">
        <v>99.0</v>
      </c>
      <c r="G135" s="13">
        <v>63.2</v>
      </c>
      <c r="H135" s="13">
        <v>1.0</v>
      </c>
      <c r="I135" s="13">
        <v>1.0</v>
      </c>
    </row>
    <row r="136" ht="15.75" customHeight="1">
      <c r="A136" s="12">
        <v>43898.0</v>
      </c>
      <c r="B136" s="13">
        <v>63.0</v>
      </c>
      <c r="C136" s="13">
        <v>98.0</v>
      </c>
      <c r="D136" s="13">
        <v>4450.0</v>
      </c>
      <c r="E136" s="13">
        <v>3790.0</v>
      </c>
      <c r="F136" s="13">
        <v>99.0</v>
      </c>
      <c r="G136" s="13">
        <v>65.6</v>
      </c>
      <c r="H136" s="13">
        <v>1.0</v>
      </c>
      <c r="I136" s="13">
        <v>1.0</v>
      </c>
    </row>
    <row r="137" ht="15.75" customHeight="1">
      <c r="A137" s="12">
        <v>43899.0</v>
      </c>
      <c r="B137" s="13">
        <v>62.0</v>
      </c>
      <c r="C137" s="13">
        <v>91.0</v>
      </c>
      <c r="D137" s="13">
        <v>4820.0</v>
      </c>
      <c r="E137" s="13">
        <v>3090.0</v>
      </c>
      <c r="F137" s="13">
        <v>99.0</v>
      </c>
      <c r="G137" s="13">
        <v>81.0</v>
      </c>
      <c r="H137" s="13">
        <v>1.0</v>
      </c>
      <c r="I137" s="13">
        <v>1.0</v>
      </c>
    </row>
    <row r="138" ht="15.75" customHeight="1">
      <c r="A138" s="12">
        <v>43900.0</v>
      </c>
      <c r="B138" s="13">
        <v>61.0</v>
      </c>
      <c r="C138" s="13">
        <v>90.0</v>
      </c>
      <c r="D138" s="13">
        <v>4620.0</v>
      </c>
      <c r="E138" s="13">
        <v>4000.0</v>
      </c>
      <c r="F138" s="13">
        <v>99.0</v>
      </c>
      <c r="G138" s="13">
        <v>63.2</v>
      </c>
      <c r="H138" s="13">
        <v>1.0</v>
      </c>
      <c r="I138" s="13">
        <v>1.0</v>
      </c>
    </row>
    <row r="139" ht="15.75" customHeight="1">
      <c r="A139" s="12">
        <v>43901.0</v>
      </c>
      <c r="B139" s="13">
        <v>66.6</v>
      </c>
      <c r="C139" s="13">
        <v>99.0</v>
      </c>
      <c r="D139" s="13">
        <v>4320.0</v>
      </c>
      <c r="E139" s="13">
        <v>4110.0</v>
      </c>
      <c r="F139" s="13">
        <v>99.0</v>
      </c>
      <c r="G139" s="13">
        <v>63.2</v>
      </c>
      <c r="H139" s="13">
        <v>1.0</v>
      </c>
      <c r="I139" s="13">
        <v>0.0</v>
      </c>
    </row>
    <row r="140" ht="15.75" customHeight="1">
      <c r="A140" s="12">
        <v>43902.0</v>
      </c>
      <c r="B140" s="13">
        <v>65.0</v>
      </c>
      <c r="C140" s="13">
        <v>50.0</v>
      </c>
      <c r="D140" s="13">
        <v>4220.0</v>
      </c>
      <c r="E140" s="13">
        <v>3840.0</v>
      </c>
      <c r="F140" s="13">
        <v>99.0</v>
      </c>
      <c r="G140" s="13">
        <v>67.0</v>
      </c>
      <c r="H140" s="13">
        <v>1.0</v>
      </c>
      <c r="I140" s="13">
        <v>1.0</v>
      </c>
    </row>
    <row r="141" ht="15.75" customHeight="1">
      <c r="A141" s="12">
        <v>43903.0</v>
      </c>
      <c r="B141" s="13">
        <v>67.0</v>
      </c>
      <c r="C141" s="13">
        <v>99.0</v>
      </c>
      <c r="D141" s="13">
        <v>3760.0</v>
      </c>
      <c r="E141" s="13">
        <v>3370.0</v>
      </c>
      <c r="F141" s="13">
        <v>99.0</v>
      </c>
      <c r="G141" s="13">
        <v>67.0</v>
      </c>
      <c r="H141" s="13">
        <v>1.0</v>
      </c>
      <c r="I141" s="13">
        <v>1.0</v>
      </c>
    </row>
    <row r="142" ht="15.75" customHeight="1">
      <c r="A142" s="12">
        <v>43904.0</v>
      </c>
      <c r="B142" s="13">
        <v>70.0</v>
      </c>
      <c r="C142" s="13">
        <v>99.0</v>
      </c>
      <c r="D142" s="13">
        <v>4980.0</v>
      </c>
      <c r="E142" s="13">
        <v>4510.0</v>
      </c>
      <c r="F142" s="13">
        <v>99.0</v>
      </c>
      <c r="G142" s="13">
        <v>70.0</v>
      </c>
      <c r="H142" s="13">
        <v>1.0</v>
      </c>
      <c r="I142" s="13">
        <v>1.0</v>
      </c>
    </row>
    <row r="143" ht="15.75" customHeight="1">
      <c r="A143" s="12">
        <v>43905.0</v>
      </c>
      <c r="B143" s="13">
        <v>66.0</v>
      </c>
      <c r="C143" s="13">
        <v>99.0</v>
      </c>
      <c r="D143" s="13">
        <v>4240.0</v>
      </c>
      <c r="E143" s="13">
        <v>4660.0</v>
      </c>
      <c r="F143" s="13">
        <v>99.0</v>
      </c>
      <c r="G143" s="13">
        <v>75.6</v>
      </c>
      <c r="H143" s="13">
        <v>1.0</v>
      </c>
      <c r="I143" s="13">
        <v>0.0</v>
      </c>
    </row>
    <row r="144" ht="15.75" customHeight="1">
      <c r="A144" s="12">
        <v>43906.0</v>
      </c>
      <c r="B144" s="13">
        <v>84.0</v>
      </c>
      <c r="C144" s="13">
        <v>90.0</v>
      </c>
      <c r="D144" s="13">
        <v>4900.0</v>
      </c>
      <c r="E144" s="13">
        <v>4870.0</v>
      </c>
      <c r="F144" s="13">
        <v>70.0</v>
      </c>
      <c r="G144" s="13">
        <v>81.2</v>
      </c>
      <c r="H144" s="13">
        <v>1.0</v>
      </c>
      <c r="I144" s="13">
        <v>-1.0</v>
      </c>
    </row>
    <row r="145" ht="15.75" customHeight="1">
      <c r="A145" s="12">
        <v>43907.0</v>
      </c>
      <c r="B145" s="13">
        <v>60.0</v>
      </c>
      <c r="C145" s="13">
        <v>89.0</v>
      </c>
      <c r="D145" s="13">
        <v>4440.0</v>
      </c>
      <c r="E145" s="13">
        <v>4250.0</v>
      </c>
      <c r="F145" s="13">
        <v>70.0</v>
      </c>
      <c r="G145" s="13">
        <v>86.8</v>
      </c>
      <c r="H145" s="13">
        <v>-1.0</v>
      </c>
      <c r="I145" s="13">
        <v>0.0</v>
      </c>
    </row>
    <row r="146" ht="15.75" customHeight="1">
      <c r="A146" s="12">
        <v>43908.0</v>
      </c>
      <c r="B146" s="13">
        <v>59.0</v>
      </c>
      <c r="C146" s="13">
        <v>98.0</v>
      </c>
      <c r="D146" s="13">
        <v>4920.0</v>
      </c>
      <c r="E146" s="13">
        <v>3710.0</v>
      </c>
      <c r="F146" s="13">
        <v>94.0</v>
      </c>
      <c r="G146" s="13">
        <v>92.4</v>
      </c>
      <c r="H146" s="13">
        <v>1.0</v>
      </c>
      <c r="I146" s="13">
        <v>0.0</v>
      </c>
    </row>
    <row r="147" ht="15.75" customHeight="1">
      <c r="A147" s="12">
        <v>43909.0</v>
      </c>
      <c r="B147" s="13">
        <v>63.0</v>
      </c>
      <c r="C147" s="13">
        <v>78.0</v>
      </c>
      <c r="D147" s="13">
        <v>4240.0</v>
      </c>
      <c r="E147" s="13">
        <v>3150.0</v>
      </c>
      <c r="F147" s="13">
        <v>79.0</v>
      </c>
      <c r="G147" s="13">
        <v>98.0</v>
      </c>
      <c r="H147" s="13">
        <v>0.0</v>
      </c>
      <c r="I147" s="13">
        <v>1.0</v>
      </c>
    </row>
    <row r="148" ht="15.75" customHeight="1">
      <c r="A148" s="12">
        <v>43910.0</v>
      </c>
      <c r="B148" s="13">
        <v>60.0</v>
      </c>
      <c r="C148" s="13">
        <v>63.0</v>
      </c>
      <c r="D148" s="13">
        <v>4890.0</v>
      </c>
      <c r="E148" s="13">
        <v>4830.0</v>
      </c>
      <c r="F148" s="13">
        <v>80.0</v>
      </c>
      <c r="G148" s="13">
        <v>80.0</v>
      </c>
      <c r="H148" s="15">
        <v>0.0</v>
      </c>
      <c r="I148" s="13">
        <v>-1.0</v>
      </c>
    </row>
    <row r="149" ht="15.75" customHeight="1">
      <c r="A149" s="12">
        <v>43911.0</v>
      </c>
      <c r="B149" s="13">
        <v>11.0</v>
      </c>
      <c r="C149" s="13">
        <v>175.0</v>
      </c>
      <c r="D149" s="13">
        <v>2900.0</v>
      </c>
      <c r="E149" s="13">
        <v>4900.0</v>
      </c>
      <c r="F149" s="13">
        <v>98.0</v>
      </c>
      <c r="G149" s="13">
        <v>63.2</v>
      </c>
      <c r="H149" s="13">
        <v>-1.0</v>
      </c>
      <c r="I149" s="13">
        <v>1.0</v>
      </c>
    </row>
    <row r="150" ht="15.75" customHeight="1">
      <c r="A150" s="12">
        <v>43912.0</v>
      </c>
      <c r="B150" s="13">
        <v>13.0</v>
      </c>
      <c r="C150" s="13">
        <v>120.97</v>
      </c>
      <c r="D150" s="13">
        <v>3990.0</v>
      </c>
      <c r="E150" s="13">
        <v>4740.0</v>
      </c>
      <c r="F150" s="13">
        <v>40.3</v>
      </c>
      <c r="G150" s="13">
        <v>88.0</v>
      </c>
      <c r="H150" s="13">
        <v>-1.0</v>
      </c>
      <c r="I150" s="13">
        <v>1.0</v>
      </c>
    </row>
    <row r="151" ht="15.75" customHeight="1">
      <c r="A151" s="12">
        <v>43913.0</v>
      </c>
      <c r="B151" s="13">
        <v>17.0</v>
      </c>
      <c r="C151" s="13">
        <v>200.0</v>
      </c>
      <c r="D151" s="13">
        <v>5000.0</v>
      </c>
      <c r="E151" s="13">
        <v>3170.0</v>
      </c>
      <c r="F151" s="13">
        <v>25.8</v>
      </c>
      <c r="G151" s="13">
        <v>90.0</v>
      </c>
      <c r="H151" s="13">
        <v>0.0</v>
      </c>
      <c r="I151" s="13">
        <v>1.0</v>
      </c>
    </row>
    <row r="152" ht="15.75" customHeight="1">
      <c r="A152" s="12">
        <v>43914.0</v>
      </c>
      <c r="B152" s="13">
        <v>14.0</v>
      </c>
      <c r="C152" s="13">
        <v>119.0</v>
      </c>
      <c r="D152" s="13">
        <v>2990.0</v>
      </c>
      <c r="E152" s="13">
        <v>3520.0</v>
      </c>
      <c r="F152" s="13">
        <v>20.7</v>
      </c>
      <c r="G152" s="13">
        <v>97.0</v>
      </c>
      <c r="H152" s="13">
        <v>0.0</v>
      </c>
      <c r="I152" s="13">
        <v>1.0</v>
      </c>
    </row>
    <row r="153" ht="15.75" customHeight="1">
      <c r="A153" s="12">
        <v>43915.0</v>
      </c>
      <c r="B153" s="13">
        <v>13.0</v>
      </c>
      <c r="C153" s="13">
        <v>100.0</v>
      </c>
      <c r="D153" s="13">
        <v>2990.0</v>
      </c>
      <c r="E153" s="13">
        <v>4150.0</v>
      </c>
      <c r="F153" s="13">
        <v>20.7</v>
      </c>
      <c r="G153" s="13">
        <v>99.0</v>
      </c>
      <c r="H153" s="13">
        <v>0.0</v>
      </c>
      <c r="I153" s="13">
        <v>0.0</v>
      </c>
    </row>
    <row r="154" ht="15.75" customHeight="1">
      <c r="A154" s="12">
        <v>43916.0</v>
      </c>
      <c r="B154" s="13">
        <v>12.0</v>
      </c>
      <c r="C154" s="13">
        <v>128.0</v>
      </c>
      <c r="D154" s="13">
        <v>2750.0</v>
      </c>
      <c r="E154" s="13">
        <v>3480.0</v>
      </c>
      <c r="F154" s="13">
        <v>23.3</v>
      </c>
      <c r="G154" s="13">
        <v>100.0</v>
      </c>
      <c r="H154" s="13">
        <v>0.0</v>
      </c>
      <c r="I154" s="13">
        <v>1.0</v>
      </c>
    </row>
    <row r="155" ht="15.75" customHeight="1">
      <c r="A155" s="12">
        <v>43917.0</v>
      </c>
      <c r="B155" s="13">
        <v>11.0</v>
      </c>
      <c r="C155" s="13">
        <v>121.0</v>
      </c>
      <c r="D155" s="13">
        <v>2990.0</v>
      </c>
      <c r="E155" s="13">
        <v>4130.0</v>
      </c>
      <c r="F155" s="13">
        <v>39.7</v>
      </c>
      <c r="G155" s="13">
        <v>90.0</v>
      </c>
      <c r="H155" s="13">
        <v>0.0</v>
      </c>
      <c r="I155" s="13">
        <v>1.0</v>
      </c>
    </row>
    <row r="156" ht="15.75" customHeight="1">
      <c r="A156" s="12">
        <v>43918.0</v>
      </c>
      <c r="B156" s="13">
        <v>15.0</v>
      </c>
      <c r="C156" s="13">
        <v>135.0</v>
      </c>
      <c r="D156" s="13">
        <v>3500.0</v>
      </c>
      <c r="E156" s="13">
        <v>4900.0</v>
      </c>
      <c r="F156" s="13">
        <v>21.1</v>
      </c>
      <c r="G156" s="13">
        <v>99.0</v>
      </c>
      <c r="H156" s="13">
        <v>0.0</v>
      </c>
      <c r="I156" s="13">
        <v>0.0</v>
      </c>
    </row>
    <row r="157" ht="15.75" customHeight="1">
      <c r="A157" s="12">
        <v>43919.0</v>
      </c>
      <c r="B157" s="13">
        <v>19.0</v>
      </c>
      <c r="C157" s="13">
        <v>200.0</v>
      </c>
      <c r="D157" s="13">
        <v>2990.0</v>
      </c>
      <c r="E157" s="13">
        <v>4100.0</v>
      </c>
      <c r="F157" s="13">
        <v>20.7</v>
      </c>
      <c r="G157" s="13">
        <v>99.0</v>
      </c>
      <c r="H157" s="13">
        <v>0.0</v>
      </c>
      <c r="I157" s="13">
        <v>0.0</v>
      </c>
    </row>
    <row r="158" ht="15.75" customHeight="1">
      <c r="A158" s="12">
        <v>43920.0</v>
      </c>
      <c r="B158" s="13">
        <v>23.0</v>
      </c>
      <c r="C158" s="13">
        <v>111.0</v>
      </c>
      <c r="D158" s="13">
        <v>2990.0</v>
      </c>
      <c r="E158" s="13">
        <v>4600.0</v>
      </c>
      <c r="F158" s="13">
        <v>43.5</v>
      </c>
      <c r="G158" s="13">
        <v>99.0</v>
      </c>
      <c r="H158" s="13">
        <v>0.0</v>
      </c>
      <c r="I158" s="13">
        <v>1.0</v>
      </c>
    </row>
    <row r="159" ht="15.75" customHeight="1">
      <c r="A159" s="12">
        <v>43921.0</v>
      </c>
      <c r="B159" s="13">
        <v>11.0</v>
      </c>
      <c r="C159" s="13">
        <v>200.0</v>
      </c>
      <c r="D159" s="13">
        <v>3000.0</v>
      </c>
      <c r="E159" s="13">
        <v>3410.0</v>
      </c>
      <c r="F159" s="13">
        <v>20.7</v>
      </c>
      <c r="G159" s="13">
        <v>99.0</v>
      </c>
      <c r="H159" s="13">
        <v>0.0</v>
      </c>
      <c r="I159" s="13">
        <v>0.0</v>
      </c>
    </row>
    <row r="160" ht="15.75" customHeight="1">
      <c r="A160" s="12">
        <v>43922.0</v>
      </c>
      <c r="B160" s="13">
        <v>16.0</v>
      </c>
      <c r="C160" s="13">
        <v>115.0</v>
      </c>
      <c r="D160" s="13">
        <v>2999.0</v>
      </c>
      <c r="E160" s="13">
        <v>4600.0</v>
      </c>
      <c r="F160" s="13">
        <v>36.9</v>
      </c>
      <c r="G160" s="13">
        <v>100.0</v>
      </c>
      <c r="H160" s="13">
        <v>0.0</v>
      </c>
      <c r="I160" s="13">
        <v>1.0</v>
      </c>
    </row>
    <row r="161" ht="15.75" customHeight="1">
      <c r="A161" s="12">
        <v>43923.0</v>
      </c>
      <c r="B161" s="13">
        <v>19.0</v>
      </c>
      <c r="C161" s="13">
        <v>126.0</v>
      </c>
      <c r="D161" s="13">
        <v>3678.0</v>
      </c>
      <c r="E161" s="13">
        <v>3890.0</v>
      </c>
      <c r="F161" s="13">
        <v>20.7</v>
      </c>
      <c r="G161" s="13">
        <v>100.0</v>
      </c>
      <c r="H161" s="13">
        <v>-1.0</v>
      </c>
      <c r="I161" s="13">
        <v>1.0</v>
      </c>
    </row>
    <row r="162" ht="15.75" customHeight="1">
      <c r="A162" s="12">
        <v>43924.0</v>
      </c>
      <c r="B162" s="13">
        <v>13.0</v>
      </c>
      <c r="C162" s="13">
        <v>127.0</v>
      </c>
      <c r="D162" s="13">
        <v>3910.0</v>
      </c>
      <c r="E162" s="13">
        <v>3620.0</v>
      </c>
      <c r="F162" s="13">
        <v>20.7</v>
      </c>
      <c r="G162" s="13">
        <v>100.0</v>
      </c>
      <c r="H162" s="13">
        <v>0.0</v>
      </c>
      <c r="I162" s="13">
        <v>0.0</v>
      </c>
    </row>
    <row r="163" ht="15.75" customHeight="1">
      <c r="A163" s="12">
        <v>43925.0</v>
      </c>
      <c r="B163" s="13">
        <v>18.0</v>
      </c>
      <c r="C163" s="13">
        <v>141.0</v>
      </c>
      <c r="D163" s="13">
        <v>3980.0</v>
      </c>
      <c r="E163" s="13">
        <v>3280.0</v>
      </c>
      <c r="F163" s="13">
        <v>35.8</v>
      </c>
      <c r="G163" s="13">
        <v>100.0</v>
      </c>
      <c r="H163" s="13">
        <v>-1.0</v>
      </c>
      <c r="I163" s="13">
        <v>1.0</v>
      </c>
    </row>
    <row r="164" ht="15.75" customHeight="1">
      <c r="A164" s="12">
        <v>43926.0</v>
      </c>
      <c r="B164" s="13">
        <v>12.0</v>
      </c>
      <c r="C164" s="13">
        <v>138.0</v>
      </c>
      <c r="D164" s="13">
        <v>3440.0</v>
      </c>
      <c r="E164" s="13">
        <v>3320.0</v>
      </c>
      <c r="F164" s="13">
        <v>20.7</v>
      </c>
      <c r="G164" s="13">
        <v>100.0</v>
      </c>
      <c r="H164" s="13">
        <v>0.0</v>
      </c>
      <c r="I164" s="13">
        <v>0.0</v>
      </c>
    </row>
    <row r="165" ht="15.75" customHeight="1">
      <c r="A165" s="12">
        <v>43927.0</v>
      </c>
      <c r="B165" s="13">
        <v>19.0</v>
      </c>
      <c r="C165" s="13">
        <v>178.0</v>
      </c>
      <c r="D165" s="13">
        <v>3550.0</v>
      </c>
      <c r="E165" s="13">
        <v>4980.0</v>
      </c>
      <c r="F165" s="13">
        <v>36.8</v>
      </c>
      <c r="G165" s="13">
        <v>97.0</v>
      </c>
      <c r="H165" s="13">
        <v>0.0</v>
      </c>
      <c r="I165" s="13">
        <v>1.0</v>
      </c>
    </row>
    <row r="166" ht="15.75" customHeight="1">
      <c r="A166" s="12">
        <v>43928.0</v>
      </c>
      <c r="B166" s="13">
        <v>15.0</v>
      </c>
      <c r="C166" s="13">
        <v>145.0</v>
      </c>
      <c r="D166" s="13">
        <v>2010.0</v>
      </c>
      <c r="E166" s="13">
        <v>4750.0</v>
      </c>
      <c r="F166" s="13">
        <v>20.7</v>
      </c>
      <c r="G166" s="13">
        <v>98.0</v>
      </c>
      <c r="H166" s="13">
        <v>0.0</v>
      </c>
      <c r="I166" s="13">
        <v>1.0</v>
      </c>
    </row>
    <row r="167" ht="15.75" customHeight="1">
      <c r="A167" s="12">
        <v>43929.0</v>
      </c>
      <c r="B167" s="13">
        <v>15.0</v>
      </c>
      <c r="C167" s="13">
        <v>151.0</v>
      </c>
      <c r="D167" s="13">
        <v>3000.0</v>
      </c>
      <c r="E167" s="13">
        <v>4290.0</v>
      </c>
      <c r="F167" s="13">
        <v>20.7</v>
      </c>
      <c r="G167" s="13">
        <v>97.0</v>
      </c>
      <c r="H167" s="13">
        <v>0.0</v>
      </c>
      <c r="I167" s="13">
        <v>1.0</v>
      </c>
    </row>
    <row r="168" ht="15.75" customHeight="1">
      <c r="A168" s="12">
        <v>43930.0</v>
      </c>
      <c r="B168" s="13">
        <v>15.0</v>
      </c>
      <c r="C168" s="13">
        <v>137.0</v>
      </c>
      <c r="D168" s="13">
        <v>3860.0</v>
      </c>
      <c r="E168" s="13">
        <v>3990.0</v>
      </c>
      <c r="F168" s="13">
        <v>20.7</v>
      </c>
      <c r="G168" s="13">
        <v>95.0</v>
      </c>
      <c r="H168" s="15">
        <v>-1.0</v>
      </c>
      <c r="I168" s="13">
        <v>1.0</v>
      </c>
    </row>
    <row r="169" ht="15.75" customHeight="1">
      <c r="A169" s="12">
        <v>43931.0</v>
      </c>
      <c r="B169" s="13">
        <v>17.0</v>
      </c>
      <c r="C169" s="13">
        <v>140.0</v>
      </c>
      <c r="D169" s="13">
        <v>4440.0</v>
      </c>
      <c r="E169" s="13">
        <v>3600.0</v>
      </c>
      <c r="F169" s="13">
        <v>20.7</v>
      </c>
      <c r="G169" s="13">
        <v>97.0</v>
      </c>
      <c r="H169" s="13">
        <v>0.0</v>
      </c>
      <c r="I169" s="13">
        <v>1.0</v>
      </c>
    </row>
    <row r="170" ht="15.75" customHeight="1">
      <c r="A170" s="12">
        <v>43932.0</v>
      </c>
      <c r="B170" s="13">
        <v>13.0</v>
      </c>
      <c r="C170" s="13">
        <v>153.0</v>
      </c>
      <c r="D170" s="13">
        <v>2900.0</v>
      </c>
      <c r="E170" s="13">
        <v>4260.0</v>
      </c>
      <c r="F170" s="13">
        <v>23.6</v>
      </c>
      <c r="G170" s="13">
        <v>94.0</v>
      </c>
      <c r="H170" s="13">
        <v>0.0</v>
      </c>
      <c r="I170" s="13">
        <v>0.0</v>
      </c>
    </row>
    <row r="171" ht="15.75" customHeight="1">
      <c r="A171" s="12">
        <v>43933.0</v>
      </c>
      <c r="B171" s="13">
        <v>12.0</v>
      </c>
      <c r="C171" s="13">
        <v>130.0</v>
      </c>
      <c r="D171" s="13">
        <v>3990.0</v>
      </c>
      <c r="E171" s="13">
        <v>3270.0</v>
      </c>
      <c r="F171" s="13">
        <v>20.7</v>
      </c>
      <c r="G171" s="13">
        <v>99.0</v>
      </c>
      <c r="H171" s="13">
        <v>0.0</v>
      </c>
      <c r="I171" s="13">
        <v>1.0</v>
      </c>
    </row>
    <row r="172" ht="15.75" customHeight="1">
      <c r="A172" s="12">
        <v>43934.0</v>
      </c>
      <c r="B172" s="13">
        <v>19.0</v>
      </c>
      <c r="C172" s="13">
        <v>171.0</v>
      </c>
      <c r="D172" s="13">
        <v>3020.0</v>
      </c>
      <c r="E172" s="13">
        <v>3880.0</v>
      </c>
      <c r="F172" s="13">
        <v>20.7</v>
      </c>
      <c r="G172" s="13">
        <v>93.0</v>
      </c>
      <c r="H172" s="13">
        <v>0.0</v>
      </c>
      <c r="I172" s="13">
        <v>1.0</v>
      </c>
    </row>
    <row r="173" ht="15.75" customHeight="1">
      <c r="A173" s="12">
        <v>43935.0</v>
      </c>
      <c r="B173" s="13">
        <v>14.0</v>
      </c>
      <c r="C173" s="13">
        <v>132.0</v>
      </c>
      <c r="D173" s="13">
        <v>2500.0</v>
      </c>
      <c r="E173" s="13">
        <v>5000.0</v>
      </c>
      <c r="F173" s="13">
        <v>20.9</v>
      </c>
      <c r="G173" s="13">
        <v>92.0</v>
      </c>
      <c r="H173" s="13">
        <v>0.0</v>
      </c>
      <c r="I173" s="13">
        <v>1.0</v>
      </c>
    </row>
    <row r="174" ht="15.75" customHeight="1">
      <c r="A174" s="12">
        <v>43936.0</v>
      </c>
      <c r="B174" s="13">
        <v>20.0</v>
      </c>
      <c r="C174" s="13">
        <v>175.0</v>
      </c>
      <c r="D174" s="13">
        <v>3990.0</v>
      </c>
      <c r="E174" s="13">
        <v>3860.0</v>
      </c>
      <c r="F174" s="13">
        <v>20.1</v>
      </c>
      <c r="G174" s="13">
        <v>90.0</v>
      </c>
      <c r="H174" s="13">
        <v>-1.0</v>
      </c>
      <c r="I174" s="13">
        <v>0.0</v>
      </c>
    </row>
    <row r="175" ht="15.75" customHeight="1">
      <c r="A175" s="12">
        <v>43937.0</v>
      </c>
      <c r="B175" s="13">
        <v>11.0</v>
      </c>
      <c r="C175" s="13">
        <v>140.0</v>
      </c>
      <c r="D175" s="13">
        <v>3750.0</v>
      </c>
      <c r="E175" s="13">
        <v>3970.0</v>
      </c>
      <c r="F175" s="13">
        <v>20.7</v>
      </c>
      <c r="G175" s="13">
        <v>99.0</v>
      </c>
      <c r="H175" s="13">
        <v>-1.0</v>
      </c>
      <c r="I175" s="13">
        <v>1.0</v>
      </c>
    </row>
    <row r="176" ht="15.75" customHeight="1">
      <c r="A176" s="12">
        <v>43938.0</v>
      </c>
      <c r="B176" s="13">
        <v>14.0</v>
      </c>
      <c r="C176" s="13">
        <v>153.0</v>
      </c>
      <c r="D176" s="13">
        <v>3000.0</v>
      </c>
      <c r="E176" s="13">
        <v>4020.0</v>
      </c>
      <c r="F176" s="13">
        <v>20.7</v>
      </c>
      <c r="G176" s="13">
        <v>89.0</v>
      </c>
      <c r="H176" s="13">
        <v>-1.0</v>
      </c>
      <c r="I176" s="13">
        <v>0.0</v>
      </c>
    </row>
    <row r="177" ht="15.75" customHeight="1">
      <c r="A177" s="12">
        <v>43939.0</v>
      </c>
      <c r="B177" s="13">
        <v>10.0</v>
      </c>
      <c r="C177" s="13">
        <v>153.0</v>
      </c>
      <c r="D177" s="13">
        <v>2890.0</v>
      </c>
      <c r="E177" s="13">
        <v>4500.0</v>
      </c>
      <c r="F177" s="13">
        <v>20.7</v>
      </c>
      <c r="G177" s="13">
        <v>97.0</v>
      </c>
      <c r="H177" s="13">
        <v>0.0</v>
      </c>
      <c r="I177" s="13">
        <v>0.0</v>
      </c>
    </row>
    <row r="178" ht="15.75" customHeight="1">
      <c r="A178" s="12">
        <v>43940.0</v>
      </c>
      <c r="B178" s="13">
        <v>10.0</v>
      </c>
      <c r="C178" s="13">
        <v>179.0</v>
      </c>
      <c r="D178" s="13">
        <v>3990.0</v>
      </c>
      <c r="E178" s="13">
        <v>4660.0</v>
      </c>
      <c r="F178" s="13">
        <v>20.7</v>
      </c>
      <c r="G178" s="13">
        <v>80.0</v>
      </c>
      <c r="H178" s="13">
        <v>0.0</v>
      </c>
      <c r="I178" s="13">
        <v>0.0</v>
      </c>
    </row>
    <row r="179" ht="15.75" customHeight="1">
      <c r="A179" s="12">
        <v>43941.0</v>
      </c>
      <c r="B179" s="13">
        <v>12.0</v>
      </c>
      <c r="C179" s="13">
        <v>139.0</v>
      </c>
      <c r="D179" s="13">
        <v>3500.0</v>
      </c>
      <c r="E179" s="13">
        <v>4600.0</v>
      </c>
      <c r="F179" s="13">
        <v>20.7</v>
      </c>
      <c r="G179" s="13">
        <v>87.0</v>
      </c>
      <c r="H179" s="13">
        <v>0.0</v>
      </c>
      <c r="I179" s="13">
        <v>1.0</v>
      </c>
    </row>
    <row r="180" ht="15.75" customHeight="1">
      <c r="A180" s="12">
        <v>43942.0</v>
      </c>
      <c r="B180" s="13">
        <v>14.0</v>
      </c>
      <c r="C180" s="13">
        <v>111.0</v>
      </c>
      <c r="D180" s="13">
        <v>3000.0</v>
      </c>
      <c r="E180" s="13">
        <v>4830.0</v>
      </c>
      <c r="F180" s="13">
        <v>20.7</v>
      </c>
      <c r="G180" s="13">
        <v>86.0</v>
      </c>
      <c r="H180" s="13">
        <v>0.0</v>
      </c>
      <c r="I180" s="13">
        <v>1.0</v>
      </c>
    </row>
    <row r="181" ht="15.75" customHeight="1">
      <c r="A181" s="12">
        <v>43943.0</v>
      </c>
      <c r="B181" s="13">
        <v>15.0</v>
      </c>
      <c r="C181" s="13">
        <v>125.0</v>
      </c>
      <c r="D181" s="13">
        <v>3000.0</v>
      </c>
      <c r="E181" s="13">
        <v>4680.0</v>
      </c>
      <c r="F181" s="13">
        <v>20.7</v>
      </c>
      <c r="G181" s="13">
        <v>92.0</v>
      </c>
      <c r="H181" s="13">
        <v>0.0</v>
      </c>
      <c r="I181" s="13">
        <v>1.0</v>
      </c>
    </row>
    <row r="182" ht="15.75" customHeight="1">
      <c r="A182" s="12">
        <v>43944.0</v>
      </c>
      <c r="B182" s="13">
        <v>20.0</v>
      </c>
      <c r="C182" s="13">
        <v>110.0</v>
      </c>
      <c r="D182" s="13">
        <v>2890.0</v>
      </c>
      <c r="E182" s="13">
        <v>3860.0</v>
      </c>
      <c r="F182" s="13">
        <v>20.7</v>
      </c>
      <c r="G182" s="13">
        <v>99.0</v>
      </c>
      <c r="H182" s="13">
        <v>0.0</v>
      </c>
      <c r="I182" s="13">
        <v>1.0</v>
      </c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" t="s">
        <v>177</v>
      </c>
      <c r="C2" s="2">
        <v>43831.0</v>
      </c>
      <c r="D2" s="2">
        <v>44059.0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IFERROR(__xludf.DUMMYFUNCTION("""COMPUTED_VALUE"""),43832.64583333333)</f>
        <v>43832.64583</v>
      </c>
      <c r="B6" s="1">
        <f>IFERROR(__xludf.DUMMYFUNCTION("""COMPUTED_VALUE"""),3047.0)</f>
        <v>3047</v>
      </c>
      <c r="C6" s="1">
        <f>IFERROR(__xludf.DUMMYFUNCTION("""COMPUTED_VALUE"""),3065.0)</f>
        <v>3065</v>
      </c>
      <c r="D6" s="1">
        <f>IFERROR(__xludf.DUMMYFUNCTION("""COMPUTED_VALUE"""),3043.05)</f>
        <v>3043.05</v>
      </c>
      <c r="E6" s="1">
        <f>IFERROR(__xludf.DUMMYFUNCTION("""COMPUTED_VALUE"""),3053.4)</f>
        <v>3053.4</v>
      </c>
      <c r="F6" s="1">
        <f>IFERROR(__xludf.DUMMYFUNCTION("""COMPUTED_VALUE"""),138428.0)</f>
        <v>138428</v>
      </c>
    </row>
    <row r="7" ht="15.75" customHeight="1">
      <c r="A7" s="10">
        <f>IFERROR(__xludf.DUMMYFUNCTION("""COMPUTED_VALUE"""),43833.64583333333)</f>
        <v>43833.64583</v>
      </c>
      <c r="B7" s="1">
        <f>IFERROR(__xludf.DUMMYFUNCTION("""COMPUTED_VALUE"""),3045.0)</f>
        <v>3045</v>
      </c>
      <c r="C7" s="1">
        <f>IFERROR(__xludf.DUMMYFUNCTION("""COMPUTED_VALUE"""),3060.0)</f>
        <v>3060</v>
      </c>
      <c r="D7" s="1">
        <f>IFERROR(__xludf.DUMMYFUNCTION("""COMPUTED_VALUE"""),3025.65)</f>
        <v>3025.65</v>
      </c>
      <c r="E7" s="1">
        <f>IFERROR(__xludf.DUMMYFUNCTION("""COMPUTED_VALUE"""),3038.8)</f>
        <v>3038.8</v>
      </c>
      <c r="F7" s="1">
        <f>IFERROR(__xludf.DUMMYFUNCTION("""COMPUTED_VALUE"""),168305.0)</f>
        <v>168305</v>
      </c>
    </row>
    <row r="8" ht="15.75" customHeight="1">
      <c r="A8" s="10">
        <f>IFERROR(__xludf.DUMMYFUNCTION("""COMPUTED_VALUE"""),43836.64583333333)</f>
        <v>43836.64583</v>
      </c>
      <c r="B8" s="1">
        <f>IFERROR(__xludf.DUMMYFUNCTION("""COMPUTED_VALUE"""),3030.0)</f>
        <v>3030</v>
      </c>
      <c r="C8" s="1">
        <f>IFERROR(__xludf.DUMMYFUNCTION("""COMPUTED_VALUE"""),3032.15)</f>
        <v>3032.15</v>
      </c>
      <c r="D8" s="1">
        <f>IFERROR(__xludf.DUMMYFUNCTION("""COMPUTED_VALUE"""),2995.05)</f>
        <v>2995.05</v>
      </c>
      <c r="E8" s="1">
        <f>IFERROR(__xludf.DUMMYFUNCTION("""COMPUTED_VALUE"""),3022.05)</f>
        <v>3022.05</v>
      </c>
      <c r="F8" s="1">
        <f>IFERROR(__xludf.DUMMYFUNCTION("""COMPUTED_VALUE"""),181158.0)</f>
        <v>181158</v>
      </c>
    </row>
    <row r="9" ht="15.75" customHeight="1">
      <c r="A9" s="10">
        <f>IFERROR(__xludf.DUMMYFUNCTION("""COMPUTED_VALUE"""),43837.64583333333)</f>
        <v>43837.64583</v>
      </c>
      <c r="B9" s="1">
        <f>IFERROR(__xludf.DUMMYFUNCTION("""COMPUTED_VALUE"""),3033.9)</f>
        <v>3033.9</v>
      </c>
      <c r="C9" s="1">
        <f>IFERROR(__xludf.DUMMYFUNCTION("""COMPUTED_VALUE"""),3054.0)</f>
        <v>3054</v>
      </c>
      <c r="D9" s="1">
        <f>IFERROR(__xludf.DUMMYFUNCTION("""COMPUTED_VALUE"""),3028.0)</f>
        <v>3028</v>
      </c>
      <c r="E9" s="1">
        <f>IFERROR(__xludf.DUMMYFUNCTION("""COMPUTED_VALUE"""),3036.6)</f>
        <v>3036.6</v>
      </c>
      <c r="F9" s="1">
        <f>IFERROR(__xludf.DUMMYFUNCTION("""COMPUTED_VALUE"""),159307.0)</f>
        <v>159307</v>
      </c>
    </row>
    <row r="10" ht="15.75" customHeight="1">
      <c r="A10" s="10">
        <f>IFERROR(__xludf.DUMMYFUNCTION("""COMPUTED_VALUE"""),43838.64583333333)</f>
        <v>43838.64583</v>
      </c>
      <c r="B10" s="1">
        <f>IFERROR(__xludf.DUMMYFUNCTION("""COMPUTED_VALUE"""),3020.0)</f>
        <v>3020</v>
      </c>
      <c r="C10" s="1">
        <f>IFERROR(__xludf.DUMMYFUNCTION("""COMPUTED_VALUE"""),3038.7)</f>
        <v>3038.7</v>
      </c>
      <c r="D10" s="1">
        <f>IFERROR(__xludf.DUMMYFUNCTION("""COMPUTED_VALUE"""),2995.0)</f>
        <v>2995</v>
      </c>
      <c r="E10" s="1">
        <f>IFERROR(__xludf.DUMMYFUNCTION("""COMPUTED_VALUE"""),3023.6)</f>
        <v>3023.6</v>
      </c>
      <c r="F10" s="1">
        <f>IFERROR(__xludf.DUMMYFUNCTION("""COMPUTED_VALUE"""),194024.0)</f>
        <v>194024</v>
      </c>
    </row>
    <row r="11" ht="15.75" customHeight="1">
      <c r="A11" s="10">
        <f>IFERROR(__xludf.DUMMYFUNCTION("""COMPUTED_VALUE"""),43839.64583333333)</f>
        <v>43839.64583</v>
      </c>
      <c r="B11" s="1">
        <f>IFERROR(__xludf.DUMMYFUNCTION("""COMPUTED_VALUE"""),3047.2)</f>
        <v>3047.2</v>
      </c>
      <c r="C11" s="1">
        <f>IFERROR(__xludf.DUMMYFUNCTION("""COMPUTED_VALUE"""),3049.0)</f>
        <v>3049</v>
      </c>
      <c r="D11" s="1">
        <f>IFERROR(__xludf.DUMMYFUNCTION("""COMPUTED_VALUE"""),2995.1)</f>
        <v>2995.1</v>
      </c>
      <c r="E11" s="1">
        <f>IFERROR(__xludf.DUMMYFUNCTION("""COMPUTED_VALUE"""),3001.1)</f>
        <v>3001.1</v>
      </c>
      <c r="F11" s="1">
        <f>IFERROR(__xludf.DUMMYFUNCTION("""COMPUTED_VALUE"""),434270.0)</f>
        <v>434270</v>
      </c>
    </row>
    <row r="12" ht="15.75" customHeight="1">
      <c r="A12" s="10">
        <f>IFERROR(__xludf.DUMMYFUNCTION("""COMPUTED_VALUE"""),43840.64583333333)</f>
        <v>43840.64583</v>
      </c>
      <c r="B12" s="1">
        <f>IFERROR(__xludf.DUMMYFUNCTION("""COMPUTED_VALUE"""),3014.95)</f>
        <v>3014.95</v>
      </c>
      <c r="C12" s="1">
        <f>IFERROR(__xludf.DUMMYFUNCTION("""COMPUTED_VALUE"""),3015.0)</f>
        <v>3015</v>
      </c>
      <c r="D12" s="1">
        <f>IFERROR(__xludf.DUMMYFUNCTION("""COMPUTED_VALUE"""),2978.05)</f>
        <v>2978.05</v>
      </c>
      <c r="E12" s="1">
        <f>IFERROR(__xludf.DUMMYFUNCTION("""COMPUTED_VALUE"""),2989.75)</f>
        <v>2989.75</v>
      </c>
      <c r="F12" s="1">
        <f>IFERROR(__xludf.DUMMYFUNCTION("""COMPUTED_VALUE"""),526254.0)</f>
        <v>526254</v>
      </c>
    </row>
    <row r="13" ht="15.75" customHeight="1">
      <c r="A13" s="10">
        <f>IFERROR(__xludf.DUMMYFUNCTION("""COMPUTED_VALUE"""),43843.64583333333)</f>
        <v>43843.64583</v>
      </c>
      <c r="B13" s="1">
        <f>IFERROR(__xludf.DUMMYFUNCTION("""COMPUTED_VALUE"""),2995.0)</f>
        <v>2995</v>
      </c>
      <c r="C13" s="1">
        <f>IFERROR(__xludf.DUMMYFUNCTION("""COMPUTED_VALUE"""),3056.25)</f>
        <v>3056.25</v>
      </c>
      <c r="D13" s="1">
        <f>IFERROR(__xludf.DUMMYFUNCTION("""COMPUTED_VALUE"""),2987.3)</f>
        <v>2987.3</v>
      </c>
      <c r="E13" s="1">
        <f>IFERROR(__xludf.DUMMYFUNCTION("""COMPUTED_VALUE"""),3045.1)</f>
        <v>3045.1</v>
      </c>
      <c r="F13" s="1">
        <f>IFERROR(__xludf.DUMMYFUNCTION("""COMPUTED_VALUE"""),420792.0)</f>
        <v>420792</v>
      </c>
    </row>
    <row r="14" ht="15.75" customHeight="1">
      <c r="A14" s="10">
        <f>IFERROR(__xludf.DUMMYFUNCTION("""COMPUTED_VALUE"""),43844.64583333333)</f>
        <v>43844.64583</v>
      </c>
      <c r="B14" s="1">
        <f>IFERROR(__xludf.DUMMYFUNCTION("""COMPUTED_VALUE"""),3058.0)</f>
        <v>3058</v>
      </c>
      <c r="C14" s="1">
        <f>IFERROR(__xludf.DUMMYFUNCTION("""COMPUTED_VALUE"""),3119.0)</f>
        <v>3119</v>
      </c>
      <c r="D14" s="1">
        <f>IFERROR(__xludf.DUMMYFUNCTION("""COMPUTED_VALUE"""),3037.15)</f>
        <v>3037.15</v>
      </c>
      <c r="E14" s="1">
        <f>IFERROR(__xludf.DUMMYFUNCTION("""COMPUTED_VALUE"""),3105.15)</f>
        <v>3105.15</v>
      </c>
      <c r="F14" s="1">
        <f>IFERROR(__xludf.DUMMYFUNCTION("""COMPUTED_VALUE"""),653300.0)</f>
        <v>653300</v>
      </c>
    </row>
    <row r="15" ht="15.75" customHeight="1">
      <c r="A15" s="10">
        <f>IFERROR(__xludf.DUMMYFUNCTION("""COMPUTED_VALUE"""),43845.64583333333)</f>
        <v>43845.64583</v>
      </c>
      <c r="B15" s="1">
        <f>IFERROR(__xludf.DUMMYFUNCTION("""COMPUTED_VALUE"""),3120.0)</f>
        <v>3120</v>
      </c>
      <c r="C15" s="1">
        <f>IFERROR(__xludf.DUMMYFUNCTION("""COMPUTED_VALUE"""),3133.95)</f>
        <v>3133.95</v>
      </c>
      <c r="D15" s="1">
        <f>IFERROR(__xludf.DUMMYFUNCTION("""COMPUTED_VALUE"""),3092.9)</f>
        <v>3092.9</v>
      </c>
      <c r="E15" s="1">
        <f>IFERROR(__xludf.DUMMYFUNCTION("""COMPUTED_VALUE"""),3114.2)</f>
        <v>3114.2</v>
      </c>
      <c r="F15" s="1">
        <f>IFERROR(__xludf.DUMMYFUNCTION("""COMPUTED_VALUE"""),438959.0)</f>
        <v>438959</v>
      </c>
    </row>
    <row r="16" ht="15.75" customHeight="1">
      <c r="A16" s="10">
        <f>IFERROR(__xludf.DUMMYFUNCTION("""COMPUTED_VALUE"""),43846.64583333333)</f>
        <v>43846.64583</v>
      </c>
      <c r="B16" s="1">
        <f>IFERROR(__xludf.DUMMYFUNCTION("""COMPUTED_VALUE"""),3116.0)</f>
        <v>3116</v>
      </c>
      <c r="C16" s="1">
        <f>IFERROR(__xludf.DUMMYFUNCTION("""COMPUTED_VALUE"""),3160.0)</f>
        <v>3160</v>
      </c>
      <c r="D16" s="1">
        <f>IFERROR(__xludf.DUMMYFUNCTION("""COMPUTED_VALUE"""),3115.0)</f>
        <v>3115</v>
      </c>
      <c r="E16" s="1">
        <f>IFERROR(__xludf.DUMMYFUNCTION("""COMPUTED_VALUE"""),3150.25)</f>
        <v>3150.25</v>
      </c>
      <c r="F16" s="1">
        <f>IFERROR(__xludf.DUMMYFUNCTION("""COMPUTED_VALUE"""),768872.0)</f>
        <v>768872</v>
      </c>
    </row>
    <row r="17" ht="15.75" customHeight="1">
      <c r="A17" s="10">
        <f>IFERROR(__xludf.DUMMYFUNCTION("""COMPUTED_VALUE"""),43847.64583333333)</f>
        <v>43847.64583</v>
      </c>
      <c r="B17" s="1">
        <f>IFERROR(__xludf.DUMMYFUNCTION("""COMPUTED_VALUE"""),3155.0)</f>
        <v>3155</v>
      </c>
      <c r="C17" s="1">
        <f>IFERROR(__xludf.DUMMYFUNCTION("""COMPUTED_VALUE"""),3169.0)</f>
        <v>3169</v>
      </c>
      <c r="D17" s="1">
        <f>IFERROR(__xludf.DUMMYFUNCTION("""COMPUTED_VALUE"""),3114.35)</f>
        <v>3114.35</v>
      </c>
      <c r="E17" s="1">
        <f>IFERROR(__xludf.DUMMYFUNCTION("""COMPUTED_VALUE"""),3124.45)</f>
        <v>3124.45</v>
      </c>
      <c r="F17" s="1">
        <f>IFERROR(__xludf.DUMMYFUNCTION("""COMPUTED_VALUE"""),294064.0)</f>
        <v>294064</v>
      </c>
    </row>
    <row r="18" ht="15.75" customHeight="1">
      <c r="A18" s="10">
        <f>IFERROR(__xludf.DUMMYFUNCTION("""COMPUTED_VALUE"""),43850.64583333333)</f>
        <v>43850.64583</v>
      </c>
      <c r="B18" s="1">
        <f>IFERROR(__xludf.DUMMYFUNCTION("""COMPUTED_VALUE"""),3143.0)</f>
        <v>3143</v>
      </c>
      <c r="C18" s="1">
        <f>IFERROR(__xludf.DUMMYFUNCTION("""COMPUTED_VALUE"""),3143.0)</f>
        <v>3143</v>
      </c>
      <c r="D18" s="1">
        <f>IFERROR(__xludf.DUMMYFUNCTION("""COMPUTED_VALUE"""),3104.4)</f>
        <v>3104.4</v>
      </c>
      <c r="E18" s="1">
        <f>IFERROR(__xludf.DUMMYFUNCTION("""COMPUTED_VALUE"""),3110.45)</f>
        <v>3110.45</v>
      </c>
      <c r="F18" s="1">
        <f>IFERROR(__xludf.DUMMYFUNCTION("""COMPUTED_VALUE"""),203111.0)</f>
        <v>203111</v>
      </c>
    </row>
    <row r="19" ht="15.75" customHeight="1">
      <c r="A19" s="10">
        <f>IFERROR(__xludf.DUMMYFUNCTION("""COMPUTED_VALUE"""),43851.64583333333)</f>
        <v>43851.64583</v>
      </c>
      <c r="B19" s="1">
        <f>IFERROR(__xludf.DUMMYFUNCTION("""COMPUTED_VALUE"""),3100.0)</f>
        <v>3100</v>
      </c>
      <c r="C19" s="1">
        <f>IFERROR(__xludf.DUMMYFUNCTION("""COMPUTED_VALUE"""),3130.0)</f>
        <v>3130</v>
      </c>
      <c r="D19" s="1">
        <f>IFERROR(__xludf.DUMMYFUNCTION("""COMPUTED_VALUE"""),3077.25)</f>
        <v>3077.25</v>
      </c>
      <c r="E19" s="1">
        <f>IFERROR(__xludf.DUMMYFUNCTION("""COMPUTED_VALUE"""),3111.25)</f>
        <v>3111.25</v>
      </c>
      <c r="F19" s="1">
        <f>IFERROR(__xludf.DUMMYFUNCTION("""COMPUTED_VALUE"""),220943.0)</f>
        <v>220943</v>
      </c>
    </row>
    <row r="20" ht="15.75" customHeight="1">
      <c r="A20" s="10">
        <f>IFERROR(__xludf.DUMMYFUNCTION("""COMPUTED_VALUE"""),43852.64583333333)</f>
        <v>43852.64583</v>
      </c>
      <c r="B20" s="1">
        <f>IFERROR(__xludf.DUMMYFUNCTION("""COMPUTED_VALUE"""),3125.5)</f>
        <v>3125.5</v>
      </c>
      <c r="C20" s="1">
        <f>IFERROR(__xludf.DUMMYFUNCTION("""COMPUTED_VALUE"""),3138.7)</f>
        <v>3138.7</v>
      </c>
      <c r="D20" s="1">
        <f>IFERROR(__xludf.DUMMYFUNCTION("""COMPUTED_VALUE"""),3088.9)</f>
        <v>3088.9</v>
      </c>
      <c r="E20" s="1">
        <f>IFERROR(__xludf.DUMMYFUNCTION("""COMPUTED_VALUE"""),3106.35)</f>
        <v>3106.35</v>
      </c>
      <c r="F20" s="1">
        <f>IFERROR(__xludf.DUMMYFUNCTION("""COMPUTED_VALUE"""),248578.0)</f>
        <v>248578</v>
      </c>
    </row>
    <row r="21" ht="15.75" customHeight="1">
      <c r="A21" s="10">
        <f>IFERROR(__xludf.DUMMYFUNCTION("""COMPUTED_VALUE"""),43853.64583333333)</f>
        <v>43853.64583</v>
      </c>
      <c r="B21" s="1">
        <f>IFERROR(__xludf.DUMMYFUNCTION("""COMPUTED_VALUE"""),3103.85)</f>
        <v>3103.85</v>
      </c>
      <c r="C21" s="1">
        <f>IFERROR(__xludf.DUMMYFUNCTION("""COMPUTED_VALUE"""),3122.9)</f>
        <v>3122.9</v>
      </c>
      <c r="D21" s="1">
        <f>IFERROR(__xludf.DUMMYFUNCTION("""COMPUTED_VALUE"""),3068.1)</f>
        <v>3068.1</v>
      </c>
      <c r="E21" s="1">
        <f>IFERROR(__xludf.DUMMYFUNCTION("""COMPUTED_VALUE"""),3112.95)</f>
        <v>3112.95</v>
      </c>
      <c r="F21" s="1">
        <f>IFERROR(__xludf.DUMMYFUNCTION("""COMPUTED_VALUE"""),203032.0)</f>
        <v>203032</v>
      </c>
    </row>
    <row r="22" ht="15.75" customHeight="1">
      <c r="A22" s="10">
        <f>IFERROR(__xludf.DUMMYFUNCTION("""COMPUTED_VALUE"""),43854.64583333333)</f>
        <v>43854.64583</v>
      </c>
      <c r="B22" s="1">
        <f>IFERROR(__xludf.DUMMYFUNCTION("""COMPUTED_VALUE"""),3113.15)</f>
        <v>3113.15</v>
      </c>
      <c r="C22" s="1">
        <f>IFERROR(__xludf.DUMMYFUNCTION("""COMPUTED_VALUE"""),3212.95)</f>
        <v>3212.95</v>
      </c>
      <c r="D22" s="1">
        <f>IFERROR(__xludf.DUMMYFUNCTION("""COMPUTED_VALUE"""),3112.05)</f>
        <v>3112.05</v>
      </c>
      <c r="E22" s="1">
        <f>IFERROR(__xludf.DUMMYFUNCTION("""COMPUTED_VALUE"""),3192.5)</f>
        <v>3192.5</v>
      </c>
      <c r="F22" s="1">
        <f>IFERROR(__xludf.DUMMYFUNCTION("""COMPUTED_VALUE"""),580192.0)</f>
        <v>580192</v>
      </c>
    </row>
    <row r="23" ht="15.75" customHeight="1">
      <c r="A23" s="10">
        <f>IFERROR(__xludf.DUMMYFUNCTION("""COMPUTED_VALUE"""),43857.64583333333)</f>
        <v>43857.64583</v>
      </c>
      <c r="B23" s="1">
        <f>IFERROR(__xludf.DUMMYFUNCTION("""COMPUTED_VALUE"""),3187.0)</f>
        <v>3187</v>
      </c>
      <c r="C23" s="1">
        <f>IFERROR(__xludf.DUMMYFUNCTION("""COMPUTED_VALUE"""),3210.0)</f>
        <v>3210</v>
      </c>
      <c r="D23" s="1">
        <f>IFERROR(__xludf.DUMMYFUNCTION("""COMPUTED_VALUE"""),3155.0)</f>
        <v>3155</v>
      </c>
      <c r="E23" s="1">
        <f>IFERROR(__xludf.DUMMYFUNCTION("""COMPUTED_VALUE"""),3174.2)</f>
        <v>3174.2</v>
      </c>
      <c r="F23" s="1">
        <f>IFERROR(__xludf.DUMMYFUNCTION("""COMPUTED_VALUE"""),322446.0)</f>
        <v>322446</v>
      </c>
    </row>
    <row r="24" ht="15.75" customHeight="1">
      <c r="A24" s="10">
        <f>IFERROR(__xludf.DUMMYFUNCTION("""COMPUTED_VALUE"""),43858.64583333333)</f>
        <v>43858.64583</v>
      </c>
      <c r="B24" s="1">
        <f>IFERROR(__xludf.DUMMYFUNCTION("""COMPUTED_VALUE"""),3182.9)</f>
        <v>3182.9</v>
      </c>
      <c r="C24" s="1">
        <f>IFERROR(__xludf.DUMMYFUNCTION("""COMPUTED_VALUE"""),3209.9)</f>
        <v>3209.9</v>
      </c>
      <c r="D24" s="1">
        <f>IFERROR(__xludf.DUMMYFUNCTION("""COMPUTED_VALUE"""),3136.5)</f>
        <v>3136.5</v>
      </c>
      <c r="E24" s="1">
        <f>IFERROR(__xludf.DUMMYFUNCTION("""COMPUTED_VALUE"""),3181.25)</f>
        <v>3181.25</v>
      </c>
      <c r="F24" s="1">
        <f>IFERROR(__xludf.DUMMYFUNCTION("""COMPUTED_VALUE"""),292577.0)</f>
        <v>292577</v>
      </c>
    </row>
    <row r="25" ht="15.75" customHeight="1">
      <c r="A25" s="10">
        <f>IFERROR(__xludf.DUMMYFUNCTION("""COMPUTED_VALUE"""),43859.64583333333)</f>
        <v>43859.64583</v>
      </c>
      <c r="B25" s="1">
        <f>IFERROR(__xludf.DUMMYFUNCTION("""COMPUTED_VALUE"""),3200.0)</f>
        <v>3200</v>
      </c>
      <c r="C25" s="1">
        <f>IFERROR(__xludf.DUMMYFUNCTION("""COMPUTED_VALUE"""),3245.5)</f>
        <v>3245.5</v>
      </c>
      <c r="D25" s="1">
        <f>IFERROR(__xludf.DUMMYFUNCTION("""COMPUTED_VALUE"""),3190.05)</f>
        <v>3190.05</v>
      </c>
      <c r="E25" s="1">
        <f>IFERROR(__xludf.DUMMYFUNCTION("""COMPUTED_VALUE"""),3214.2)</f>
        <v>3214.2</v>
      </c>
      <c r="F25" s="1">
        <f>IFERROR(__xludf.DUMMYFUNCTION("""COMPUTED_VALUE"""),434882.0)</f>
        <v>434882</v>
      </c>
    </row>
    <row r="26" ht="15.75" customHeight="1">
      <c r="A26" s="10">
        <f>IFERROR(__xludf.DUMMYFUNCTION("""COMPUTED_VALUE"""),43860.64583333333)</f>
        <v>43860.64583</v>
      </c>
      <c r="B26" s="1">
        <f>IFERROR(__xludf.DUMMYFUNCTION("""COMPUTED_VALUE"""),3208.95)</f>
        <v>3208.95</v>
      </c>
      <c r="C26" s="1">
        <f>IFERROR(__xludf.DUMMYFUNCTION("""COMPUTED_VALUE"""),3234.7)</f>
        <v>3234.7</v>
      </c>
      <c r="D26" s="1">
        <f>IFERROR(__xludf.DUMMYFUNCTION("""COMPUTED_VALUE"""),3192.45)</f>
        <v>3192.45</v>
      </c>
      <c r="E26" s="1">
        <f>IFERROR(__xludf.DUMMYFUNCTION("""COMPUTED_VALUE"""),3210.7)</f>
        <v>3210.7</v>
      </c>
      <c r="F26" s="1">
        <f>IFERROR(__xludf.DUMMYFUNCTION("""COMPUTED_VALUE"""),337850.0)</f>
        <v>337850</v>
      </c>
    </row>
    <row r="27" ht="15.75" customHeight="1">
      <c r="A27" s="10">
        <f>IFERROR(__xludf.DUMMYFUNCTION("""COMPUTED_VALUE"""),43861.64583333333)</f>
        <v>43861.64583</v>
      </c>
      <c r="B27" s="1">
        <f>IFERROR(__xludf.DUMMYFUNCTION("""COMPUTED_VALUE"""),3242.7)</f>
        <v>3242.7</v>
      </c>
      <c r="C27" s="1">
        <f>IFERROR(__xludf.DUMMYFUNCTION("""COMPUTED_VALUE"""),3274.6)</f>
        <v>3274.6</v>
      </c>
      <c r="D27" s="1">
        <f>IFERROR(__xludf.DUMMYFUNCTION("""COMPUTED_VALUE"""),3186.85)</f>
        <v>3186.85</v>
      </c>
      <c r="E27" s="1">
        <f>IFERROR(__xludf.DUMMYFUNCTION("""COMPUTED_VALUE"""),3200.7)</f>
        <v>3200.7</v>
      </c>
      <c r="F27" s="1">
        <f>IFERROR(__xludf.DUMMYFUNCTION("""COMPUTED_VALUE"""),468850.0)</f>
        <v>468850</v>
      </c>
    </row>
    <row r="28" ht="15.75" customHeight="1">
      <c r="A28" s="10">
        <f>IFERROR(__xludf.DUMMYFUNCTION("""COMPUTED_VALUE"""),43862.70833333333)</f>
        <v>43862.70833</v>
      </c>
      <c r="B28" s="1">
        <f>IFERROR(__xludf.DUMMYFUNCTION("""COMPUTED_VALUE"""),3161.0)</f>
        <v>3161</v>
      </c>
      <c r="C28" s="1">
        <f>IFERROR(__xludf.DUMMYFUNCTION("""COMPUTED_VALUE"""),3220.0)</f>
        <v>3220</v>
      </c>
      <c r="D28" s="1">
        <f>IFERROR(__xludf.DUMMYFUNCTION("""COMPUTED_VALUE"""),3080.0)</f>
        <v>3080</v>
      </c>
      <c r="E28" s="1">
        <f>IFERROR(__xludf.DUMMYFUNCTION("""COMPUTED_VALUE"""),3088.0)</f>
        <v>3088</v>
      </c>
      <c r="F28" s="1">
        <f>IFERROR(__xludf.DUMMYFUNCTION("""COMPUTED_VALUE"""),233426.0)</f>
        <v>233426</v>
      </c>
    </row>
    <row r="29" ht="15.75" customHeight="1">
      <c r="A29" s="10">
        <f>IFERROR(__xludf.DUMMYFUNCTION("""COMPUTED_VALUE"""),43864.64583333333)</f>
        <v>43864.64583</v>
      </c>
      <c r="B29" s="1">
        <f>IFERROR(__xludf.DUMMYFUNCTION("""COMPUTED_VALUE"""),3097.6)</f>
        <v>3097.6</v>
      </c>
      <c r="C29" s="1">
        <f>IFERROR(__xludf.DUMMYFUNCTION("""COMPUTED_VALUE"""),3249.0)</f>
        <v>3249</v>
      </c>
      <c r="D29" s="1">
        <f>IFERROR(__xludf.DUMMYFUNCTION("""COMPUTED_VALUE"""),3092.35)</f>
        <v>3092.35</v>
      </c>
      <c r="E29" s="1">
        <f>IFERROR(__xludf.DUMMYFUNCTION("""COMPUTED_VALUE"""),3230.05)</f>
        <v>3230.05</v>
      </c>
      <c r="F29" s="1">
        <f>IFERROR(__xludf.DUMMYFUNCTION("""COMPUTED_VALUE"""),657504.0)</f>
        <v>657504</v>
      </c>
    </row>
    <row r="30" ht="15.75" customHeight="1">
      <c r="A30" s="10">
        <f>IFERROR(__xludf.DUMMYFUNCTION("""COMPUTED_VALUE"""),43865.64583333333)</f>
        <v>43865.64583</v>
      </c>
      <c r="B30" s="1">
        <f>IFERROR(__xludf.DUMMYFUNCTION("""COMPUTED_VALUE"""),3235.0)</f>
        <v>3235</v>
      </c>
      <c r="C30" s="1">
        <f>IFERROR(__xludf.DUMMYFUNCTION("""COMPUTED_VALUE"""),3300.0)</f>
        <v>3300</v>
      </c>
      <c r="D30" s="1">
        <f>IFERROR(__xludf.DUMMYFUNCTION("""COMPUTED_VALUE"""),3188.0)</f>
        <v>3188</v>
      </c>
      <c r="E30" s="1">
        <f>IFERROR(__xludf.DUMMYFUNCTION("""COMPUTED_VALUE"""),3232.5)</f>
        <v>3232.5</v>
      </c>
      <c r="F30" s="1">
        <f>IFERROR(__xludf.DUMMYFUNCTION("""COMPUTED_VALUE"""),511585.0)</f>
        <v>511585</v>
      </c>
    </row>
    <row r="31" ht="15.75" customHeight="1">
      <c r="A31" s="10">
        <f>IFERROR(__xludf.DUMMYFUNCTION("""COMPUTED_VALUE"""),43866.64583333333)</f>
        <v>43866.64583</v>
      </c>
      <c r="B31" s="1">
        <f>IFERROR(__xludf.DUMMYFUNCTION("""COMPUTED_VALUE"""),3269.8)</f>
        <v>3269.8</v>
      </c>
      <c r="C31" s="1">
        <f>IFERROR(__xludf.DUMMYFUNCTION("""COMPUTED_VALUE"""),3318.0)</f>
        <v>3318</v>
      </c>
      <c r="D31" s="1">
        <f>IFERROR(__xludf.DUMMYFUNCTION("""COMPUTED_VALUE"""),3243.7)</f>
        <v>3243.7</v>
      </c>
      <c r="E31" s="1">
        <f>IFERROR(__xludf.DUMMYFUNCTION("""COMPUTED_VALUE"""),3255.95)</f>
        <v>3255.95</v>
      </c>
      <c r="F31" s="1">
        <f>IFERROR(__xludf.DUMMYFUNCTION("""COMPUTED_VALUE"""),423733.0)</f>
        <v>423733</v>
      </c>
    </row>
    <row r="32" ht="15.75" customHeight="1">
      <c r="A32" s="10">
        <f>IFERROR(__xludf.DUMMYFUNCTION("""COMPUTED_VALUE"""),43867.64583333333)</f>
        <v>43867.64583</v>
      </c>
      <c r="B32" s="1">
        <f>IFERROR(__xludf.DUMMYFUNCTION("""COMPUTED_VALUE"""),3260.35)</f>
        <v>3260.35</v>
      </c>
      <c r="C32" s="1">
        <f>IFERROR(__xludf.DUMMYFUNCTION("""COMPUTED_VALUE"""),3293.0)</f>
        <v>3293</v>
      </c>
      <c r="D32" s="1">
        <f>IFERROR(__xludf.DUMMYFUNCTION("""COMPUTED_VALUE"""),3236.35)</f>
        <v>3236.35</v>
      </c>
      <c r="E32" s="1">
        <f>IFERROR(__xludf.DUMMYFUNCTION("""COMPUTED_VALUE"""),3252.2)</f>
        <v>3252.2</v>
      </c>
      <c r="F32" s="1">
        <f>IFERROR(__xludf.DUMMYFUNCTION("""COMPUTED_VALUE"""),410631.0)</f>
        <v>410631</v>
      </c>
    </row>
    <row r="33" ht="15.75" customHeight="1">
      <c r="A33" s="10">
        <f>IFERROR(__xludf.DUMMYFUNCTION("""COMPUTED_VALUE"""),43868.64583333333)</f>
        <v>43868.64583</v>
      </c>
      <c r="B33" s="1">
        <f>IFERROR(__xludf.DUMMYFUNCTION("""COMPUTED_VALUE"""),3256.0)</f>
        <v>3256</v>
      </c>
      <c r="C33" s="1">
        <f>IFERROR(__xludf.DUMMYFUNCTION("""COMPUTED_VALUE"""),3296.0)</f>
        <v>3296</v>
      </c>
      <c r="D33" s="1">
        <f>IFERROR(__xludf.DUMMYFUNCTION("""COMPUTED_VALUE"""),3237.1)</f>
        <v>3237.1</v>
      </c>
      <c r="E33" s="1">
        <f>IFERROR(__xludf.DUMMYFUNCTION("""COMPUTED_VALUE"""),3251.4)</f>
        <v>3251.4</v>
      </c>
      <c r="F33" s="1">
        <f>IFERROR(__xludf.DUMMYFUNCTION("""COMPUTED_VALUE"""),450061.0)</f>
        <v>450061</v>
      </c>
    </row>
    <row r="34" ht="15.75" customHeight="1">
      <c r="A34" s="10">
        <f>IFERROR(__xludf.DUMMYFUNCTION("""COMPUTED_VALUE"""),43871.64583333333)</f>
        <v>43871.64583</v>
      </c>
      <c r="B34" s="1">
        <f>IFERROR(__xludf.DUMMYFUNCTION("""COMPUTED_VALUE"""),3270.0)</f>
        <v>3270</v>
      </c>
      <c r="C34" s="1">
        <f>IFERROR(__xludf.DUMMYFUNCTION("""COMPUTED_VALUE"""),3280.0)</f>
        <v>3280</v>
      </c>
      <c r="D34" s="1">
        <f>IFERROR(__xludf.DUMMYFUNCTION("""COMPUTED_VALUE"""),3125.0)</f>
        <v>3125</v>
      </c>
      <c r="E34" s="1">
        <f>IFERROR(__xludf.DUMMYFUNCTION("""COMPUTED_VALUE"""),3155.6)</f>
        <v>3155.6</v>
      </c>
      <c r="F34" s="1">
        <f>IFERROR(__xludf.DUMMYFUNCTION("""COMPUTED_VALUE"""),969115.0)</f>
        <v>969115</v>
      </c>
    </row>
    <row r="35" ht="15.75" customHeight="1">
      <c r="A35" s="10">
        <f>IFERROR(__xludf.DUMMYFUNCTION("""COMPUTED_VALUE"""),43872.64583333333)</f>
        <v>43872.64583</v>
      </c>
      <c r="B35" s="1">
        <f>IFERROR(__xludf.DUMMYFUNCTION("""COMPUTED_VALUE"""),3179.95)</f>
        <v>3179.95</v>
      </c>
      <c r="C35" s="1">
        <f>IFERROR(__xludf.DUMMYFUNCTION("""COMPUTED_VALUE"""),3198.8)</f>
        <v>3198.8</v>
      </c>
      <c r="D35" s="1">
        <f>IFERROR(__xludf.DUMMYFUNCTION("""COMPUTED_VALUE"""),3124.2)</f>
        <v>3124.2</v>
      </c>
      <c r="E35" s="1">
        <f>IFERROR(__xludf.DUMMYFUNCTION("""COMPUTED_VALUE"""),3134.7)</f>
        <v>3134.7</v>
      </c>
      <c r="F35" s="1">
        <f>IFERROR(__xludf.DUMMYFUNCTION("""COMPUTED_VALUE"""),507516.0)</f>
        <v>507516</v>
      </c>
    </row>
    <row r="36" ht="15.75" customHeight="1">
      <c r="A36" s="10">
        <f>IFERROR(__xludf.DUMMYFUNCTION("""COMPUTED_VALUE"""),43873.64583333333)</f>
        <v>43873.64583</v>
      </c>
      <c r="B36" s="1">
        <f>IFERROR(__xludf.DUMMYFUNCTION("""COMPUTED_VALUE"""),3124.2)</f>
        <v>3124.2</v>
      </c>
      <c r="C36" s="1">
        <f>IFERROR(__xludf.DUMMYFUNCTION("""COMPUTED_VALUE"""),3209.0)</f>
        <v>3209</v>
      </c>
      <c r="D36" s="1">
        <f>IFERROR(__xludf.DUMMYFUNCTION("""COMPUTED_VALUE"""),3124.2)</f>
        <v>3124.2</v>
      </c>
      <c r="E36" s="1">
        <f>IFERROR(__xludf.DUMMYFUNCTION("""COMPUTED_VALUE"""),3136.8)</f>
        <v>3136.8</v>
      </c>
      <c r="F36" s="1">
        <f>IFERROR(__xludf.DUMMYFUNCTION("""COMPUTED_VALUE"""),669153.0)</f>
        <v>669153</v>
      </c>
    </row>
    <row r="37" ht="15.75" customHeight="1">
      <c r="A37" s="10">
        <f>IFERROR(__xludf.DUMMYFUNCTION("""COMPUTED_VALUE"""),43874.64583333333)</f>
        <v>43874.64583</v>
      </c>
      <c r="B37" s="1">
        <f>IFERROR(__xludf.DUMMYFUNCTION("""COMPUTED_VALUE"""),3132.0)</f>
        <v>3132</v>
      </c>
      <c r="C37" s="1">
        <f>IFERROR(__xludf.DUMMYFUNCTION("""COMPUTED_VALUE"""),3143.65)</f>
        <v>3143.65</v>
      </c>
      <c r="D37" s="1">
        <f>IFERROR(__xludf.DUMMYFUNCTION("""COMPUTED_VALUE"""),3105.2)</f>
        <v>3105.2</v>
      </c>
      <c r="E37" s="1">
        <f>IFERROR(__xludf.DUMMYFUNCTION("""COMPUTED_VALUE"""),3135.2)</f>
        <v>3135.2</v>
      </c>
      <c r="F37" s="1">
        <f>IFERROR(__xludf.DUMMYFUNCTION("""COMPUTED_VALUE"""),319421.0)</f>
        <v>319421</v>
      </c>
    </row>
    <row r="38" ht="15.75" customHeight="1">
      <c r="A38" s="10">
        <f>IFERROR(__xludf.DUMMYFUNCTION("""COMPUTED_VALUE"""),43875.64583333333)</f>
        <v>43875.64583</v>
      </c>
      <c r="B38" s="1">
        <f>IFERROR(__xludf.DUMMYFUNCTION("""COMPUTED_VALUE"""),3116.0)</f>
        <v>3116</v>
      </c>
      <c r="C38" s="1">
        <f>IFERROR(__xludf.DUMMYFUNCTION("""COMPUTED_VALUE"""),3159.0)</f>
        <v>3159</v>
      </c>
      <c r="D38" s="1">
        <f>IFERROR(__xludf.DUMMYFUNCTION("""COMPUTED_VALUE"""),3090.3)</f>
        <v>3090.3</v>
      </c>
      <c r="E38" s="1">
        <f>IFERROR(__xludf.DUMMYFUNCTION("""COMPUTED_VALUE"""),3096.65)</f>
        <v>3096.65</v>
      </c>
      <c r="F38" s="1">
        <f>IFERROR(__xludf.DUMMYFUNCTION("""COMPUTED_VALUE"""),270506.0)</f>
        <v>270506</v>
      </c>
    </row>
    <row r="39" ht="15.75" customHeight="1">
      <c r="A39" s="10">
        <f>IFERROR(__xludf.DUMMYFUNCTION("""COMPUTED_VALUE"""),43878.64583333333)</f>
        <v>43878.64583</v>
      </c>
      <c r="B39" s="1">
        <f>IFERROR(__xludf.DUMMYFUNCTION("""COMPUTED_VALUE"""),3095.0)</f>
        <v>3095</v>
      </c>
      <c r="C39" s="1">
        <f>IFERROR(__xludf.DUMMYFUNCTION("""COMPUTED_VALUE"""),3112.3)</f>
        <v>3112.3</v>
      </c>
      <c r="D39" s="1">
        <f>IFERROR(__xludf.DUMMYFUNCTION("""COMPUTED_VALUE"""),3072.05)</f>
        <v>3072.05</v>
      </c>
      <c r="E39" s="1">
        <f>IFERROR(__xludf.DUMMYFUNCTION("""COMPUTED_VALUE"""),3084.1)</f>
        <v>3084.1</v>
      </c>
      <c r="F39" s="1">
        <f>IFERROR(__xludf.DUMMYFUNCTION("""COMPUTED_VALUE"""),224912.0)</f>
        <v>224912</v>
      </c>
    </row>
    <row r="40" ht="15.75" customHeight="1">
      <c r="A40" s="10">
        <f>IFERROR(__xludf.DUMMYFUNCTION("""COMPUTED_VALUE"""),43879.64583333333)</f>
        <v>43879.64583</v>
      </c>
      <c r="B40" s="1">
        <f>IFERROR(__xludf.DUMMYFUNCTION("""COMPUTED_VALUE"""),3080.0)</f>
        <v>3080</v>
      </c>
      <c r="C40" s="1">
        <f>IFERROR(__xludf.DUMMYFUNCTION("""COMPUTED_VALUE"""),3080.0)</f>
        <v>3080</v>
      </c>
      <c r="D40" s="1">
        <f>IFERROR(__xludf.DUMMYFUNCTION("""COMPUTED_VALUE"""),3020.0)</f>
        <v>3020</v>
      </c>
      <c r="E40" s="1">
        <f>IFERROR(__xludf.DUMMYFUNCTION("""COMPUTED_VALUE"""),3066.45)</f>
        <v>3066.45</v>
      </c>
      <c r="F40" s="1">
        <f>IFERROR(__xludf.DUMMYFUNCTION("""COMPUTED_VALUE"""),453173.0)</f>
        <v>453173</v>
      </c>
    </row>
    <row r="41" ht="15.75" customHeight="1">
      <c r="A41" s="10">
        <f>IFERROR(__xludf.DUMMYFUNCTION("""COMPUTED_VALUE"""),43880.64583333333)</f>
        <v>43880.64583</v>
      </c>
      <c r="B41" s="1">
        <f>IFERROR(__xludf.DUMMYFUNCTION("""COMPUTED_VALUE"""),3082.1)</f>
        <v>3082.1</v>
      </c>
      <c r="C41" s="1">
        <f>IFERROR(__xludf.DUMMYFUNCTION("""COMPUTED_VALUE"""),3111.0)</f>
        <v>3111</v>
      </c>
      <c r="D41" s="1">
        <f>IFERROR(__xludf.DUMMYFUNCTION("""COMPUTED_VALUE"""),3040.0)</f>
        <v>3040</v>
      </c>
      <c r="E41" s="1">
        <f>IFERROR(__xludf.DUMMYFUNCTION("""COMPUTED_VALUE"""),3082.25)</f>
        <v>3082.25</v>
      </c>
      <c r="F41" s="1">
        <f>IFERROR(__xludf.DUMMYFUNCTION("""COMPUTED_VALUE"""),462922.0)</f>
        <v>462922</v>
      </c>
    </row>
    <row r="42" ht="15.75" customHeight="1">
      <c r="A42" s="10">
        <f>IFERROR(__xludf.DUMMYFUNCTION("""COMPUTED_VALUE"""),43881.64583333333)</f>
        <v>43881.64583</v>
      </c>
      <c r="B42" s="1">
        <f>IFERROR(__xludf.DUMMYFUNCTION("""COMPUTED_VALUE"""),3079.8)</f>
        <v>3079.8</v>
      </c>
      <c r="C42" s="1">
        <f>IFERROR(__xludf.DUMMYFUNCTION("""COMPUTED_VALUE"""),3123.45)</f>
        <v>3123.45</v>
      </c>
      <c r="D42" s="1">
        <f>IFERROR(__xludf.DUMMYFUNCTION("""COMPUTED_VALUE"""),3052.25)</f>
        <v>3052.25</v>
      </c>
      <c r="E42" s="1">
        <f>IFERROR(__xludf.DUMMYFUNCTION("""COMPUTED_VALUE"""),3059.4)</f>
        <v>3059.4</v>
      </c>
      <c r="F42" s="1">
        <f>IFERROR(__xludf.DUMMYFUNCTION("""COMPUTED_VALUE"""),270720.0)</f>
        <v>270720</v>
      </c>
    </row>
    <row r="43" ht="15.75" customHeight="1">
      <c r="A43" s="10">
        <f>IFERROR(__xludf.DUMMYFUNCTION("""COMPUTED_VALUE"""),43885.64583333333)</f>
        <v>43885.64583</v>
      </c>
      <c r="B43" s="1">
        <f>IFERROR(__xludf.DUMMYFUNCTION("""COMPUTED_VALUE"""),3059.0)</f>
        <v>3059</v>
      </c>
      <c r="C43" s="1">
        <f>IFERROR(__xludf.DUMMYFUNCTION("""COMPUTED_VALUE"""),3065.0)</f>
        <v>3065</v>
      </c>
      <c r="D43" s="1">
        <f>IFERROR(__xludf.DUMMYFUNCTION("""COMPUTED_VALUE"""),3005.0)</f>
        <v>3005</v>
      </c>
      <c r="E43" s="1">
        <f>IFERROR(__xludf.DUMMYFUNCTION("""COMPUTED_VALUE"""),3036.2)</f>
        <v>3036.2</v>
      </c>
      <c r="F43" s="1">
        <f>IFERROR(__xludf.DUMMYFUNCTION("""COMPUTED_VALUE"""),427352.0)</f>
        <v>427352</v>
      </c>
    </row>
    <row r="44" ht="15.75" customHeight="1">
      <c r="A44" s="10">
        <f>IFERROR(__xludf.DUMMYFUNCTION("""COMPUTED_VALUE"""),43886.64583333333)</f>
        <v>43886.64583</v>
      </c>
      <c r="B44" s="1">
        <f>IFERROR(__xludf.DUMMYFUNCTION("""COMPUTED_VALUE"""),3040.0)</f>
        <v>3040</v>
      </c>
      <c r="C44" s="1">
        <f>IFERROR(__xludf.DUMMYFUNCTION("""COMPUTED_VALUE"""),3078.0)</f>
        <v>3078</v>
      </c>
      <c r="D44" s="1">
        <f>IFERROR(__xludf.DUMMYFUNCTION("""COMPUTED_VALUE"""),3018.0)</f>
        <v>3018</v>
      </c>
      <c r="E44" s="1">
        <f>IFERROR(__xludf.DUMMYFUNCTION("""COMPUTED_VALUE"""),3033.55)</f>
        <v>3033.55</v>
      </c>
      <c r="F44" s="1">
        <f>IFERROR(__xludf.DUMMYFUNCTION("""COMPUTED_VALUE"""),350415.0)</f>
        <v>350415</v>
      </c>
    </row>
    <row r="45" ht="15.75" customHeight="1">
      <c r="A45" s="10">
        <f>IFERROR(__xludf.DUMMYFUNCTION("""COMPUTED_VALUE"""),43887.64583333333)</f>
        <v>43887.64583</v>
      </c>
      <c r="B45" s="1">
        <f>IFERROR(__xludf.DUMMYFUNCTION("""COMPUTED_VALUE"""),3025.1)</f>
        <v>3025.1</v>
      </c>
      <c r="C45" s="1">
        <f>IFERROR(__xludf.DUMMYFUNCTION("""COMPUTED_VALUE"""),3069.9)</f>
        <v>3069.9</v>
      </c>
      <c r="D45" s="1">
        <f>IFERROR(__xludf.DUMMYFUNCTION("""COMPUTED_VALUE"""),3016.7)</f>
        <v>3016.7</v>
      </c>
      <c r="E45" s="1">
        <f>IFERROR(__xludf.DUMMYFUNCTION("""COMPUTED_VALUE"""),3041.35)</f>
        <v>3041.35</v>
      </c>
      <c r="F45" s="1">
        <f>IFERROR(__xludf.DUMMYFUNCTION("""COMPUTED_VALUE"""),366302.0)</f>
        <v>366302</v>
      </c>
    </row>
    <row r="46" ht="15.75" customHeight="1">
      <c r="A46" s="10">
        <f>IFERROR(__xludf.DUMMYFUNCTION("""COMPUTED_VALUE"""),43888.64583333333)</f>
        <v>43888.64583</v>
      </c>
      <c r="B46" s="1">
        <f>IFERROR(__xludf.DUMMYFUNCTION("""COMPUTED_VALUE"""),3036.95)</f>
        <v>3036.95</v>
      </c>
      <c r="C46" s="1">
        <f>IFERROR(__xludf.DUMMYFUNCTION("""COMPUTED_VALUE"""),3100.0)</f>
        <v>3100</v>
      </c>
      <c r="D46" s="1">
        <f>IFERROR(__xludf.DUMMYFUNCTION("""COMPUTED_VALUE"""),2960.0)</f>
        <v>2960</v>
      </c>
      <c r="E46" s="1">
        <f>IFERROR(__xludf.DUMMYFUNCTION("""COMPUTED_VALUE"""),3026.05)</f>
        <v>3026.05</v>
      </c>
      <c r="F46" s="1">
        <f>IFERROR(__xludf.DUMMYFUNCTION("""COMPUTED_VALUE"""),652385.0)</f>
        <v>652385</v>
      </c>
    </row>
    <row r="47" ht="15.75" customHeight="1">
      <c r="A47" s="10">
        <f>IFERROR(__xludf.DUMMYFUNCTION("""COMPUTED_VALUE"""),43889.64583333333)</f>
        <v>43889.64583</v>
      </c>
      <c r="B47" s="1">
        <f>IFERROR(__xludf.DUMMYFUNCTION("""COMPUTED_VALUE"""),2983.0)</f>
        <v>2983</v>
      </c>
      <c r="C47" s="1">
        <f>IFERROR(__xludf.DUMMYFUNCTION("""COMPUTED_VALUE"""),3020.0)</f>
        <v>3020</v>
      </c>
      <c r="D47" s="1">
        <f>IFERROR(__xludf.DUMMYFUNCTION("""COMPUTED_VALUE"""),2917.0)</f>
        <v>2917</v>
      </c>
      <c r="E47" s="1">
        <f>IFERROR(__xludf.DUMMYFUNCTION("""COMPUTED_VALUE"""),2970.2)</f>
        <v>2970.2</v>
      </c>
      <c r="F47" s="1">
        <f>IFERROR(__xludf.DUMMYFUNCTION("""COMPUTED_VALUE"""),619510.0)</f>
        <v>619510</v>
      </c>
    </row>
    <row r="48" ht="15.75" customHeight="1">
      <c r="A48" s="10">
        <f>IFERROR(__xludf.DUMMYFUNCTION("""COMPUTED_VALUE"""),43892.64583333333)</f>
        <v>43892.64583</v>
      </c>
      <c r="B48" s="1">
        <f>IFERROR(__xludf.DUMMYFUNCTION("""COMPUTED_VALUE"""),2995.0)</f>
        <v>2995</v>
      </c>
      <c r="C48" s="1">
        <f>IFERROR(__xludf.DUMMYFUNCTION("""COMPUTED_VALUE"""),3053.95)</f>
        <v>3053.95</v>
      </c>
      <c r="D48" s="1">
        <f>IFERROR(__xludf.DUMMYFUNCTION("""COMPUTED_VALUE"""),2925.0)</f>
        <v>2925</v>
      </c>
      <c r="E48" s="1">
        <f>IFERROR(__xludf.DUMMYFUNCTION("""COMPUTED_VALUE"""),2949.1)</f>
        <v>2949.1</v>
      </c>
      <c r="F48" s="1">
        <f>IFERROR(__xludf.DUMMYFUNCTION("""COMPUTED_VALUE"""),348147.0)</f>
        <v>348147</v>
      </c>
    </row>
    <row r="49" ht="15.75" customHeight="1">
      <c r="A49" s="10">
        <f>IFERROR(__xludf.DUMMYFUNCTION("""COMPUTED_VALUE"""),43893.64583333333)</f>
        <v>43893.64583</v>
      </c>
      <c r="B49" s="1">
        <f>IFERROR(__xludf.DUMMYFUNCTION("""COMPUTED_VALUE"""),2970.0)</f>
        <v>2970</v>
      </c>
      <c r="C49" s="1">
        <f>IFERROR(__xludf.DUMMYFUNCTION("""COMPUTED_VALUE"""),3045.5)</f>
        <v>3045.5</v>
      </c>
      <c r="D49" s="1">
        <f>IFERROR(__xludf.DUMMYFUNCTION("""COMPUTED_VALUE"""),2965.0)</f>
        <v>2965</v>
      </c>
      <c r="E49" s="1">
        <f>IFERROR(__xludf.DUMMYFUNCTION("""COMPUTED_VALUE"""),3026.5)</f>
        <v>3026.5</v>
      </c>
      <c r="F49" s="1">
        <f>IFERROR(__xludf.DUMMYFUNCTION("""COMPUTED_VALUE"""),399770.0)</f>
        <v>399770</v>
      </c>
    </row>
    <row r="50" ht="15.75" customHeight="1">
      <c r="A50" s="10">
        <f>IFERROR(__xludf.DUMMYFUNCTION("""COMPUTED_VALUE"""),43894.64583333333)</f>
        <v>43894.64583</v>
      </c>
      <c r="B50" s="1">
        <f>IFERROR(__xludf.DUMMYFUNCTION("""COMPUTED_VALUE"""),3048.0)</f>
        <v>3048</v>
      </c>
      <c r="C50" s="1">
        <f>IFERROR(__xludf.DUMMYFUNCTION("""COMPUTED_VALUE"""),3080.0)</f>
        <v>3080</v>
      </c>
      <c r="D50" s="1">
        <f>IFERROR(__xludf.DUMMYFUNCTION("""COMPUTED_VALUE"""),3028.0)</f>
        <v>3028</v>
      </c>
      <c r="E50" s="1">
        <f>IFERROR(__xludf.DUMMYFUNCTION("""COMPUTED_VALUE"""),3063.05)</f>
        <v>3063.05</v>
      </c>
      <c r="F50" s="1">
        <f>IFERROR(__xludf.DUMMYFUNCTION("""COMPUTED_VALUE"""),368498.0)</f>
        <v>368498</v>
      </c>
    </row>
    <row r="51" ht="15.75" customHeight="1">
      <c r="A51" s="10">
        <f>IFERROR(__xludf.DUMMYFUNCTION("""COMPUTED_VALUE"""),43895.64583333333)</f>
        <v>43895.64583</v>
      </c>
      <c r="B51" s="1">
        <f>IFERROR(__xludf.DUMMYFUNCTION("""COMPUTED_VALUE"""),3082.6)</f>
        <v>3082.6</v>
      </c>
      <c r="C51" s="1">
        <f>IFERROR(__xludf.DUMMYFUNCTION("""COMPUTED_VALUE"""),3165.0)</f>
        <v>3165</v>
      </c>
      <c r="D51" s="1">
        <f>IFERROR(__xludf.DUMMYFUNCTION("""COMPUTED_VALUE"""),3076.1)</f>
        <v>3076.1</v>
      </c>
      <c r="E51" s="1">
        <f>IFERROR(__xludf.DUMMYFUNCTION("""COMPUTED_VALUE"""),3127.15)</f>
        <v>3127.15</v>
      </c>
      <c r="F51" s="1">
        <f>IFERROR(__xludf.DUMMYFUNCTION("""COMPUTED_VALUE"""),720100.0)</f>
        <v>720100</v>
      </c>
    </row>
    <row r="52" ht="15.75" customHeight="1">
      <c r="A52" s="10">
        <f>IFERROR(__xludf.DUMMYFUNCTION("""COMPUTED_VALUE"""),43896.64583333333)</f>
        <v>43896.64583</v>
      </c>
      <c r="B52" s="1">
        <f>IFERROR(__xludf.DUMMYFUNCTION("""COMPUTED_VALUE"""),3084.9)</f>
        <v>3084.9</v>
      </c>
      <c r="C52" s="1">
        <f>IFERROR(__xludf.DUMMYFUNCTION("""COMPUTED_VALUE"""),3100.0)</f>
        <v>3100</v>
      </c>
      <c r="D52" s="1">
        <f>IFERROR(__xludf.DUMMYFUNCTION("""COMPUTED_VALUE"""),3013.25)</f>
        <v>3013.25</v>
      </c>
      <c r="E52" s="1">
        <f>IFERROR(__xludf.DUMMYFUNCTION("""COMPUTED_VALUE"""),3081.4)</f>
        <v>3081.4</v>
      </c>
      <c r="F52" s="1">
        <f>IFERROR(__xludf.DUMMYFUNCTION("""COMPUTED_VALUE"""),593374.0)</f>
        <v>593374</v>
      </c>
    </row>
    <row r="53" ht="15.75" customHeight="1">
      <c r="A53" s="10">
        <f>IFERROR(__xludf.DUMMYFUNCTION("""COMPUTED_VALUE"""),43899.64583333333)</f>
        <v>43899.64583</v>
      </c>
      <c r="B53" s="1">
        <f>IFERROR(__xludf.DUMMYFUNCTION("""COMPUTED_VALUE"""),3045.0)</f>
        <v>3045</v>
      </c>
      <c r="C53" s="1">
        <f>IFERROR(__xludf.DUMMYFUNCTION("""COMPUTED_VALUE"""),3061.8)</f>
        <v>3061.8</v>
      </c>
      <c r="D53" s="1">
        <f>IFERROR(__xludf.DUMMYFUNCTION("""COMPUTED_VALUE"""),2968.5)</f>
        <v>2968.5</v>
      </c>
      <c r="E53" s="1">
        <f>IFERROR(__xludf.DUMMYFUNCTION("""COMPUTED_VALUE"""),2996.5)</f>
        <v>2996.5</v>
      </c>
      <c r="F53" s="1">
        <f>IFERROR(__xludf.DUMMYFUNCTION("""COMPUTED_VALUE"""),607257.0)</f>
        <v>607257</v>
      </c>
    </row>
    <row r="54" ht="15.75" customHeight="1">
      <c r="A54" s="10">
        <f>IFERROR(__xludf.DUMMYFUNCTION("""COMPUTED_VALUE"""),43901.64583333333)</f>
        <v>43901.64583</v>
      </c>
      <c r="B54" s="1">
        <f>IFERROR(__xludf.DUMMYFUNCTION("""COMPUTED_VALUE"""),2982.2)</f>
        <v>2982.2</v>
      </c>
      <c r="C54" s="1">
        <f>IFERROR(__xludf.DUMMYFUNCTION("""COMPUTED_VALUE"""),3065.9)</f>
        <v>3065.9</v>
      </c>
      <c r="D54" s="1">
        <f>IFERROR(__xludf.DUMMYFUNCTION("""COMPUTED_VALUE"""),2944.1)</f>
        <v>2944.1</v>
      </c>
      <c r="E54" s="1">
        <f>IFERROR(__xludf.DUMMYFUNCTION("""COMPUTED_VALUE"""),3048.3)</f>
        <v>3048.3</v>
      </c>
      <c r="F54" s="1">
        <f>IFERROR(__xludf.DUMMYFUNCTION("""COMPUTED_VALUE"""),534597.0)</f>
        <v>534597</v>
      </c>
    </row>
    <row r="55" ht="15.75" customHeight="1">
      <c r="A55" s="10">
        <f>IFERROR(__xludf.DUMMYFUNCTION("""COMPUTED_VALUE"""),43902.64583333333)</f>
        <v>43902.64583</v>
      </c>
      <c r="B55" s="1">
        <f>IFERROR(__xludf.DUMMYFUNCTION("""COMPUTED_VALUE"""),2945.0)</f>
        <v>2945</v>
      </c>
      <c r="C55" s="1">
        <f>IFERROR(__xludf.DUMMYFUNCTION("""COMPUTED_VALUE"""),2968.95)</f>
        <v>2968.95</v>
      </c>
      <c r="D55" s="1">
        <f>IFERROR(__xludf.DUMMYFUNCTION("""COMPUTED_VALUE"""),2785.05)</f>
        <v>2785.05</v>
      </c>
      <c r="E55" s="1">
        <f>IFERROR(__xludf.DUMMYFUNCTION("""COMPUTED_VALUE"""),2810.65)</f>
        <v>2810.65</v>
      </c>
      <c r="F55" s="1">
        <f>IFERROR(__xludf.DUMMYFUNCTION("""COMPUTED_VALUE"""),774263.0)</f>
        <v>774263</v>
      </c>
    </row>
    <row r="56" ht="15.75" customHeight="1">
      <c r="A56" s="10">
        <f>IFERROR(__xludf.DUMMYFUNCTION("""COMPUTED_VALUE"""),43903.64583333333)</f>
        <v>43903.64583</v>
      </c>
      <c r="B56" s="1">
        <f>IFERROR(__xludf.DUMMYFUNCTION("""COMPUTED_VALUE"""),2700.0)</f>
        <v>2700</v>
      </c>
      <c r="C56" s="1">
        <f>IFERROR(__xludf.DUMMYFUNCTION("""COMPUTED_VALUE"""),3049.9)</f>
        <v>3049.9</v>
      </c>
      <c r="D56" s="1">
        <f>IFERROR(__xludf.DUMMYFUNCTION("""COMPUTED_VALUE"""),2410.0)</f>
        <v>2410</v>
      </c>
      <c r="E56" s="1">
        <f>IFERROR(__xludf.DUMMYFUNCTION("""COMPUTED_VALUE"""),2763.6)</f>
        <v>2763.6</v>
      </c>
      <c r="F56" s="1">
        <f>IFERROR(__xludf.DUMMYFUNCTION("""COMPUTED_VALUE"""),1108162.0)</f>
        <v>1108162</v>
      </c>
    </row>
    <row r="57" ht="15.75" customHeight="1">
      <c r="A57" s="10">
        <f>IFERROR(__xludf.DUMMYFUNCTION("""COMPUTED_VALUE"""),43906.64583333333)</f>
        <v>43906.64583</v>
      </c>
      <c r="B57" s="1">
        <f>IFERROR(__xludf.DUMMYFUNCTION("""COMPUTED_VALUE"""),2704.8)</f>
        <v>2704.8</v>
      </c>
      <c r="C57" s="1">
        <f>IFERROR(__xludf.DUMMYFUNCTION("""COMPUTED_VALUE"""),2744.65)</f>
        <v>2744.65</v>
      </c>
      <c r="D57" s="1">
        <f>IFERROR(__xludf.DUMMYFUNCTION("""COMPUTED_VALUE"""),2602.05)</f>
        <v>2602.05</v>
      </c>
      <c r="E57" s="1">
        <f>IFERROR(__xludf.DUMMYFUNCTION("""COMPUTED_VALUE"""),2709.0)</f>
        <v>2709</v>
      </c>
      <c r="F57" s="1">
        <f>IFERROR(__xludf.DUMMYFUNCTION("""COMPUTED_VALUE"""),791034.0)</f>
        <v>791034</v>
      </c>
    </row>
    <row r="58" ht="15.75" customHeight="1">
      <c r="A58" s="10">
        <f>IFERROR(__xludf.DUMMYFUNCTION("""COMPUTED_VALUE"""),43907.64583333333)</f>
        <v>43907.64583</v>
      </c>
      <c r="B58" s="1">
        <f>IFERROR(__xludf.DUMMYFUNCTION("""COMPUTED_VALUE"""),2720.0)</f>
        <v>2720</v>
      </c>
      <c r="C58" s="1">
        <f>IFERROR(__xludf.DUMMYFUNCTION("""COMPUTED_VALUE"""),2795.75)</f>
        <v>2795.75</v>
      </c>
      <c r="D58" s="1">
        <f>IFERROR(__xludf.DUMMYFUNCTION("""COMPUTED_VALUE"""),2669.05)</f>
        <v>2669.05</v>
      </c>
      <c r="E58" s="1">
        <f>IFERROR(__xludf.DUMMYFUNCTION("""COMPUTED_VALUE"""),2686.0)</f>
        <v>2686</v>
      </c>
      <c r="F58" s="1">
        <f>IFERROR(__xludf.DUMMYFUNCTION("""COMPUTED_VALUE"""),567266.0)</f>
        <v>567266</v>
      </c>
    </row>
    <row r="59" ht="15.75" customHeight="1">
      <c r="A59" s="10">
        <f>IFERROR(__xludf.DUMMYFUNCTION("""COMPUTED_VALUE"""),43908.64583333333)</f>
        <v>43908.64583</v>
      </c>
      <c r="B59" s="1">
        <f>IFERROR(__xludf.DUMMYFUNCTION("""COMPUTED_VALUE"""),2728.0)</f>
        <v>2728</v>
      </c>
      <c r="C59" s="1">
        <f>IFERROR(__xludf.DUMMYFUNCTION("""COMPUTED_VALUE"""),2744.95)</f>
        <v>2744.95</v>
      </c>
      <c r="D59" s="1">
        <f>IFERROR(__xludf.DUMMYFUNCTION("""COMPUTED_VALUE"""),2480.0)</f>
        <v>2480</v>
      </c>
      <c r="E59" s="1">
        <f>IFERROR(__xludf.DUMMYFUNCTION("""COMPUTED_VALUE"""),2501.95)</f>
        <v>2501.95</v>
      </c>
      <c r="F59" s="1">
        <f>IFERROR(__xludf.DUMMYFUNCTION("""COMPUTED_VALUE"""),649481.0)</f>
        <v>649481</v>
      </c>
    </row>
    <row r="60" ht="15.75" customHeight="1">
      <c r="A60" s="10">
        <f>IFERROR(__xludf.DUMMYFUNCTION("""COMPUTED_VALUE"""),43909.64583333333)</f>
        <v>43909.64583</v>
      </c>
      <c r="B60" s="1">
        <f>IFERROR(__xludf.DUMMYFUNCTION("""COMPUTED_VALUE"""),2389.0)</f>
        <v>2389</v>
      </c>
      <c r="C60" s="1">
        <f>IFERROR(__xludf.DUMMYFUNCTION("""COMPUTED_VALUE"""),2404.0)</f>
        <v>2404</v>
      </c>
      <c r="D60" s="1">
        <f>IFERROR(__xludf.DUMMYFUNCTION("""COMPUTED_VALUE"""),2260.0)</f>
        <v>2260</v>
      </c>
      <c r="E60" s="1">
        <f>IFERROR(__xludf.DUMMYFUNCTION("""COMPUTED_VALUE"""),2318.15)</f>
        <v>2318.15</v>
      </c>
      <c r="F60" s="1">
        <f>IFERROR(__xludf.DUMMYFUNCTION("""COMPUTED_VALUE"""),786857.0)</f>
        <v>786857</v>
      </c>
    </row>
    <row r="61" ht="15.75" customHeight="1">
      <c r="A61" s="10">
        <f>IFERROR(__xludf.DUMMYFUNCTION("""COMPUTED_VALUE"""),43910.64583333333)</f>
        <v>43910.64583</v>
      </c>
      <c r="B61" s="1">
        <f>IFERROR(__xludf.DUMMYFUNCTION("""COMPUTED_VALUE"""),2341.3)</f>
        <v>2341.3</v>
      </c>
      <c r="C61" s="1">
        <f>IFERROR(__xludf.DUMMYFUNCTION("""COMPUTED_VALUE"""),2500.9)</f>
        <v>2500.9</v>
      </c>
      <c r="D61" s="1">
        <f>IFERROR(__xludf.DUMMYFUNCTION("""COMPUTED_VALUE"""),2294.25)</f>
        <v>2294.25</v>
      </c>
      <c r="E61" s="1">
        <f>IFERROR(__xludf.DUMMYFUNCTION("""COMPUTED_VALUE"""),2467.8)</f>
        <v>2467.8</v>
      </c>
      <c r="F61" s="1">
        <f>IFERROR(__xludf.DUMMYFUNCTION("""COMPUTED_VALUE"""),742455.0)</f>
        <v>742455</v>
      </c>
    </row>
    <row r="62" ht="15.75" customHeight="1">
      <c r="A62" s="10">
        <f>IFERROR(__xludf.DUMMYFUNCTION("""COMPUTED_VALUE"""),43913.64583333333)</f>
        <v>43913.64583</v>
      </c>
      <c r="B62" s="1">
        <f>IFERROR(__xludf.DUMMYFUNCTION("""COMPUTED_VALUE"""),2300.0)</f>
        <v>2300</v>
      </c>
      <c r="C62" s="1">
        <f>IFERROR(__xludf.DUMMYFUNCTION("""COMPUTED_VALUE"""),2422.4)</f>
        <v>2422.4</v>
      </c>
      <c r="D62" s="1">
        <f>IFERROR(__xludf.DUMMYFUNCTION("""COMPUTED_VALUE"""),2100.0)</f>
        <v>2100</v>
      </c>
      <c r="E62" s="1">
        <f>IFERROR(__xludf.DUMMYFUNCTION("""COMPUTED_VALUE"""),2137.85)</f>
        <v>2137.85</v>
      </c>
      <c r="F62" s="1">
        <f>IFERROR(__xludf.DUMMYFUNCTION("""COMPUTED_VALUE"""),613493.0)</f>
        <v>613493</v>
      </c>
    </row>
    <row r="63" ht="15.75" customHeight="1">
      <c r="A63" s="10">
        <f>IFERROR(__xludf.DUMMYFUNCTION("""COMPUTED_VALUE"""),43914.64583333333)</f>
        <v>43914.64583</v>
      </c>
      <c r="B63" s="1">
        <f>IFERROR(__xludf.DUMMYFUNCTION("""COMPUTED_VALUE"""),2117.0)</f>
        <v>2117</v>
      </c>
      <c r="C63" s="1">
        <f>IFERROR(__xludf.DUMMYFUNCTION("""COMPUTED_VALUE"""),2450.0)</f>
        <v>2450</v>
      </c>
      <c r="D63" s="1">
        <f>IFERROR(__xludf.DUMMYFUNCTION("""COMPUTED_VALUE"""),2111.9)</f>
        <v>2111.9</v>
      </c>
      <c r="E63" s="1">
        <f>IFERROR(__xludf.DUMMYFUNCTION("""COMPUTED_VALUE"""),2364.7)</f>
        <v>2364.7</v>
      </c>
      <c r="F63" s="1">
        <f>IFERROR(__xludf.DUMMYFUNCTION("""COMPUTED_VALUE"""),929170.0)</f>
        <v>929170</v>
      </c>
    </row>
    <row r="64" ht="15.75" customHeight="1">
      <c r="A64" s="10">
        <f>IFERROR(__xludf.DUMMYFUNCTION("""COMPUTED_VALUE"""),43915.64583333333)</f>
        <v>43915.64583</v>
      </c>
      <c r="B64" s="1">
        <f>IFERROR(__xludf.DUMMYFUNCTION("""COMPUTED_VALUE"""),2364.6)</f>
        <v>2364.6</v>
      </c>
      <c r="C64" s="1">
        <f>IFERROR(__xludf.DUMMYFUNCTION("""COMPUTED_VALUE"""),2511.6)</f>
        <v>2511.6</v>
      </c>
      <c r="D64" s="1">
        <f>IFERROR(__xludf.DUMMYFUNCTION("""COMPUTED_VALUE"""),2317.1)</f>
        <v>2317.1</v>
      </c>
      <c r="E64" s="1">
        <f>IFERROR(__xludf.DUMMYFUNCTION("""COMPUTED_VALUE"""),2451.4)</f>
        <v>2451.4</v>
      </c>
      <c r="F64" s="1">
        <f>IFERROR(__xludf.DUMMYFUNCTION("""COMPUTED_VALUE"""),1249005.0)</f>
        <v>1249005</v>
      </c>
    </row>
    <row r="65" ht="15.75" customHeight="1">
      <c r="A65" s="10">
        <f>IFERROR(__xludf.DUMMYFUNCTION("""COMPUTED_VALUE"""),43916.64583333333)</f>
        <v>43916.64583</v>
      </c>
      <c r="B65" s="1">
        <f>IFERROR(__xludf.DUMMYFUNCTION("""COMPUTED_VALUE"""),2471.55)</f>
        <v>2471.55</v>
      </c>
      <c r="C65" s="1">
        <f>IFERROR(__xludf.DUMMYFUNCTION("""COMPUTED_VALUE"""),2668.8)</f>
        <v>2668.8</v>
      </c>
      <c r="D65" s="1">
        <f>IFERROR(__xludf.DUMMYFUNCTION("""COMPUTED_VALUE"""),2417.3)</f>
        <v>2417.3</v>
      </c>
      <c r="E65" s="1">
        <f>IFERROR(__xludf.DUMMYFUNCTION("""COMPUTED_VALUE"""),2588.45)</f>
        <v>2588.45</v>
      </c>
      <c r="F65" s="1">
        <f>IFERROR(__xludf.DUMMYFUNCTION("""COMPUTED_VALUE"""),944116.0)</f>
        <v>944116</v>
      </c>
    </row>
    <row r="66" ht="15.75" customHeight="1">
      <c r="A66" s="10">
        <f>IFERROR(__xludf.DUMMYFUNCTION("""COMPUTED_VALUE"""),43917.64583333333)</f>
        <v>43917.64583</v>
      </c>
      <c r="B66" s="1">
        <f>IFERROR(__xludf.DUMMYFUNCTION("""COMPUTED_VALUE"""),2690.0)</f>
        <v>2690</v>
      </c>
      <c r="C66" s="1">
        <f>IFERROR(__xludf.DUMMYFUNCTION("""COMPUTED_VALUE"""),2708.95)</f>
        <v>2708.95</v>
      </c>
      <c r="D66" s="1">
        <f>IFERROR(__xludf.DUMMYFUNCTION("""COMPUTED_VALUE"""),2505.0)</f>
        <v>2505</v>
      </c>
      <c r="E66" s="1">
        <f>IFERROR(__xludf.DUMMYFUNCTION("""COMPUTED_VALUE"""),2529.25)</f>
        <v>2529.25</v>
      </c>
      <c r="F66" s="1">
        <f>IFERROR(__xludf.DUMMYFUNCTION("""COMPUTED_VALUE"""),472582.0)</f>
        <v>472582</v>
      </c>
    </row>
    <row r="67" ht="15.75" customHeight="1">
      <c r="A67" s="10">
        <f>IFERROR(__xludf.DUMMYFUNCTION("""COMPUTED_VALUE"""),43920.64583333333)</f>
        <v>43920.64583</v>
      </c>
      <c r="B67" s="1">
        <f>IFERROR(__xludf.DUMMYFUNCTION("""COMPUTED_VALUE"""),2465.25)</f>
        <v>2465.25</v>
      </c>
      <c r="C67" s="1">
        <f>IFERROR(__xludf.DUMMYFUNCTION("""COMPUTED_VALUE"""),2579.35)</f>
        <v>2579.35</v>
      </c>
      <c r="D67" s="1">
        <f>IFERROR(__xludf.DUMMYFUNCTION("""COMPUTED_VALUE"""),2442.75)</f>
        <v>2442.75</v>
      </c>
      <c r="E67" s="1">
        <f>IFERROR(__xludf.DUMMYFUNCTION("""COMPUTED_VALUE"""),2473.75)</f>
        <v>2473.75</v>
      </c>
      <c r="F67" s="1">
        <f>IFERROR(__xludf.DUMMYFUNCTION("""COMPUTED_VALUE"""),701815.0)</f>
        <v>701815</v>
      </c>
    </row>
    <row r="68" ht="15.75" customHeight="1">
      <c r="A68" s="10">
        <f>IFERROR(__xludf.DUMMYFUNCTION("""COMPUTED_VALUE"""),43921.64583333333)</f>
        <v>43921.64583</v>
      </c>
      <c r="B68" s="1">
        <f>IFERROR(__xludf.DUMMYFUNCTION("""COMPUTED_VALUE"""),2579.95)</f>
        <v>2579.95</v>
      </c>
      <c r="C68" s="1">
        <f>IFERROR(__xludf.DUMMYFUNCTION("""COMPUTED_VALUE"""),2710.0)</f>
        <v>2710</v>
      </c>
      <c r="D68" s="1">
        <f>IFERROR(__xludf.DUMMYFUNCTION("""COMPUTED_VALUE"""),2490.0)</f>
        <v>2490</v>
      </c>
      <c r="E68" s="1">
        <f>IFERROR(__xludf.DUMMYFUNCTION("""COMPUTED_VALUE"""),2688.95)</f>
        <v>2688.95</v>
      </c>
      <c r="F68" s="1">
        <f>IFERROR(__xludf.DUMMYFUNCTION("""COMPUTED_VALUE"""),734769.0)</f>
        <v>734769</v>
      </c>
    </row>
    <row r="69" ht="15.75" customHeight="1">
      <c r="A69" s="10">
        <f>IFERROR(__xludf.DUMMYFUNCTION("""COMPUTED_VALUE"""),43922.64583333333)</f>
        <v>43922.64583</v>
      </c>
      <c r="B69" s="1">
        <f>IFERROR(__xludf.DUMMYFUNCTION("""COMPUTED_VALUE"""),2700.0)</f>
        <v>2700</v>
      </c>
      <c r="C69" s="1">
        <f>IFERROR(__xludf.DUMMYFUNCTION("""COMPUTED_VALUE"""),2780.0)</f>
        <v>2780</v>
      </c>
      <c r="D69" s="1">
        <f>IFERROR(__xludf.DUMMYFUNCTION("""COMPUTED_VALUE"""),2505.0)</f>
        <v>2505</v>
      </c>
      <c r="E69" s="1">
        <f>IFERROR(__xludf.DUMMYFUNCTION("""COMPUTED_VALUE"""),2564.85)</f>
        <v>2564.85</v>
      </c>
      <c r="F69" s="1">
        <f>IFERROR(__xludf.DUMMYFUNCTION("""COMPUTED_VALUE"""),1167150.0)</f>
        <v>1167150</v>
      </c>
    </row>
    <row r="70" ht="15.75" customHeight="1">
      <c r="A70" s="10">
        <f>IFERROR(__xludf.DUMMYFUNCTION("""COMPUTED_VALUE"""),43924.64583333333)</f>
        <v>43924.64583</v>
      </c>
      <c r="B70" s="1">
        <f>IFERROR(__xludf.DUMMYFUNCTION("""COMPUTED_VALUE"""),2588.95)</f>
        <v>2588.95</v>
      </c>
      <c r="C70" s="1">
        <f>IFERROR(__xludf.DUMMYFUNCTION("""COMPUTED_VALUE"""),2610.0)</f>
        <v>2610</v>
      </c>
      <c r="D70" s="1">
        <f>IFERROR(__xludf.DUMMYFUNCTION("""COMPUTED_VALUE"""),2475.0)</f>
        <v>2475</v>
      </c>
      <c r="E70" s="1">
        <f>IFERROR(__xludf.DUMMYFUNCTION("""COMPUTED_VALUE"""),2563.25)</f>
        <v>2563.25</v>
      </c>
      <c r="F70" s="1">
        <f>IFERROR(__xludf.DUMMYFUNCTION("""COMPUTED_VALUE"""),726903.0)</f>
        <v>726903</v>
      </c>
    </row>
    <row r="71" ht="15.75" customHeight="1">
      <c r="A71" s="10">
        <f>IFERROR(__xludf.DUMMYFUNCTION("""COMPUTED_VALUE"""),43928.64583333333)</f>
        <v>43928.64583</v>
      </c>
      <c r="B71" s="1">
        <f>IFERROR(__xludf.DUMMYFUNCTION("""COMPUTED_VALUE"""),2640.15)</f>
        <v>2640.15</v>
      </c>
      <c r="C71" s="1">
        <f>IFERROR(__xludf.DUMMYFUNCTION("""COMPUTED_VALUE"""),2878.7)</f>
        <v>2878.7</v>
      </c>
      <c r="D71" s="1">
        <f>IFERROR(__xludf.DUMMYFUNCTION("""COMPUTED_VALUE"""),2640.15)</f>
        <v>2640.15</v>
      </c>
      <c r="E71" s="1">
        <f>IFERROR(__xludf.DUMMYFUNCTION("""COMPUTED_VALUE"""),2834.5)</f>
        <v>2834.5</v>
      </c>
      <c r="F71" s="1">
        <f>IFERROR(__xludf.DUMMYFUNCTION("""COMPUTED_VALUE"""),1062855.0)</f>
        <v>1062855</v>
      </c>
    </row>
    <row r="72" ht="15.75" customHeight="1">
      <c r="A72" s="10">
        <f>IFERROR(__xludf.DUMMYFUNCTION("""COMPUTED_VALUE"""),43929.64583333333)</f>
        <v>43929.64583</v>
      </c>
      <c r="B72" s="1">
        <f>IFERROR(__xludf.DUMMYFUNCTION("""COMPUTED_VALUE"""),2829.0)</f>
        <v>2829</v>
      </c>
      <c r="C72" s="1">
        <f>IFERROR(__xludf.DUMMYFUNCTION("""COMPUTED_VALUE"""),2990.0)</f>
        <v>2990</v>
      </c>
      <c r="D72" s="1">
        <f>IFERROR(__xludf.DUMMYFUNCTION("""COMPUTED_VALUE"""),2759.0)</f>
        <v>2759</v>
      </c>
      <c r="E72" s="1">
        <f>IFERROR(__xludf.DUMMYFUNCTION("""COMPUTED_VALUE"""),2775.55)</f>
        <v>2775.55</v>
      </c>
      <c r="F72" s="1">
        <f>IFERROR(__xludf.DUMMYFUNCTION("""COMPUTED_VALUE"""),1037961.0)</f>
        <v>1037961</v>
      </c>
    </row>
    <row r="73" ht="15.75" customHeight="1">
      <c r="A73" s="10">
        <f>IFERROR(__xludf.DUMMYFUNCTION("""COMPUTED_VALUE"""),43930.64583333333)</f>
        <v>43930.64583</v>
      </c>
      <c r="B73" s="1">
        <f>IFERROR(__xludf.DUMMYFUNCTION("""COMPUTED_VALUE"""),2850.0)</f>
        <v>2850</v>
      </c>
      <c r="C73" s="1">
        <f>IFERROR(__xludf.DUMMYFUNCTION("""COMPUTED_VALUE"""),2850.0)</f>
        <v>2850</v>
      </c>
      <c r="D73" s="1">
        <f>IFERROR(__xludf.DUMMYFUNCTION("""COMPUTED_VALUE"""),2732.9)</f>
        <v>2732.9</v>
      </c>
      <c r="E73" s="1">
        <f>IFERROR(__xludf.DUMMYFUNCTION("""COMPUTED_VALUE"""),2801.7)</f>
        <v>2801.7</v>
      </c>
      <c r="F73" s="1">
        <f>IFERROR(__xludf.DUMMYFUNCTION("""COMPUTED_VALUE"""),893108.0)</f>
        <v>893108</v>
      </c>
    </row>
    <row r="74" ht="15.75" customHeight="1">
      <c r="A74" s="10">
        <f>IFERROR(__xludf.DUMMYFUNCTION("""COMPUTED_VALUE"""),43934.64583333333)</f>
        <v>43934.64583</v>
      </c>
      <c r="B74" s="1">
        <f>IFERROR(__xludf.DUMMYFUNCTION("""COMPUTED_VALUE"""),2800.0)</f>
        <v>2800</v>
      </c>
      <c r="C74" s="1">
        <f>IFERROR(__xludf.DUMMYFUNCTION("""COMPUTED_VALUE"""),2800.0)</f>
        <v>2800</v>
      </c>
      <c r="D74" s="1">
        <f>IFERROR(__xludf.DUMMYFUNCTION("""COMPUTED_VALUE"""),2697.35)</f>
        <v>2697.35</v>
      </c>
      <c r="E74" s="1">
        <f>IFERROR(__xludf.DUMMYFUNCTION("""COMPUTED_VALUE"""),2706.15)</f>
        <v>2706.15</v>
      </c>
      <c r="F74" s="1">
        <f>IFERROR(__xludf.DUMMYFUNCTION("""COMPUTED_VALUE"""),501533.0)</f>
        <v>501533</v>
      </c>
    </row>
    <row r="75" ht="15.75" customHeight="1">
      <c r="A75" s="10">
        <f>IFERROR(__xludf.DUMMYFUNCTION("""COMPUTED_VALUE"""),43936.64583333333)</f>
        <v>43936.64583</v>
      </c>
      <c r="B75" s="1">
        <f>IFERROR(__xludf.DUMMYFUNCTION("""COMPUTED_VALUE"""),2772.0)</f>
        <v>2772</v>
      </c>
      <c r="C75" s="1">
        <f>IFERROR(__xludf.DUMMYFUNCTION("""COMPUTED_VALUE"""),2908.5)</f>
        <v>2908.5</v>
      </c>
      <c r="D75" s="1">
        <f>IFERROR(__xludf.DUMMYFUNCTION("""COMPUTED_VALUE"""),2754.7)</f>
        <v>2754.7</v>
      </c>
      <c r="E75" s="1">
        <f>IFERROR(__xludf.DUMMYFUNCTION("""COMPUTED_VALUE"""),2837.35)</f>
        <v>2837.35</v>
      </c>
      <c r="F75" s="1">
        <f>IFERROR(__xludf.DUMMYFUNCTION("""COMPUTED_VALUE"""),1011691.0)</f>
        <v>1011691</v>
      </c>
    </row>
    <row r="76" ht="15.75" customHeight="1">
      <c r="A76" s="10">
        <f>IFERROR(__xludf.DUMMYFUNCTION("""COMPUTED_VALUE"""),43937.64583333333)</f>
        <v>43937.64583</v>
      </c>
      <c r="B76" s="1">
        <f>IFERROR(__xludf.DUMMYFUNCTION("""COMPUTED_VALUE"""),2837.5)</f>
        <v>2837.5</v>
      </c>
      <c r="C76" s="1">
        <f>IFERROR(__xludf.DUMMYFUNCTION("""COMPUTED_VALUE"""),2893.95)</f>
        <v>2893.95</v>
      </c>
      <c r="D76" s="1">
        <f>IFERROR(__xludf.DUMMYFUNCTION("""COMPUTED_VALUE"""),2815.0)</f>
        <v>2815</v>
      </c>
      <c r="E76" s="1">
        <f>IFERROR(__xludf.DUMMYFUNCTION("""COMPUTED_VALUE"""),2836.8)</f>
        <v>2836.8</v>
      </c>
      <c r="F76" s="1">
        <f>IFERROR(__xludf.DUMMYFUNCTION("""COMPUTED_VALUE"""),675907.0)</f>
        <v>675907</v>
      </c>
    </row>
    <row r="77" ht="15.75" customHeight="1">
      <c r="A77" s="10">
        <f>IFERROR(__xludf.DUMMYFUNCTION("""COMPUTED_VALUE"""),43938.64583333333)</f>
        <v>43938.64583</v>
      </c>
      <c r="B77" s="1">
        <f>IFERROR(__xludf.DUMMYFUNCTION("""COMPUTED_VALUE"""),2884.0)</f>
        <v>2884</v>
      </c>
      <c r="C77" s="1">
        <f>IFERROR(__xludf.DUMMYFUNCTION("""COMPUTED_VALUE"""),2895.0)</f>
        <v>2895</v>
      </c>
      <c r="D77" s="1">
        <f>IFERROR(__xludf.DUMMYFUNCTION("""COMPUTED_VALUE"""),2802.2)</f>
        <v>2802.2</v>
      </c>
      <c r="E77" s="1">
        <f>IFERROR(__xludf.DUMMYFUNCTION("""COMPUTED_VALUE"""),2832.15)</f>
        <v>2832.15</v>
      </c>
      <c r="F77" s="1">
        <f>IFERROR(__xludf.DUMMYFUNCTION("""COMPUTED_VALUE"""),705271.0)</f>
        <v>705271</v>
      </c>
    </row>
    <row r="78" ht="15.75" customHeight="1">
      <c r="A78" s="10">
        <f>IFERROR(__xludf.DUMMYFUNCTION("""COMPUTED_VALUE"""),43941.64583333333)</f>
        <v>43941.64583</v>
      </c>
      <c r="B78" s="1">
        <f>IFERROR(__xludf.DUMMYFUNCTION("""COMPUTED_VALUE"""),2860.1)</f>
        <v>2860.1</v>
      </c>
      <c r="C78" s="1">
        <f>IFERROR(__xludf.DUMMYFUNCTION("""COMPUTED_VALUE"""),2864.8)</f>
        <v>2864.8</v>
      </c>
      <c r="D78" s="1">
        <f>IFERROR(__xludf.DUMMYFUNCTION("""COMPUTED_VALUE"""),2801.0)</f>
        <v>2801</v>
      </c>
      <c r="E78" s="1">
        <f>IFERROR(__xludf.DUMMYFUNCTION("""COMPUTED_VALUE"""),2833.0)</f>
        <v>2833</v>
      </c>
      <c r="F78" s="1">
        <f>IFERROR(__xludf.DUMMYFUNCTION("""COMPUTED_VALUE"""),667917.0)</f>
        <v>667917</v>
      </c>
    </row>
    <row r="79" ht="15.75" customHeight="1">
      <c r="A79" s="10">
        <f>IFERROR(__xludf.DUMMYFUNCTION("""COMPUTED_VALUE"""),43942.64583333333)</f>
        <v>43942.64583</v>
      </c>
      <c r="B79" s="1">
        <f>IFERROR(__xludf.DUMMYFUNCTION("""COMPUTED_VALUE"""),2779.9)</f>
        <v>2779.9</v>
      </c>
      <c r="C79" s="1">
        <f>IFERROR(__xludf.DUMMYFUNCTION("""COMPUTED_VALUE"""),2906.35)</f>
        <v>2906.35</v>
      </c>
      <c r="D79" s="1">
        <f>IFERROR(__xludf.DUMMYFUNCTION("""COMPUTED_VALUE"""),2733.15)</f>
        <v>2733.15</v>
      </c>
      <c r="E79" s="1">
        <f>IFERROR(__xludf.DUMMYFUNCTION("""COMPUTED_VALUE"""),2863.25)</f>
        <v>2863.25</v>
      </c>
      <c r="F79" s="1">
        <f>IFERROR(__xludf.DUMMYFUNCTION("""COMPUTED_VALUE"""),1129799.0)</f>
        <v>1129799</v>
      </c>
    </row>
    <row r="80" ht="15.75" customHeight="1">
      <c r="A80" s="10">
        <f>IFERROR(__xludf.DUMMYFUNCTION("""COMPUTED_VALUE"""),43943.64583333333)</f>
        <v>43943.64583</v>
      </c>
      <c r="B80" s="1">
        <f>IFERROR(__xludf.DUMMYFUNCTION("""COMPUTED_VALUE"""),2863.0)</f>
        <v>2863</v>
      </c>
      <c r="C80" s="1">
        <f>IFERROR(__xludf.DUMMYFUNCTION("""COMPUTED_VALUE"""),2969.7)</f>
        <v>2969.7</v>
      </c>
      <c r="D80" s="1">
        <f>IFERROR(__xludf.DUMMYFUNCTION("""COMPUTED_VALUE"""),2827.45)</f>
        <v>2827.45</v>
      </c>
      <c r="E80" s="1">
        <f>IFERROR(__xludf.DUMMYFUNCTION("""COMPUTED_VALUE"""),2952.65)</f>
        <v>2952.65</v>
      </c>
      <c r="F80" s="1">
        <f>IFERROR(__xludf.DUMMYFUNCTION("""COMPUTED_VALUE"""),737395.0)</f>
        <v>737395</v>
      </c>
    </row>
    <row r="81" ht="15.75" customHeight="1">
      <c r="A81" s="10">
        <f>IFERROR(__xludf.DUMMYFUNCTION("""COMPUTED_VALUE"""),43944.64583333333)</f>
        <v>43944.64583</v>
      </c>
      <c r="B81" s="1">
        <f>IFERROR(__xludf.DUMMYFUNCTION("""COMPUTED_VALUE"""),2960.0)</f>
        <v>2960</v>
      </c>
      <c r="C81" s="1">
        <f>IFERROR(__xludf.DUMMYFUNCTION("""COMPUTED_VALUE"""),3245.0)</f>
        <v>3245</v>
      </c>
      <c r="D81" s="1">
        <f>IFERROR(__xludf.DUMMYFUNCTION("""COMPUTED_VALUE"""),2918.0)</f>
        <v>2918</v>
      </c>
      <c r="E81" s="1">
        <f>IFERROR(__xludf.DUMMYFUNCTION("""COMPUTED_VALUE"""),2947.4)</f>
        <v>2947.4</v>
      </c>
      <c r="F81" s="1">
        <f>IFERROR(__xludf.DUMMYFUNCTION("""COMPUTED_VALUE"""),3426363.0)</f>
        <v>3426363</v>
      </c>
    </row>
    <row r="82" ht="15.75" customHeight="1">
      <c r="A82" s="10">
        <f>IFERROR(__xludf.DUMMYFUNCTION("""COMPUTED_VALUE"""),43945.64583333333)</f>
        <v>43945.64583</v>
      </c>
      <c r="B82" s="1">
        <f>IFERROR(__xludf.DUMMYFUNCTION("""COMPUTED_VALUE"""),2980.0)</f>
        <v>2980</v>
      </c>
      <c r="C82" s="1">
        <f>IFERROR(__xludf.DUMMYFUNCTION("""COMPUTED_VALUE"""),3122.9)</f>
        <v>3122.9</v>
      </c>
      <c r="D82" s="1">
        <f>IFERROR(__xludf.DUMMYFUNCTION("""COMPUTED_VALUE"""),2956.0)</f>
        <v>2956</v>
      </c>
      <c r="E82" s="1">
        <f>IFERROR(__xludf.DUMMYFUNCTION("""COMPUTED_VALUE"""),3062.15)</f>
        <v>3062.15</v>
      </c>
      <c r="F82" s="1">
        <f>IFERROR(__xludf.DUMMYFUNCTION("""COMPUTED_VALUE"""),2613797.0)</f>
        <v>2613797</v>
      </c>
    </row>
    <row r="83" ht="15.75" customHeight="1">
      <c r="A83" s="10">
        <f>IFERROR(__xludf.DUMMYFUNCTION("""COMPUTED_VALUE"""),43948.64583333333)</f>
        <v>43948.64583</v>
      </c>
      <c r="B83" s="1">
        <f>IFERROR(__xludf.DUMMYFUNCTION("""COMPUTED_VALUE"""),3075.85)</f>
        <v>3075.85</v>
      </c>
      <c r="C83" s="1">
        <f>IFERROR(__xludf.DUMMYFUNCTION("""COMPUTED_VALUE"""),3290.0)</f>
        <v>3290</v>
      </c>
      <c r="D83" s="1">
        <f>IFERROR(__xludf.DUMMYFUNCTION("""COMPUTED_VALUE"""),3070.0)</f>
        <v>3070</v>
      </c>
      <c r="E83" s="1">
        <f>IFERROR(__xludf.DUMMYFUNCTION("""COMPUTED_VALUE"""),3242.05)</f>
        <v>3242.05</v>
      </c>
      <c r="F83" s="1">
        <f>IFERROR(__xludf.DUMMYFUNCTION("""COMPUTED_VALUE"""),1993378.0)</f>
        <v>1993378</v>
      </c>
    </row>
    <row r="84" ht="15.75" customHeight="1">
      <c r="A84" s="10">
        <f>IFERROR(__xludf.DUMMYFUNCTION("""COMPUTED_VALUE"""),43949.64583333333)</f>
        <v>43949.64583</v>
      </c>
      <c r="B84" s="1">
        <f>IFERROR(__xludf.DUMMYFUNCTION("""COMPUTED_VALUE"""),3277.0)</f>
        <v>3277</v>
      </c>
      <c r="C84" s="1">
        <f>IFERROR(__xludf.DUMMYFUNCTION("""COMPUTED_VALUE"""),3289.85)</f>
        <v>3289.85</v>
      </c>
      <c r="D84" s="1">
        <f>IFERROR(__xludf.DUMMYFUNCTION("""COMPUTED_VALUE"""),3160.0)</f>
        <v>3160</v>
      </c>
      <c r="E84" s="1">
        <f>IFERROR(__xludf.DUMMYFUNCTION("""COMPUTED_VALUE"""),3193.95)</f>
        <v>3193.95</v>
      </c>
      <c r="F84" s="1">
        <f>IFERROR(__xludf.DUMMYFUNCTION("""COMPUTED_VALUE"""),1379063.0)</f>
        <v>1379063</v>
      </c>
    </row>
    <row r="85" ht="15.75" customHeight="1">
      <c r="A85" s="10">
        <f>IFERROR(__xludf.DUMMYFUNCTION("""COMPUTED_VALUE"""),43950.64583333333)</f>
        <v>43950.64583</v>
      </c>
      <c r="B85" s="1">
        <f>IFERROR(__xludf.DUMMYFUNCTION("""COMPUTED_VALUE"""),3187.8)</f>
        <v>3187.8</v>
      </c>
      <c r="C85" s="1">
        <f>IFERROR(__xludf.DUMMYFUNCTION("""COMPUTED_VALUE"""),3238.75)</f>
        <v>3238.75</v>
      </c>
      <c r="D85" s="1">
        <f>IFERROR(__xludf.DUMMYFUNCTION("""COMPUTED_VALUE"""),3150.0)</f>
        <v>3150</v>
      </c>
      <c r="E85" s="1">
        <f>IFERROR(__xludf.DUMMYFUNCTION("""COMPUTED_VALUE"""),3156.8)</f>
        <v>3156.8</v>
      </c>
      <c r="F85" s="1">
        <f>IFERROR(__xludf.DUMMYFUNCTION("""COMPUTED_VALUE"""),1177520.0)</f>
        <v>1177520</v>
      </c>
    </row>
    <row r="86" ht="15.75" customHeight="1">
      <c r="A86" s="10">
        <f>IFERROR(__xludf.DUMMYFUNCTION("""COMPUTED_VALUE"""),43951.64583333333)</f>
        <v>43951.64583</v>
      </c>
      <c r="B86" s="1">
        <f>IFERROR(__xludf.DUMMYFUNCTION("""COMPUTED_VALUE"""),3195.0)</f>
        <v>3195</v>
      </c>
      <c r="C86" s="1">
        <f>IFERROR(__xludf.DUMMYFUNCTION("""COMPUTED_VALUE"""),3205.0)</f>
        <v>3205</v>
      </c>
      <c r="D86" s="1">
        <f>IFERROR(__xludf.DUMMYFUNCTION("""COMPUTED_VALUE"""),3150.0)</f>
        <v>3150</v>
      </c>
      <c r="E86" s="1">
        <f>IFERROR(__xludf.DUMMYFUNCTION("""COMPUTED_VALUE"""),3165.75)</f>
        <v>3165.75</v>
      </c>
      <c r="F86" s="1">
        <f>IFERROR(__xludf.DUMMYFUNCTION("""COMPUTED_VALUE"""),1021592.0)</f>
        <v>1021592</v>
      </c>
    </row>
    <row r="87" ht="15.75" customHeight="1">
      <c r="A87" s="10">
        <f>IFERROR(__xludf.DUMMYFUNCTION("""COMPUTED_VALUE"""),43955.64583333333)</f>
        <v>43955.64583</v>
      </c>
      <c r="B87" s="1">
        <f>IFERROR(__xludf.DUMMYFUNCTION("""COMPUTED_VALUE"""),3109.0)</f>
        <v>3109</v>
      </c>
      <c r="C87" s="1">
        <f>IFERROR(__xludf.DUMMYFUNCTION("""COMPUTED_VALUE"""),3160.0)</f>
        <v>3160</v>
      </c>
      <c r="D87" s="1">
        <f>IFERROR(__xludf.DUMMYFUNCTION("""COMPUTED_VALUE"""),3056.0)</f>
        <v>3056</v>
      </c>
      <c r="E87" s="1">
        <f>IFERROR(__xludf.DUMMYFUNCTION("""COMPUTED_VALUE"""),3092.95)</f>
        <v>3092.95</v>
      </c>
      <c r="F87" s="1">
        <f>IFERROR(__xludf.DUMMYFUNCTION("""COMPUTED_VALUE"""),591353.0)</f>
        <v>591353</v>
      </c>
    </row>
    <row r="88" ht="15.75" customHeight="1">
      <c r="A88" s="10">
        <f>IFERROR(__xludf.DUMMYFUNCTION("""COMPUTED_VALUE"""),43956.64583333333)</f>
        <v>43956.64583</v>
      </c>
      <c r="B88" s="1">
        <f>IFERROR(__xludf.DUMMYFUNCTION("""COMPUTED_VALUE"""),3107.0)</f>
        <v>3107</v>
      </c>
      <c r="C88" s="1">
        <f>IFERROR(__xludf.DUMMYFUNCTION("""COMPUTED_VALUE"""),3126.0)</f>
        <v>3126</v>
      </c>
      <c r="D88" s="1">
        <f>IFERROR(__xludf.DUMMYFUNCTION("""COMPUTED_VALUE"""),2970.5)</f>
        <v>2970.5</v>
      </c>
      <c r="E88" s="1">
        <f>IFERROR(__xludf.DUMMYFUNCTION("""COMPUTED_VALUE"""),2978.75)</f>
        <v>2978.75</v>
      </c>
      <c r="F88" s="1">
        <f>IFERROR(__xludf.DUMMYFUNCTION("""COMPUTED_VALUE"""),905266.0)</f>
        <v>905266</v>
      </c>
    </row>
    <row r="89" ht="15.75" customHeight="1">
      <c r="A89" s="10">
        <f>IFERROR(__xludf.DUMMYFUNCTION("""COMPUTED_VALUE"""),43957.64583333333)</f>
        <v>43957.64583</v>
      </c>
      <c r="B89" s="1">
        <f>IFERROR(__xludf.DUMMYFUNCTION("""COMPUTED_VALUE"""),2950.0)</f>
        <v>2950</v>
      </c>
      <c r="C89" s="1">
        <f>IFERROR(__xludf.DUMMYFUNCTION("""COMPUTED_VALUE"""),3065.0)</f>
        <v>3065</v>
      </c>
      <c r="D89" s="1">
        <f>IFERROR(__xludf.DUMMYFUNCTION("""COMPUTED_VALUE"""),2907.65)</f>
        <v>2907.65</v>
      </c>
      <c r="E89" s="1">
        <f>IFERROR(__xludf.DUMMYFUNCTION("""COMPUTED_VALUE"""),2987.7)</f>
        <v>2987.7</v>
      </c>
      <c r="F89" s="1">
        <f>IFERROR(__xludf.DUMMYFUNCTION("""COMPUTED_VALUE"""),995972.0)</f>
        <v>995972</v>
      </c>
    </row>
    <row r="90" ht="15.75" customHeight="1">
      <c r="A90" s="10">
        <f>IFERROR(__xludf.DUMMYFUNCTION("""COMPUTED_VALUE"""),43958.64583333333)</f>
        <v>43958.64583</v>
      </c>
      <c r="B90" s="1">
        <f>IFERROR(__xludf.DUMMYFUNCTION("""COMPUTED_VALUE"""),2977.7)</f>
        <v>2977.7</v>
      </c>
      <c r="C90" s="1">
        <f>IFERROR(__xludf.DUMMYFUNCTION("""COMPUTED_VALUE"""),2980.0)</f>
        <v>2980</v>
      </c>
      <c r="D90" s="1">
        <f>IFERROR(__xludf.DUMMYFUNCTION("""COMPUTED_VALUE"""),2867.0)</f>
        <v>2867</v>
      </c>
      <c r="E90" s="1">
        <f>IFERROR(__xludf.DUMMYFUNCTION("""COMPUTED_VALUE"""),2915.35)</f>
        <v>2915.35</v>
      </c>
      <c r="F90" s="1">
        <f>IFERROR(__xludf.DUMMYFUNCTION("""COMPUTED_VALUE"""),994651.0)</f>
        <v>994651</v>
      </c>
    </row>
    <row r="91" ht="15.75" customHeight="1">
      <c r="A91" s="10">
        <f>IFERROR(__xludf.DUMMYFUNCTION("""COMPUTED_VALUE"""),43959.64583333333)</f>
        <v>43959.64583</v>
      </c>
      <c r="B91" s="1">
        <f>IFERROR(__xludf.DUMMYFUNCTION("""COMPUTED_VALUE"""),2945.0)</f>
        <v>2945</v>
      </c>
      <c r="C91" s="1">
        <f>IFERROR(__xludf.DUMMYFUNCTION("""COMPUTED_VALUE"""),3037.0)</f>
        <v>3037</v>
      </c>
      <c r="D91" s="1">
        <f>IFERROR(__xludf.DUMMYFUNCTION("""COMPUTED_VALUE"""),2923.45)</f>
        <v>2923.45</v>
      </c>
      <c r="E91" s="1">
        <f>IFERROR(__xludf.DUMMYFUNCTION("""COMPUTED_VALUE"""),2994.65)</f>
        <v>2994.65</v>
      </c>
      <c r="F91" s="1">
        <f>IFERROR(__xludf.DUMMYFUNCTION("""COMPUTED_VALUE"""),1102857.0)</f>
        <v>1102857</v>
      </c>
    </row>
    <row r="92" ht="15.75" customHeight="1">
      <c r="A92" s="10">
        <f>IFERROR(__xludf.DUMMYFUNCTION("""COMPUTED_VALUE"""),43962.64583333333)</f>
        <v>43962.64583</v>
      </c>
      <c r="B92" s="1">
        <f>IFERROR(__xludf.DUMMYFUNCTION("""COMPUTED_VALUE"""),3029.0)</f>
        <v>3029</v>
      </c>
      <c r="C92" s="1">
        <f>IFERROR(__xludf.DUMMYFUNCTION("""COMPUTED_VALUE"""),3083.4)</f>
        <v>3083.4</v>
      </c>
      <c r="D92" s="1">
        <f>IFERROR(__xludf.DUMMYFUNCTION("""COMPUTED_VALUE"""),2991.85)</f>
        <v>2991.85</v>
      </c>
      <c r="E92" s="1">
        <f>IFERROR(__xludf.DUMMYFUNCTION("""COMPUTED_VALUE"""),3053.95)</f>
        <v>3053.95</v>
      </c>
      <c r="F92" s="1">
        <f>IFERROR(__xludf.DUMMYFUNCTION("""COMPUTED_VALUE"""),1095855.0)</f>
        <v>1095855</v>
      </c>
    </row>
    <row r="93" ht="15.75" customHeight="1">
      <c r="A93" s="10">
        <f>IFERROR(__xludf.DUMMYFUNCTION("""COMPUTED_VALUE"""),43963.64583333333)</f>
        <v>43963.64583</v>
      </c>
      <c r="B93" s="1">
        <f>IFERROR(__xludf.DUMMYFUNCTION("""COMPUTED_VALUE"""),3048.95)</f>
        <v>3048.95</v>
      </c>
      <c r="C93" s="1">
        <f>IFERROR(__xludf.DUMMYFUNCTION("""COMPUTED_VALUE"""),3123.2)</f>
        <v>3123.2</v>
      </c>
      <c r="D93" s="1">
        <f>IFERROR(__xludf.DUMMYFUNCTION("""COMPUTED_VALUE"""),3031.3)</f>
        <v>3031.3</v>
      </c>
      <c r="E93" s="1">
        <f>IFERROR(__xludf.DUMMYFUNCTION("""COMPUTED_VALUE"""),3107.3)</f>
        <v>3107.3</v>
      </c>
      <c r="F93" s="1">
        <f>IFERROR(__xludf.DUMMYFUNCTION("""COMPUTED_VALUE"""),1329390.0)</f>
        <v>1329390</v>
      </c>
    </row>
    <row r="94" ht="15.75" customHeight="1">
      <c r="A94" s="10">
        <f>IFERROR(__xludf.DUMMYFUNCTION("""COMPUTED_VALUE"""),43964.64583333333)</f>
        <v>43964.64583</v>
      </c>
      <c r="B94" s="1">
        <f>IFERROR(__xludf.DUMMYFUNCTION("""COMPUTED_VALUE"""),3180.0)</f>
        <v>3180</v>
      </c>
      <c r="C94" s="1">
        <f>IFERROR(__xludf.DUMMYFUNCTION("""COMPUTED_VALUE"""),3188.0)</f>
        <v>3188</v>
      </c>
      <c r="D94" s="1">
        <f>IFERROR(__xludf.DUMMYFUNCTION("""COMPUTED_VALUE"""),3057.5)</f>
        <v>3057.5</v>
      </c>
      <c r="E94" s="1">
        <f>IFERROR(__xludf.DUMMYFUNCTION("""COMPUTED_VALUE"""),3079.55)</f>
        <v>3079.55</v>
      </c>
      <c r="F94" s="1">
        <f>IFERROR(__xludf.DUMMYFUNCTION("""COMPUTED_VALUE"""),850975.0)</f>
        <v>850975</v>
      </c>
    </row>
    <row r="95" ht="15.75" customHeight="1">
      <c r="A95" s="10">
        <f>IFERROR(__xludf.DUMMYFUNCTION("""COMPUTED_VALUE"""),43965.64583333333)</f>
        <v>43965.64583</v>
      </c>
      <c r="B95" s="1">
        <f>IFERROR(__xludf.DUMMYFUNCTION("""COMPUTED_VALUE"""),3065.0)</f>
        <v>3065</v>
      </c>
      <c r="C95" s="1">
        <f>IFERROR(__xludf.DUMMYFUNCTION("""COMPUTED_VALUE"""),3138.0)</f>
        <v>3138</v>
      </c>
      <c r="D95" s="1">
        <f>IFERROR(__xludf.DUMMYFUNCTION("""COMPUTED_VALUE"""),3031.7)</f>
        <v>3031.7</v>
      </c>
      <c r="E95" s="1">
        <f>IFERROR(__xludf.DUMMYFUNCTION("""COMPUTED_VALUE"""),3118.7)</f>
        <v>3118.7</v>
      </c>
      <c r="F95" s="1">
        <f>IFERROR(__xludf.DUMMYFUNCTION("""COMPUTED_VALUE"""),777257.0)</f>
        <v>777257</v>
      </c>
    </row>
    <row r="96" ht="15.75" customHeight="1">
      <c r="A96" s="10">
        <f>IFERROR(__xludf.DUMMYFUNCTION("""COMPUTED_VALUE"""),43966.64583333333)</f>
        <v>43966.64583</v>
      </c>
      <c r="B96" s="1">
        <f>IFERROR(__xludf.DUMMYFUNCTION("""COMPUTED_VALUE"""),3146.9)</f>
        <v>3146.9</v>
      </c>
      <c r="C96" s="1">
        <f>IFERROR(__xludf.DUMMYFUNCTION("""COMPUTED_VALUE"""),3196.0)</f>
        <v>3196</v>
      </c>
      <c r="D96" s="1">
        <f>IFERROR(__xludf.DUMMYFUNCTION("""COMPUTED_VALUE"""),3115.0)</f>
        <v>3115</v>
      </c>
      <c r="E96" s="1">
        <f>IFERROR(__xludf.DUMMYFUNCTION("""COMPUTED_VALUE"""),3125.65)</f>
        <v>3125.65</v>
      </c>
      <c r="F96" s="1">
        <f>IFERROR(__xludf.DUMMYFUNCTION("""COMPUTED_VALUE"""),870248.0)</f>
        <v>870248</v>
      </c>
    </row>
    <row r="97" ht="15.75" customHeight="1">
      <c r="A97" s="10">
        <f>IFERROR(__xludf.DUMMYFUNCTION("""COMPUTED_VALUE"""),43969.64583333333)</f>
        <v>43969.64583</v>
      </c>
      <c r="B97" s="1">
        <f>IFERROR(__xludf.DUMMYFUNCTION("""COMPUTED_VALUE"""),3110.0)</f>
        <v>3110</v>
      </c>
      <c r="C97" s="1">
        <f>IFERROR(__xludf.DUMMYFUNCTION("""COMPUTED_VALUE"""),3165.0)</f>
        <v>3165</v>
      </c>
      <c r="D97" s="1">
        <f>IFERROR(__xludf.DUMMYFUNCTION("""COMPUTED_VALUE"""),3098.1)</f>
        <v>3098.1</v>
      </c>
      <c r="E97" s="1">
        <f>IFERROR(__xludf.DUMMYFUNCTION("""COMPUTED_VALUE"""),3109.55)</f>
        <v>3109.55</v>
      </c>
      <c r="F97" s="1">
        <f>IFERROR(__xludf.DUMMYFUNCTION("""COMPUTED_VALUE"""),730350.0)</f>
        <v>730350</v>
      </c>
    </row>
    <row r="98" ht="15.75" customHeight="1">
      <c r="A98" s="10">
        <f>IFERROR(__xludf.DUMMYFUNCTION("""COMPUTED_VALUE"""),43970.64583333333)</f>
        <v>43970.64583</v>
      </c>
      <c r="B98" s="1">
        <f>IFERROR(__xludf.DUMMYFUNCTION("""COMPUTED_VALUE"""),3130.2)</f>
        <v>3130.2</v>
      </c>
      <c r="C98" s="1">
        <f>IFERROR(__xludf.DUMMYFUNCTION("""COMPUTED_VALUE"""),3147.9)</f>
        <v>3147.9</v>
      </c>
      <c r="D98" s="1">
        <f>IFERROR(__xludf.DUMMYFUNCTION("""COMPUTED_VALUE"""),3086.05)</f>
        <v>3086.05</v>
      </c>
      <c r="E98" s="1">
        <f>IFERROR(__xludf.DUMMYFUNCTION("""COMPUTED_VALUE"""),3104.0)</f>
        <v>3104</v>
      </c>
      <c r="F98" s="1">
        <f>IFERROR(__xludf.DUMMYFUNCTION("""COMPUTED_VALUE"""),537217.0)</f>
        <v>537217</v>
      </c>
    </row>
    <row r="99" ht="15.75" customHeight="1">
      <c r="A99" s="10">
        <f>IFERROR(__xludf.DUMMYFUNCTION("""COMPUTED_VALUE"""),43971.64583333333)</f>
        <v>43971.64583</v>
      </c>
      <c r="B99" s="1">
        <f>IFERROR(__xludf.DUMMYFUNCTION("""COMPUTED_VALUE"""),3110.6)</f>
        <v>3110.6</v>
      </c>
      <c r="C99" s="1">
        <f>IFERROR(__xludf.DUMMYFUNCTION("""COMPUTED_VALUE"""),3159.0)</f>
        <v>3159</v>
      </c>
      <c r="D99" s="1">
        <f>IFERROR(__xludf.DUMMYFUNCTION("""COMPUTED_VALUE"""),3106.85)</f>
        <v>3106.85</v>
      </c>
      <c r="E99" s="1">
        <f>IFERROR(__xludf.DUMMYFUNCTION("""COMPUTED_VALUE"""),3127.85)</f>
        <v>3127.85</v>
      </c>
      <c r="F99" s="1">
        <f>IFERROR(__xludf.DUMMYFUNCTION("""COMPUTED_VALUE"""),439150.0)</f>
        <v>439150</v>
      </c>
    </row>
    <row r="100" ht="15.75" customHeight="1">
      <c r="A100" s="10">
        <f>IFERROR(__xludf.DUMMYFUNCTION("""COMPUTED_VALUE"""),43972.64583333333)</f>
        <v>43972.64583</v>
      </c>
      <c r="B100" s="1">
        <f>IFERROR(__xludf.DUMMYFUNCTION("""COMPUTED_VALUE"""),3120.1)</f>
        <v>3120.1</v>
      </c>
      <c r="C100" s="1">
        <f>IFERROR(__xludf.DUMMYFUNCTION("""COMPUTED_VALUE"""),3157.0)</f>
        <v>3157</v>
      </c>
      <c r="D100" s="1">
        <f>IFERROR(__xludf.DUMMYFUNCTION("""COMPUTED_VALUE"""),3099.0)</f>
        <v>3099</v>
      </c>
      <c r="E100" s="1">
        <f>IFERROR(__xludf.DUMMYFUNCTION("""COMPUTED_VALUE"""),3110.95)</f>
        <v>3110.95</v>
      </c>
      <c r="F100" s="1">
        <f>IFERROR(__xludf.DUMMYFUNCTION("""COMPUTED_VALUE"""),574325.0)</f>
        <v>574325</v>
      </c>
    </row>
    <row r="101" ht="15.75" customHeight="1">
      <c r="A101" s="10">
        <f>IFERROR(__xludf.DUMMYFUNCTION("""COMPUTED_VALUE"""),43973.64583333333)</f>
        <v>43973.64583</v>
      </c>
      <c r="B101" s="1">
        <f>IFERROR(__xludf.DUMMYFUNCTION("""COMPUTED_VALUE"""),3104.0)</f>
        <v>3104</v>
      </c>
      <c r="C101" s="1">
        <f>IFERROR(__xludf.DUMMYFUNCTION("""COMPUTED_VALUE"""),3184.2)</f>
        <v>3184.2</v>
      </c>
      <c r="D101" s="1">
        <f>IFERROR(__xludf.DUMMYFUNCTION("""COMPUTED_VALUE"""),3080.0)</f>
        <v>3080</v>
      </c>
      <c r="E101" s="1">
        <f>IFERROR(__xludf.DUMMYFUNCTION("""COMPUTED_VALUE"""),3167.1)</f>
        <v>3167.1</v>
      </c>
      <c r="F101" s="1">
        <f>IFERROR(__xludf.DUMMYFUNCTION("""COMPUTED_VALUE"""),630580.0)</f>
        <v>630580</v>
      </c>
    </row>
    <row r="102" ht="15.75" customHeight="1">
      <c r="A102" s="10">
        <f>IFERROR(__xludf.DUMMYFUNCTION("""COMPUTED_VALUE"""),43977.64583333333)</f>
        <v>43977.64583</v>
      </c>
      <c r="B102" s="1">
        <f>IFERROR(__xludf.DUMMYFUNCTION("""COMPUTED_VALUE"""),3200.0)</f>
        <v>3200</v>
      </c>
      <c r="C102" s="1">
        <f>IFERROR(__xludf.DUMMYFUNCTION("""COMPUTED_VALUE"""),3244.0)</f>
        <v>3244</v>
      </c>
      <c r="D102" s="1">
        <f>IFERROR(__xludf.DUMMYFUNCTION("""COMPUTED_VALUE"""),3141.0)</f>
        <v>3141</v>
      </c>
      <c r="E102" s="1">
        <f>IFERROR(__xludf.DUMMYFUNCTION("""COMPUTED_VALUE"""),3163.85)</f>
        <v>3163.85</v>
      </c>
      <c r="F102" s="1">
        <f>IFERROR(__xludf.DUMMYFUNCTION("""COMPUTED_VALUE"""),718134.0)</f>
        <v>718134</v>
      </c>
    </row>
    <row r="103" ht="15.75" customHeight="1">
      <c r="A103" s="10">
        <f>IFERROR(__xludf.DUMMYFUNCTION("""COMPUTED_VALUE"""),43978.64583333333)</f>
        <v>43978.64583</v>
      </c>
      <c r="B103" s="1">
        <f>IFERROR(__xludf.DUMMYFUNCTION("""COMPUTED_VALUE"""),3170.0)</f>
        <v>3170</v>
      </c>
      <c r="C103" s="1">
        <f>IFERROR(__xludf.DUMMYFUNCTION("""COMPUTED_VALUE"""),3238.95)</f>
        <v>3238.95</v>
      </c>
      <c r="D103" s="1">
        <f>IFERROR(__xludf.DUMMYFUNCTION("""COMPUTED_VALUE"""),3141.0)</f>
        <v>3141</v>
      </c>
      <c r="E103" s="1">
        <f>IFERROR(__xludf.DUMMYFUNCTION("""COMPUTED_VALUE"""),3220.3)</f>
        <v>3220.3</v>
      </c>
      <c r="F103" s="1">
        <f>IFERROR(__xludf.DUMMYFUNCTION("""COMPUTED_VALUE"""),739328.0)</f>
        <v>739328</v>
      </c>
    </row>
    <row r="104" ht="15.75" customHeight="1">
      <c r="A104" s="10">
        <f>IFERROR(__xludf.DUMMYFUNCTION("""COMPUTED_VALUE"""),43979.64583333333)</f>
        <v>43979.64583</v>
      </c>
      <c r="B104" s="1">
        <f>IFERROR(__xludf.DUMMYFUNCTION("""COMPUTED_VALUE"""),3217.5)</f>
        <v>3217.5</v>
      </c>
      <c r="C104" s="1">
        <f>IFERROR(__xludf.DUMMYFUNCTION("""COMPUTED_VALUE"""),3363.25)</f>
        <v>3363.25</v>
      </c>
      <c r="D104" s="1">
        <f>IFERROR(__xludf.DUMMYFUNCTION("""COMPUTED_VALUE"""),3189.35)</f>
        <v>3189.35</v>
      </c>
      <c r="E104" s="1">
        <f>IFERROR(__xludf.DUMMYFUNCTION("""COMPUTED_VALUE"""),3323.25)</f>
        <v>3323.25</v>
      </c>
      <c r="F104" s="1">
        <f>IFERROR(__xludf.DUMMYFUNCTION("""COMPUTED_VALUE"""),1453514.0)</f>
        <v>1453514</v>
      </c>
    </row>
    <row r="105" ht="15.75" customHeight="1">
      <c r="A105" s="10">
        <f>IFERROR(__xludf.DUMMYFUNCTION("""COMPUTED_VALUE"""),43980.64583333333)</f>
        <v>43980.64583</v>
      </c>
      <c r="B105" s="1">
        <f>IFERROR(__xludf.DUMMYFUNCTION("""COMPUTED_VALUE"""),3289.9)</f>
        <v>3289.9</v>
      </c>
      <c r="C105" s="1">
        <f>IFERROR(__xludf.DUMMYFUNCTION("""COMPUTED_VALUE"""),3417.0)</f>
        <v>3417</v>
      </c>
      <c r="D105" s="1">
        <f>IFERROR(__xludf.DUMMYFUNCTION("""COMPUTED_VALUE"""),3289.9)</f>
        <v>3289.9</v>
      </c>
      <c r="E105" s="1">
        <f>IFERROR(__xludf.DUMMYFUNCTION("""COMPUTED_VALUE"""),3378.85)</f>
        <v>3378.85</v>
      </c>
      <c r="F105" s="1">
        <f>IFERROR(__xludf.DUMMYFUNCTION("""COMPUTED_VALUE"""),1658714.0)</f>
        <v>1658714</v>
      </c>
    </row>
    <row r="106" ht="15.75" customHeight="1">
      <c r="A106" s="10">
        <f>IFERROR(__xludf.DUMMYFUNCTION("""COMPUTED_VALUE"""),43983.64583333333)</f>
        <v>43983.64583</v>
      </c>
      <c r="B106" s="1">
        <f>IFERROR(__xludf.DUMMYFUNCTION("""COMPUTED_VALUE"""),3416.0)</f>
        <v>3416</v>
      </c>
      <c r="C106" s="1">
        <f>IFERROR(__xludf.DUMMYFUNCTION("""COMPUTED_VALUE"""),3470.0)</f>
        <v>3470</v>
      </c>
      <c r="D106" s="1">
        <f>IFERROR(__xludf.DUMMYFUNCTION("""COMPUTED_VALUE"""),3401.0)</f>
        <v>3401</v>
      </c>
      <c r="E106" s="1">
        <f>IFERROR(__xludf.DUMMYFUNCTION("""COMPUTED_VALUE"""),3434.85)</f>
        <v>3434.85</v>
      </c>
      <c r="F106" s="1">
        <f>IFERROR(__xludf.DUMMYFUNCTION("""COMPUTED_VALUE"""),883460.0)</f>
        <v>883460</v>
      </c>
    </row>
    <row r="107" ht="15.75" customHeight="1">
      <c r="A107" s="10">
        <f>IFERROR(__xludf.DUMMYFUNCTION("""COMPUTED_VALUE"""),43984.64583333333)</f>
        <v>43984.64583</v>
      </c>
      <c r="B107" s="1">
        <f>IFERROR(__xludf.DUMMYFUNCTION("""COMPUTED_VALUE"""),3434.9)</f>
        <v>3434.9</v>
      </c>
      <c r="C107" s="1">
        <f>IFERROR(__xludf.DUMMYFUNCTION("""COMPUTED_VALUE"""),3480.0)</f>
        <v>3480</v>
      </c>
      <c r="D107" s="1">
        <f>IFERROR(__xludf.DUMMYFUNCTION("""COMPUTED_VALUE"""),3400.0)</f>
        <v>3400</v>
      </c>
      <c r="E107" s="1">
        <f>IFERROR(__xludf.DUMMYFUNCTION("""COMPUTED_VALUE"""),3451.0)</f>
        <v>3451</v>
      </c>
      <c r="F107" s="1">
        <f>IFERROR(__xludf.DUMMYFUNCTION("""COMPUTED_VALUE"""),786444.0)</f>
        <v>786444</v>
      </c>
    </row>
    <row r="108" ht="15.75" customHeight="1">
      <c r="A108" s="10">
        <f>IFERROR(__xludf.DUMMYFUNCTION("""COMPUTED_VALUE"""),43985.64583333333)</f>
        <v>43985.64583</v>
      </c>
      <c r="B108" s="1">
        <f>IFERROR(__xludf.DUMMYFUNCTION("""COMPUTED_VALUE"""),3601.0)</f>
        <v>3601</v>
      </c>
      <c r="C108" s="1">
        <f>IFERROR(__xludf.DUMMYFUNCTION("""COMPUTED_VALUE"""),3708.0)</f>
        <v>3708</v>
      </c>
      <c r="D108" s="1">
        <f>IFERROR(__xludf.DUMMYFUNCTION("""COMPUTED_VALUE"""),3471.2)</f>
        <v>3471.2</v>
      </c>
      <c r="E108" s="1">
        <f>IFERROR(__xludf.DUMMYFUNCTION("""COMPUTED_VALUE"""),3510.3)</f>
        <v>3510.3</v>
      </c>
      <c r="F108" s="1">
        <f>IFERROR(__xludf.DUMMYFUNCTION("""COMPUTED_VALUE"""),3415126.0)</f>
        <v>3415126</v>
      </c>
    </row>
    <row r="109" ht="15.75" customHeight="1">
      <c r="A109" s="10">
        <f>IFERROR(__xludf.DUMMYFUNCTION("""COMPUTED_VALUE"""),43986.64583333333)</f>
        <v>43986.64583</v>
      </c>
      <c r="B109" s="1">
        <f>IFERROR(__xludf.DUMMYFUNCTION("""COMPUTED_VALUE"""),3510.0)</f>
        <v>3510</v>
      </c>
      <c r="C109" s="1">
        <f>IFERROR(__xludf.DUMMYFUNCTION("""COMPUTED_VALUE"""),3555.0)</f>
        <v>3555</v>
      </c>
      <c r="D109" s="1">
        <f>IFERROR(__xludf.DUMMYFUNCTION("""COMPUTED_VALUE"""),3422.0)</f>
        <v>3422</v>
      </c>
      <c r="E109" s="1">
        <f>IFERROR(__xludf.DUMMYFUNCTION("""COMPUTED_VALUE"""),3450.35)</f>
        <v>3450.35</v>
      </c>
      <c r="F109" s="1">
        <f>IFERROR(__xludf.DUMMYFUNCTION("""COMPUTED_VALUE"""),1309771.0)</f>
        <v>1309771</v>
      </c>
    </row>
    <row r="110" ht="15.75" customHeight="1">
      <c r="A110" s="10">
        <f>IFERROR(__xludf.DUMMYFUNCTION("""COMPUTED_VALUE"""),43987.64583333333)</f>
        <v>43987.64583</v>
      </c>
      <c r="B110" s="1">
        <f>IFERROR(__xludf.DUMMYFUNCTION("""COMPUTED_VALUE"""),3475.0)</f>
        <v>3475</v>
      </c>
      <c r="C110" s="1">
        <f>IFERROR(__xludf.DUMMYFUNCTION("""COMPUTED_VALUE"""),3497.95)</f>
        <v>3497.95</v>
      </c>
      <c r="D110" s="1">
        <f>IFERROR(__xludf.DUMMYFUNCTION("""COMPUTED_VALUE"""),3402.2)</f>
        <v>3402.2</v>
      </c>
      <c r="E110" s="1">
        <f>IFERROR(__xludf.DUMMYFUNCTION("""COMPUTED_VALUE"""),3466.7)</f>
        <v>3466.7</v>
      </c>
      <c r="F110" s="1">
        <f>IFERROR(__xludf.DUMMYFUNCTION("""COMPUTED_VALUE"""),1200548.0)</f>
        <v>1200548</v>
      </c>
    </row>
    <row r="111" ht="15.75" customHeight="1">
      <c r="A111" s="10">
        <f>IFERROR(__xludf.DUMMYFUNCTION("""COMPUTED_VALUE"""),43990.64583333333)</f>
        <v>43990.64583</v>
      </c>
      <c r="B111" s="1">
        <f>IFERROR(__xludf.DUMMYFUNCTION("""COMPUTED_VALUE"""),3486.0)</f>
        <v>3486</v>
      </c>
      <c r="C111" s="1">
        <f>IFERROR(__xludf.DUMMYFUNCTION("""COMPUTED_VALUE"""),3513.25)</f>
        <v>3513.25</v>
      </c>
      <c r="D111" s="1">
        <f>IFERROR(__xludf.DUMMYFUNCTION("""COMPUTED_VALUE"""),3410.0)</f>
        <v>3410</v>
      </c>
      <c r="E111" s="1">
        <f>IFERROR(__xludf.DUMMYFUNCTION("""COMPUTED_VALUE"""),3426.8)</f>
        <v>3426.8</v>
      </c>
      <c r="F111" s="1">
        <f>IFERROR(__xludf.DUMMYFUNCTION("""COMPUTED_VALUE"""),768759.0)</f>
        <v>768759</v>
      </c>
    </row>
    <row r="112" ht="15.75" customHeight="1">
      <c r="A112" s="10">
        <f>IFERROR(__xludf.DUMMYFUNCTION("""COMPUTED_VALUE"""),43991.64583333333)</f>
        <v>43991.64583</v>
      </c>
      <c r="B112" s="1">
        <f>IFERROR(__xludf.DUMMYFUNCTION("""COMPUTED_VALUE"""),3434.9)</f>
        <v>3434.9</v>
      </c>
      <c r="C112" s="1">
        <f>IFERROR(__xludf.DUMMYFUNCTION("""COMPUTED_VALUE"""),3469.9)</f>
        <v>3469.9</v>
      </c>
      <c r="D112" s="1">
        <f>IFERROR(__xludf.DUMMYFUNCTION("""COMPUTED_VALUE"""),3409.0)</f>
        <v>3409</v>
      </c>
      <c r="E112" s="1">
        <f>IFERROR(__xludf.DUMMYFUNCTION("""COMPUTED_VALUE"""),3415.7)</f>
        <v>3415.7</v>
      </c>
      <c r="F112" s="1">
        <f>IFERROR(__xludf.DUMMYFUNCTION("""COMPUTED_VALUE"""),567611.0)</f>
        <v>567611</v>
      </c>
    </row>
    <row r="113" ht="15.75" customHeight="1">
      <c r="A113" s="10">
        <f>IFERROR(__xludf.DUMMYFUNCTION("""COMPUTED_VALUE"""),43992.64583333333)</f>
        <v>43992.64583</v>
      </c>
      <c r="B113" s="1">
        <f>IFERROR(__xludf.DUMMYFUNCTION("""COMPUTED_VALUE"""),3420.9)</f>
        <v>3420.9</v>
      </c>
      <c r="C113" s="1">
        <f>IFERROR(__xludf.DUMMYFUNCTION("""COMPUTED_VALUE"""),3447.6)</f>
        <v>3447.6</v>
      </c>
      <c r="D113" s="1">
        <f>IFERROR(__xludf.DUMMYFUNCTION("""COMPUTED_VALUE"""),3357.4)</f>
        <v>3357.4</v>
      </c>
      <c r="E113" s="1">
        <f>IFERROR(__xludf.DUMMYFUNCTION("""COMPUTED_VALUE"""),3377.0)</f>
        <v>3377</v>
      </c>
      <c r="F113" s="1">
        <f>IFERROR(__xludf.DUMMYFUNCTION("""COMPUTED_VALUE"""),628261.0)</f>
        <v>628261</v>
      </c>
    </row>
    <row r="114" ht="15.75" customHeight="1">
      <c r="A114" s="10">
        <f>IFERROR(__xludf.DUMMYFUNCTION("""COMPUTED_VALUE"""),43993.64583333333)</f>
        <v>43993.64583</v>
      </c>
      <c r="B114" s="1">
        <f>IFERROR(__xludf.DUMMYFUNCTION("""COMPUTED_VALUE"""),3389.9)</f>
        <v>3389.9</v>
      </c>
      <c r="C114" s="1">
        <f>IFERROR(__xludf.DUMMYFUNCTION("""COMPUTED_VALUE"""),3403.45)</f>
        <v>3403.45</v>
      </c>
      <c r="D114" s="1">
        <f>IFERROR(__xludf.DUMMYFUNCTION("""COMPUTED_VALUE"""),3330.0)</f>
        <v>3330</v>
      </c>
      <c r="E114" s="1">
        <f>IFERROR(__xludf.DUMMYFUNCTION("""COMPUTED_VALUE"""),3370.35)</f>
        <v>3370.35</v>
      </c>
      <c r="F114" s="1">
        <f>IFERROR(__xludf.DUMMYFUNCTION("""COMPUTED_VALUE"""),673105.0)</f>
        <v>673105</v>
      </c>
    </row>
    <row r="115" ht="15.75" customHeight="1">
      <c r="A115" s="10">
        <f>IFERROR(__xludf.DUMMYFUNCTION("""COMPUTED_VALUE"""),43994.64583333333)</f>
        <v>43994.64583</v>
      </c>
      <c r="B115" s="1">
        <f>IFERROR(__xludf.DUMMYFUNCTION("""COMPUTED_VALUE"""),3333.0)</f>
        <v>3333</v>
      </c>
      <c r="C115" s="1">
        <f>IFERROR(__xludf.DUMMYFUNCTION("""COMPUTED_VALUE"""),3443.0)</f>
        <v>3443</v>
      </c>
      <c r="D115" s="1">
        <f>IFERROR(__xludf.DUMMYFUNCTION("""COMPUTED_VALUE"""),3305.75)</f>
        <v>3305.75</v>
      </c>
      <c r="E115" s="1">
        <f>IFERROR(__xludf.DUMMYFUNCTION("""COMPUTED_VALUE"""),3366.05)</f>
        <v>3366.05</v>
      </c>
      <c r="F115" s="1">
        <f>IFERROR(__xludf.DUMMYFUNCTION("""COMPUTED_VALUE"""),1373475.0)</f>
        <v>1373475</v>
      </c>
    </row>
    <row r="116" ht="15.75" customHeight="1">
      <c r="A116" s="10">
        <f>IFERROR(__xludf.DUMMYFUNCTION("""COMPUTED_VALUE"""),43997.64583333333)</f>
        <v>43997.64583</v>
      </c>
      <c r="B116" s="1">
        <f>IFERROR(__xludf.DUMMYFUNCTION("""COMPUTED_VALUE"""),3351.0)</f>
        <v>3351</v>
      </c>
      <c r="C116" s="1">
        <f>IFERROR(__xludf.DUMMYFUNCTION("""COMPUTED_VALUE"""),3406.5)</f>
        <v>3406.5</v>
      </c>
      <c r="D116" s="1">
        <f>IFERROR(__xludf.DUMMYFUNCTION("""COMPUTED_VALUE"""),3343.45)</f>
        <v>3343.45</v>
      </c>
      <c r="E116" s="1">
        <f>IFERROR(__xludf.DUMMYFUNCTION("""COMPUTED_VALUE"""),3357.2)</f>
        <v>3357.2</v>
      </c>
      <c r="F116" s="1">
        <f>IFERROR(__xludf.DUMMYFUNCTION("""COMPUTED_VALUE"""),609721.0)</f>
        <v>609721</v>
      </c>
    </row>
    <row r="117" ht="15.75" customHeight="1">
      <c r="A117" s="10">
        <f>IFERROR(__xludf.DUMMYFUNCTION("""COMPUTED_VALUE"""),43998.64583333333)</f>
        <v>43998.64583</v>
      </c>
      <c r="B117" s="1">
        <f>IFERROR(__xludf.DUMMYFUNCTION("""COMPUTED_VALUE"""),3381.05)</f>
        <v>3381.05</v>
      </c>
      <c r="C117" s="1">
        <f>IFERROR(__xludf.DUMMYFUNCTION("""COMPUTED_VALUE"""),3399.95)</f>
        <v>3399.95</v>
      </c>
      <c r="D117" s="1">
        <f>IFERROR(__xludf.DUMMYFUNCTION("""COMPUTED_VALUE"""),3330.0)</f>
        <v>3330</v>
      </c>
      <c r="E117" s="1">
        <f>IFERROR(__xludf.DUMMYFUNCTION("""COMPUTED_VALUE"""),3345.35)</f>
        <v>3345.35</v>
      </c>
      <c r="F117" s="1">
        <f>IFERROR(__xludf.DUMMYFUNCTION("""COMPUTED_VALUE"""),701355.0)</f>
        <v>701355</v>
      </c>
    </row>
    <row r="118" ht="15.75" customHeight="1">
      <c r="A118" s="10">
        <f>IFERROR(__xludf.DUMMYFUNCTION("""COMPUTED_VALUE"""),43999.64583333333)</f>
        <v>43999.64583</v>
      </c>
      <c r="B118" s="1">
        <f>IFERROR(__xludf.DUMMYFUNCTION("""COMPUTED_VALUE"""),3357.85)</f>
        <v>3357.85</v>
      </c>
      <c r="C118" s="1">
        <f>IFERROR(__xludf.DUMMYFUNCTION("""COMPUTED_VALUE"""),3435.0)</f>
        <v>3435</v>
      </c>
      <c r="D118" s="1">
        <f>IFERROR(__xludf.DUMMYFUNCTION("""COMPUTED_VALUE"""),3355.05)</f>
        <v>3355.05</v>
      </c>
      <c r="E118" s="1">
        <f>IFERROR(__xludf.DUMMYFUNCTION("""COMPUTED_VALUE"""),3401.45)</f>
        <v>3401.45</v>
      </c>
      <c r="F118" s="1">
        <f>IFERROR(__xludf.DUMMYFUNCTION("""COMPUTED_VALUE"""),1100079.0)</f>
        <v>1100079</v>
      </c>
    </row>
    <row r="119" ht="15.75" customHeight="1">
      <c r="A119" s="10">
        <f>IFERROR(__xludf.DUMMYFUNCTION("""COMPUTED_VALUE"""),44000.64583333333)</f>
        <v>44000.64583</v>
      </c>
      <c r="B119" s="1">
        <f>IFERROR(__xludf.DUMMYFUNCTION("""COMPUTED_VALUE"""),3415.0)</f>
        <v>3415</v>
      </c>
      <c r="C119" s="1">
        <f>IFERROR(__xludf.DUMMYFUNCTION("""COMPUTED_VALUE"""),3457.0)</f>
        <v>3457</v>
      </c>
      <c r="D119" s="1">
        <f>IFERROR(__xludf.DUMMYFUNCTION("""COMPUTED_VALUE"""),3381.55)</f>
        <v>3381.55</v>
      </c>
      <c r="E119" s="1">
        <f>IFERROR(__xludf.DUMMYFUNCTION("""COMPUTED_VALUE"""),3404.25)</f>
        <v>3404.25</v>
      </c>
      <c r="F119" s="1">
        <f>IFERROR(__xludf.DUMMYFUNCTION("""COMPUTED_VALUE"""),898020.0)</f>
        <v>898020</v>
      </c>
    </row>
    <row r="120" ht="15.75" customHeight="1">
      <c r="A120" s="10">
        <f>IFERROR(__xludf.DUMMYFUNCTION("""COMPUTED_VALUE"""),44001.64583333333)</f>
        <v>44001.64583</v>
      </c>
      <c r="B120" s="1">
        <f>IFERROR(__xludf.DUMMYFUNCTION("""COMPUTED_VALUE"""),3417.9)</f>
        <v>3417.9</v>
      </c>
      <c r="C120" s="1">
        <f>IFERROR(__xludf.DUMMYFUNCTION("""COMPUTED_VALUE"""),3450.0)</f>
        <v>3450</v>
      </c>
      <c r="D120" s="1">
        <f>IFERROR(__xludf.DUMMYFUNCTION("""COMPUTED_VALUE"""),3382.0)</f>
        <v>3382</v>
      </c>
      <c r="E120" s="1">
        <f>IFERROR(__xludf.DUMMYFUNCTION("""COMPUTED_VALUE"""),3438.55)</f>
        <v>3438.55</v>
      </c>
      <c r="F120" s="1">
        <f>IFERROR(__xludf.DUMMYFUNCTION("""COMPUTED_VALUE"""),782740.0)</f>
        <v>782740</v>
      </c>
    </row>
    <row r="121" ht="15.75" customHeight="1">
      <c r="A121" s="10">
        <f>IFERROR(__xludf.DUMMYFUNCTION("""COMPUTED_VALUE"""),44004.64583333333)</f>
        <v>44004.64583</v>
      </c>
      <c r="B121" s="1">
        <f>IFERROR(__xludf.DUMMYFUNCTION("""COMPUTED_VALUE"""),3450.0)</f>
        <v>3450</v>
      </c>
      <c r="C121" s="1">
        <f>IFERROR(__xludf.DUMMYFUNCTION("""COMPUTED_VALUE"""),3475.0)</f>
        <v>3475</v>
      </c>
      <c r="D121" s="1">
        <f>IFERROR(__xludf.DUMMYFUNCTION("""COMPUTED_VALUE"""),3416.0)</f>
        <v>3416</v>
      </c>
      <c r="E121" s="1">
        <f>IFERROR(__xludf.DUMMYFUNCTION("""COMPUTED_VALUE"""),3421.2)</f>
        <v>3421.2</v>
      </c>
      <c r="F121" s="1">
        <f>IFERROR(__xludf.DUMMYFUNCTION("""COMPUTED_VALUE"""),735172.0)</f>
        <v>735172</v>
      </c>
    </row>
    <row r="122" ht="15.75" customHeight="1">
      <c r="A122" s="10">
        <f>IFERROR(__xludf.DUMMYFUNCTION("""COMPUTED_VALUE"""),44005.64583333333)</f>
        <v>44005.64583</v>
      </c>
      <c r="B122" s="1">
        <f>IFERROR(__xludf.DUMMYFUNCTION("""COMPUTED_VALUE"""),3429.95)</f>
        <v>3429.95</v>
      </c>
      <c r="C122" s="1">
        <f>IFERROR(__xludf.DUMMYFUNCTION("""COMPUTED_VALUE"""),3504.9)</f>
        <v>3504.9</v>
      </c>
      <c r="D122" s="1">
        <f>IFERROR(__xludf.DUMMYFUNCTION("""COMPUTED_VALUE"""),3426.3)</f>
        <v>3426.3</v>
      </c>
      <c r="E122" s="1">
        <f>IFERROR(__xludf.DUMMYFUNCTION("""COMPUTED_VALUE"""),3467.05)</f>
        <v>3467.05</v>
      </c>
      <c r="F122" s="1">
        <f>IFERROR(__xludf.DUMMYFUNCTION("""COMPUTED_VALUE"""),765553.0)</f>
        <v>765553</v>
      </c>
    </row>
    <row r="123" ht="15.75" customHeight="1">
      <c r="A123" s="10">
        <f>IFERROR(__xludf.DUMMYFUNCTION("""COMPUTED_VALUE"""),44006.64583333333)</f>
        <v>44006.64583</v>
      </c>
      <c r="B123" s="1">
        <f>IFERROR(__xludf.DUMMYFUNCTION("""COMPUTED_VALUE"""),3487.0)</f>
        <v>3487</v>
      </c>
      <c r="C123" s="1">
        <f>IFERROR(__xludf.DUMMYFUNCTION("""COMPUTED_VALUE"""),3504.9)</f>
        <v>3504.9</v>
      </c>
      <c r="D123" s="1">
        <f>IFERROR(__xludf.DUMMYFUNCTION("""COMPUTED_VALUE"""),3440.0)</f>
        <v>3440</v>
      </c>
      <c r="E123" s="1">
        <f>IFERROR(__xludf.DUMMYFUNCTION("""COMPUTED_VALUE"""),3446.4)</f>
        <v>3446.4</v>
      </c>
      <c r="F123" s="1">
        <f>IFERROR(__xludf.DUMMYFUNCTION("""COMPUTED_VALUE"""),573266.0)</f>
        <v>573266</v>
      </c>
    </row>
    <row r="124" ht="15.75" customHeight="1">
      <c r="A124" s="10">
        <f>IFERROR(__xludf.DUMMYFUNCTION("""COMPUTED_VALUE"""),44007.64583333333)</f>
        <v>44007.64583</v>
      </c>
      <c r="B124" s="1">
        <f>IFERROR(__xludf.DUMMYFUNCTION("""COMPUTED_VALUE"""),3424.9)</f>
        <v>3424.9</v>
      </c>
      <c r="C124" s="1">
        <f>IFERROR(__xludf.DUMMYFUNCTION("""COMPUTED_VALUE"""),3474.4)</f>
        <v>3474.4</v>
      </c>
      <c r="D124" s="1">
        <f>IFERROR(__xludf.DUMMYFUNCTION("""COMPUTED_VALUE"""),3420.0)</f>
        <v>3420</v>
      </c>
      <c r="E124" s="1">
        <f>IFERROR(__xludf.DUMMYFUNCTION("""COMPUTED_VALUE"""),3450.4)</f>
        <v>3450.4</v>
      </c>
      <c r="F124" s="1">
        <f>IFERROR(__xludf.DUMMYFUNCTION("""COMPUTED_VALUE"""),546489.0)</f>
        <v>546489</v>
      </c>
    </row>
    <row r="125" ht="15.75" customHeight="1">
      <c r="A125" s="10">
        <f>IFERROR(__xludf.DUMMYFUNCTION("""COMPUTED_VALUE"""),44008.64583333333)</f>
        <v>44008.64583</v>
      </c>
      <c r="B125" s="1">
        <f>IFERROR(__xludf.DUMMYFUNCTION("""COMPUTED_VALUE"""),3457.3)</f>
        <v>3457.3</v>
      </c>
      <c r="C125" s="1">
        <f>IFERROR(__xludf.DUMMYFUNCTION("""COMPUTED_VALUE"""),3499.9)</f>
        <v>3499.9</v>
      </c>
      <c r="D125" s="1">
        <f>IFERROR(__xludf.DUMMYFUNCTION("""COMPUTED_VALUE"""),3444.3)</f>
        <v>3444.3</v>
      </c>
      <c r="E125" s="1">
        <f>IFERROR(__xludf.DUMMYFUNCTION("""COMPUTED_VALUE"""),3456.4)</f>
        <v>3456.4</v>
      </c>
      <c r="F125" s="1">
        <f>IFERROR(__xludf.DUMMYFUNCTION("""COMPUTED_VALUE"""),448352.0)</f>
        <v>448352</v>
      </c>
    </row>
    <row r="126" ht="15.75" customHeight="1">
      <c r="A126" s="10">
        <f>IFERROR(__xludf.DUMMYFUNCTION("""COMPUTED_VALUE"""),44011.64583333333)</f>
        <v>44011.64583</v>
      </c>
      <c r="B126" s="1">
        <f>IFERROR(__xludf.DUMMYFUNCTION("""COMPUTED_VALUE"""),3452.8)</f>
        <v>3452.8</v>
      </c>
      <c r="C126" s="1">
        <f>IFERROR(__xludf.DUMMYFUNCTION("""COMPUTED_VALUE"""),3544.85)</f>
        <v>3544.85</v>
      </c>
      <c r="D126" s="1">
        <f>IFERROR(__xludf.DUMMYFUNCTION("""COMPUTED_VALUE"""),3445.8)</f>
        <v>3445.8</v>
      </c>
      <c r="E126" s="1">
        <f>IFERROR(__xludf.DUMMYFUNCTION("""COMPUTED_VALUE"""),3519.25)</f>
        <v>3519.25</v>
      </c>
      <c r="F126" s="1">
        <f>IFERROR(__xludf.DUMMYFUNCTION("""COMPUTED_VALUE"""),940186.0)</f>
        <v>940186</v>
      </c>
    </row>
    <row r="127" ht="15.75" customHeight="1">
      <c r="A127" s="10">
        <f>IFERROR(__xludf.DUMMYFUNCTION("""COMPUTED_VALUE"""),44012.64583333333)</f>
        <v>44012.64583</v>
      </c>
      <c r="B127" s="1">
        <f>IFERROR(__xludf.DUMMYFUNCTION("""COMPUTED_VALUE"""),3542.0)</f>
        <v>3542</v>
      </c>
      <c r="C127" s="1">
        <f>IFERROR(__xludf.DUMMYFUNCTION("""COMPUTED_VALUE"""),3615.0)</f>
        <v>3615</v>
      </c>
      <c r="D127" s="1">
        <f>IFERROR(__xludf.DUMMYFUNCTION("""COMPUTED_VALUE"""),3540.0)</f>
        <v>3540</v>
      </c>
      <c r="E127" s="1">
        <f>IFERROR(__xludf.DUMMYFUNCTION("""COMPUTED_VALUE"""),3603.8)</f>
        <v>3603.8</v>
      </c>
      <c r="F127" s="1">
        <f>IFERROR(__xludf.DUMMYFUNCTION("""COMPUTED_VALUE"""),1236537.0)</f>
        <v>1236537</v>
      </c>
    </row>
    <row r="128" ht="15.75" customHeight="1">
      <c r="A128" s="10">
        <f>IFERROR(__xludf.DUMMYFUNCTION("""COMPUTED_VALUE"""),44013.64583333333)</f>
        <v>44013.64583</v>
      </c>
      <c r="B128" s="1">
        <f>IFERROR(__xludf.DUMMYFUNCTION("""COMPUTED_VALUE"""),3605.0)</f>
        <v>3605</v>
      </c>
      <c r="C128" s="1">
        <f>IFERROR(__xludf.DUMMYFUNCTION("""COMPUTED_VALUE"""),3611.0)</f>
        <v>3611</v>
      </c>
      <c r="D128" s="1">
        <f>IFERROR(__xludf.DUMMYFUNCTION("""COMPUTED_VALUE"""),3536.0)</f>
        <v>3536</v>
      </c>
      <c r="E128" s="1">
        <f>IFERROR(__xludf.DUMMYFUNCTION("""COMPUTED_VALUE"""),3545.95)</f>
        <v>3545.95</v>
      </c>
      <c r="F128" s="1">
        <f>IFERROR(__xludf.DUMMYFUNCTION("""COMPUTED_VALUE"""),586225.0)</f>
        <v>586225</v>
      </c>
    </row>
    <row r="129" ht="15.75" customHeight="1">
      <c r="A129" s="10">
        <f>IFERROR(__xludf.DUMMYFUNCTION("""COMPUTED_VALUE"""),44014.64583333333)</f>
        <v>44014.64583</v>
      </c>
      <c r="B129" s="1">
        <f>IFERROR(__xludf.DUMMYFUNCTION("""COMPUTED_VALUE"""),3553.0)</f>
        <v>3553</v>
      </c>
      <c r="C129" s="1">
        <f>IFERROR(__xludf.DUMMYFUNCTION("""COMPUTED_VALUE"""),3567.65)</f>
        <v>3567.65</v>
      </c>
      <c r="D129" s="1">
        <f>IFERROR(__xludf.DUMMYFUNCTION("""COMPUTED_VALUE"""),3512.05)</f>
        <v>3512.05</v>
      </c>
      <c r="E129" s="1">
        <f>IFERROR(__xludf.DUMMYFUNCTION("""COMPUTED_VALUE"""),3535.1)</f>
        <v>3535.1</v>
      </c>
      <c r="F129" s="1">
        <f>IFERROR(__xludf.DUMMYFUNCTION("""COMPUTED_VALUE"""),422319.0)</f>
        <v>422319</v>
      </c>
    </row>
    <row r="130" ht="15.75" customHeight="1">
      <c r="A130" s="10">
        <f>IFERROR(__xludf.DUMMYFUNCTION("""COMPUTED_VALUE"""),44015.64583333333)</f>
        <v>44015.64583</v>
      </c>
      <c r="B130" s="1">
        <f>IFERROR(__xludf.DUMMYFUNCTION("""COMPUTED_VALUE"""),3549.5)</f>
        <v>3549.5</v>
      </c>
      <c r="C130" s="1">
        <f>IFERROR(__xludf.DUMMYFUNCTION("""COMPUTED_VALUE"""),3579.95)</f>
        <v>3579.95</v>
      </c>
      <c r="D130" s="1">
        <f>IFERROR(__xludf.DUMMYFUNCTION("""COMPUTED_VALUE"""),3515.0)</f>
        <v>3515</v>
      </c>
      <c r="E130" s="1">
        <f>IFERROR(__xludf.DUMMYFUNCTION("""COMPUTED_VALUE"""),3538.35)</f>
        <v>3538.35</v>
      </c>
      <c r="F130" s="1">
        <f>IFERROR(__xludf.DUMMYFUNCTION("""COMPUTED_VALUE"""),323231.0)</f>
        <v>323231</v>
      </c>
    </row>
    <row r="131" ht="15.75" customHeight="1">
      <c r="A131" s="10">
        <f>IFERROR(__xludf.DUMMYFUNCTION("""COMPUTED_VALUE"""),44018.64583333333)</f>
        <v>44018.64583</v>
      </c>
      <c r="B131" s="1">
        <f>IFERROR(__xludf.DUMMYFUNCTION("""COMPUTED_VALUE"""),3560.0)</f>
        <v>3560</v>
      </c>
      <c r="C131" s="1">
        <f>IFERROR(__xludf.DUMMYFUNCTION("""COMPUTED_VALUE"""),3646.0)</f>
        <v>3646</v>
      </c>
      <c r="D131" s="1">
        <f>IFERROR(__xludf.DUMMYFUNCTION("""COMPUTED_VALUE"""),3541.0)</f>
        <v>3541</v>
      </c>
      <c r="E131" s="1">
        <f>IFERROR(__xludf.DUMMYFUNCTION("""COMPUTED_VALUE"""),3624.45)</f>
        <v>3624.45</v>
      </c>
      <c r="F131" s="1">
        <f>IFERROR(__xludf.DUMMYFUNCTION("""COMPUTED_VALUE"""),538078.0)</f>
        <v>538078</v>
      </c>
    </row>
    <row r="132" ht="15.75" customHeight="1">
      <c r="A132" s="10">
        <f>IFERROR(__xludf.DUMMYFUNCTION("""COMPUTED_VALUE"""),44019.64583333333)</f>
        <v>44019.64583</v>
      </c>
      <c r="B132" s="1">
        <f>IFERROR(__xludf.DUMMYFUNCTION("""COMPUTED_VALUE"""),3636.0)</f>
        <v>3636</v>
      </c>
      <c r="C132" s="1">
        <f>IFERROR(__xludf.DUMMYFUNCTION("""COMPUTED_VALUE"""),3685.45)</f>
        <v>3685.45</v>
      </c>
      <c r="D132" s="1">
        <f>IFERROR(__xludf.DUMMYFUNCTION("""COMPUTED_VALUE"""),3580.0)</f>
        <v>3580</v>
      </c>
      <c r="E132" s="1">
        <f>IFERROR(__xludf.DUMMYFUNCTION("""COMPUTED_VALUE"""),3678.45)</f>
        <v>3678.45</v>
      </c>
      <c r="F132" s="1">
        <f>IFERROR(__xludf.DUMMYFUNCTION("""COMPUTED_VALUE"""),664348.0)</f>
        <v>664348</v>
      </c>
    </row>
    <row r="133" ht="15.75" customHeight="1">
      <c r="A133" s="10">
        <f>IFERROR(__xludf.DUMMYFUNCTION("""COMPUTED_VALUE"""),44020.64583333333)</f>
        <v>44020.64583</v>
      </c>
      <c r="B133" s="1">
        <f>IFERROR(__xludf.DUMMYFUNCTION("""COMPUTED_VALUE"""),3675.55)</f>
        <v>3675.55</v>
      </c>
      <c r="C133" s="1">
        <f>IFERROR(__xludf.DUMMYFUNCTION("""COMPUTED_VALUE"""),3712.5)</f>
        <v>3712.5</v>
      </c>
      <c r="D133" s="1">
        <f>IFERROR(__xludf.DUMMYFUNCTION("""COMPUTED_VALUE"""),3630.0)</f>
        <v>3630</v>
      </c>
      <c r="E133" s="1">
        <f>IFERROR(__xludf.DUMMYFUNCTION("""COMPUTED_VALUE"""),3685.0)</f>
        <v>3685</v>
      </c>
      <c r="F133" s="1">
        <f>IFERROR(__xludf.DUMMYFUNCTION("""COMPUTED_VALUE"""),531417.0)</f>
        <v>531417</v>
      </c>
    </row>
    <row r="134" ht="15.75" customHeight="1">
      <c r="A134" s="10">
        <f>IFERROR(__xludf.DUMMYFUNCTION("""COMPUTED_VALUE"""),44021.64583333333)</f>
        <v>44021.64583</v>
      </c>
      <c r="B134" s="1">
        <f>IFERROR(__xludf.DUMMYFUNCTION("""COMPUTED_VALUE"""),3690.0)</f>
        <v>3690</v>
      </c>
      <c r="C134" s="1">
        <f>IFERROR(__xludf.DUMMYFUNCTION("""COMPUTED_VALUE"""),3699.0)</f>
        <v>3699</v>
      </c>
      <c r="D134" s="1">
        <f>IFERROR(__xludf.DUMMYFUNCTION("""COMPUTED_VALUE"""),3650.0)</f>
        <v>3650</v>
      </c>
      <c r="E134" s="1">
        <f>IFERROR(__xludf.DUMMYFUNCTION("""COMPUTED_VALUE"""),3673.6)</f>
        <v>3673.6</v>
      </c>
      <c r="F134" s="1">
        <f>IFERROR(__xludf.DUMMYFUNCTION("""COMPUTED_VALUE"""),397351.0)</f>
        <v>397351</v>
      </c>
    </row>
    <row r="135" ht="15.75" customHeight="1">
      <c r="A135" s="10">
        <f>IFERROR(__xludf.DUMMYFUNCTION("""COMPUTED_VALUE"""),44022.64583333333)</f>
        <v>44022.64583</v>
      </c>
      <c r="B135" s="1">
        <f>IFERROR(__xludf.DUMMYFUNCTION("""COMPUTED_VALUE"""),3669.6)</f>
        <v>3669.6</v>
      </c>
      <c r="C135" s="1">
        <f>IFERROR(__xludf.DUMMYFUNCTION("""COMPUTED_VALUE"""),3753.6)</f>
        <v>3753.6</v>
      </c>
      <c r="D135" s="1">
        <f>IFERROR(__xludf.DUMMYFUNCTION("""COMPUTED_VALUE"""),3655.35)</f>
        <v>3655.35</v>
      </c>
      <c r="E135" s="1">
        <f>IFERROR(__xludf.DUMMYFUNCTION("""COMPUTED_VALUE"""),3726.65)</f>
        <v>3726.65</v>
      </c>
      <c r="F135" s="1">
        <f>IFERROR(__xludf.DUMMYFUNCTION("""COMPUTED_VALUE"""),706136.0)</f>
        <v>706136</v>
      </c>
    </row>
    <row r="136" ht="15.75" customHeight="1">
      <c r="A136" s="10">
        <f>IFERROR(__xludf.DUMMYFUNCTION("""COMPUTED_VALUE"""),44025.64583333333)</f>
        <v>44025.64583</v>
      </c>
      <c r="B136" s="1">
        <f>IFERROR(__xludf.DUMMYFUNCTION("""COMPUTED_VALUE"""),3760.0)</f>
        <v>3760</v>
      </c>
      <c r="C136" s="1">
        <f>IFERROR(__xludf.DUMMYFUNCTION("""COMPUTED_VALUE"""),3835.0)</f>
        <v>3835</v>
      </c>
      <c r="D136" s="1">
        <f>IFERROR(__xludf.DUMMYFUNCTION("""COMPUTED_VALUE"""),3750.25)</f>
        <v>3750.25</v>
      </c>
      <c r="E136" s="1">
        <f>IFERROR(__xludf.DUMMYFUNCTION("""COMPUTED_VALUE"""),3796.8)</f>
        <v>3796.8</v>
      </c>
      <c r="F136" s="1">
        <f>IFERROR(__xludf.DUMMYFUNCTION("""COMPUTED_VALUE"""),1108644.0)</f>
        <v>1108644</v>
      </c>
    </row>
    <row r="137" ht="15.75" customHeight="1">
      <c r="A137" s="10">
        <f>IFERROR(__xludf.DUMMYFUNCTION("""COMPUTED_VALUE"""),44026.64583333333)</f>
        <v>44026.64583</v>
      </c>
      <c r="B137" s="1">
        <f>IFERROR(__xludf.DUMMYFUNCTION("""COMPUTED_VALUE"""),3795.55)</f>
        <v>3795.55</v>
      </c>
      <c r="C137" s="1">
        <f>IFERROR(__xludf.DUMMYFUNCTION("""COMPUTED_VALUE"""),3795.95)</f>
        <v>3795.95</v>
      </c>
      <c r="D137" s="1">
        <f>IFERROR(__xludf.DUMMYFUNCTION("""COMPUTED_VALUE"""),3729.0)</f>
        <v>3729</v>
      </c>
      <c r="E137" s="1">
        <f>IFERROR(__xludf.DUMMYFUNCTION("""COMPUTED_VALUE"""),3735.25)</f>
        <v>3735.25</v>
      </c>
      <c r="F137" s="1">
        <f>IFERROR(__xludf.DUMMYFUNCTION("""COMPUTED_VALUE"""),399210.0)</f>
        <v>399210</v>
      </c>
    </row>
    <row r="138" ht="15.75" customHeight="1">
      <c r="A138" s="10">
        <f>IFERROR(__xludf.DUMMYFUNCTION("""COMPUTED_VALUE"""),44027.64583333333)</f>
        <v>44027.64583</v>
      </c>
      <c r="B138" s="1">
        <f>IFERROR(__xludf.DUMMYFUNCTION("""COMPUTED_VALUE"""),3742.0)</f>
        <v>3742</v>
      </c>
      <c r="C138" s="1">
        <f>IFERROR(__xludf.DUMMYFUNCTION("""COMPUTED_VALUE"""),3778.3)</f>
        <v>3778.3</v>
      </c>
      <c r="D138" s="1">
        <f>IFERROR(__xludf.DUMMYFUNCTION("""COMPUTED_VALUE"""),3711.7)</f>
        <v>3711.7</v>
      </c>
      <c r="E138" s="1">
        <f>IFERROR(__xludf.DUMMYFUNCTION("""COMPUTED_VALUE"""),3723.25)</f>
        <v>3723.25</v>
      </c>
      <c r="F138" s="1">
        <f>IFERROR(__xludf.DUMMYFUNCTION("""COMPUTED_VALUE"""),506574.0)</f>
        <v>506574</v>
      </c>
    </row>
    <row r="139" ht="15.75" customHeight="1">
      <c r="A139" s="10">
        <f>IFERROR(__xludf.DUMMYFUNCTION("""COMPUTED_VALUE"""),44028.64583333333)</f>
        <v>44028.64583</v>
      </c>
      <c r="B139" s="1">
        <f>IFERROR(__xludf.DUMMYFUNCTION("""COMPUTED_VALUE"""),3729.0)</f>
        <v>3729</v>
      </c>
      <c r="C139" s="1">
        <f>IFERROR(__xludf.DUMMYFUNCTION("""COMPUTED_VALUE"""),3880.25)</f>
        <v>3880.25</v>
      </c>
      <c r="D139" s="1">
        <f>IFERROR(__xludf.DUMMYFUNCTION("""COMPUTED_VALUE"""),3689.55)</f>
        <v>3689.55</v>
      </c>
      <c r="E139" s="1">
        <f>IFERROR(__xludf.DUMMYFUNCTION("""COMPUTED_VALUE"""),3854.75)</f>
        <v>3854.75</v>
      </c>
      <c r="F139" s="1">
        <f>IFERROR(__xludf.DUMMYFUNCTION("""COMPUTED_VALUE"""),987220.0)</f>
        <v>987220</v>
      </c>
    </row>
    <row r="140" ht="15.75" customHeight="1">
      <c r="A140" s="10">
        <f>IFERROR(__xludf.DUMMYFUNCTION("""COMPUTED_VALUE"""),44029.64583333333)</f>
        <v>44029.64583</v>
      </c>
      <c r="B140" s="1">
        <f>IFERROR(__xludf.DUMMYFUNCTION("""COMPUTED_VALUE"""),3900.0)</f>
        <v>3900</v>
      </c>
      <c r="C140" s="1">
        <f>IFERROR(__xludf.DUMMYFUNCTION("""COMPUTED_VALUE"""),3938.0)</f>
        <v>3938</v>
      </c>
      <c r="D140" s="1">
        <f>IFERROR(__xludf.DUMMYFUNCTION("""COMPUTED_VALUE"""),3766.8)</f>
        <v>3766.8</v>
      </c>
      <c r="E140" s="1">
        <f>IFERROR(__xludf.DUMMYFUNCTION("""COMPUTED_VALUE"""),3785.0)</f>
        <v>3785</v>
      </c>
      <c r="F140" s="1">
        <f>IFERROR(__xludf.DUMMYFUNCTION("""COMPUTED_VALUE"""),4503046.0)</f>
        <v>4503046</v>
      </c>
    </row>
    <row r="141" ht="15.75" customHeight="1">
      <c r="A141" s="10">
        <f>IFERROR(__xludf.DUMMYFUNCTION("""COMPUTED_VALUE"""),44032.64583333333)</f>
        <v>44032.64583</v>
      </c>
      <c r="B141" s="1">
        <f>IFERROR(__xludf.DUMMYFUNCTION("""COMPUTED_VALUE"""),3859.0)</f>
        <v>3859</v>
      </c>
      <c r="C141" s="1">
        <f>IFERROR(__xludf.DUMMYFUNCTION("""COMPUTED_VALUE"""),3993.0)</f>
        <v>3993</v>
      </c>
      <c r="D141" s="1">
        <f>IFERROR(__xludf.DUMMYFUNCTION("""COMPUTED_VALUE"""),3807.2)</f>
        <v>3807.2</v>
      </c>
      <c r="E141" s="1">
        <f>IFERROR(__xludf.DUMMYFUNCTION("""COMPUTED_VALUE"""),3982.65)</f>
        <v>3982.65</v>
      </c>
      <c r="F141" s="1">
        <f>IFERROR(__xludf.DUMMYFUNCTION("""COMPUTED_VALUE"""),3785159.0)</f>
        <v>3785159</v>
      </c>
    </row>
    <row r="142" ht="15.75" customHeight="1">
      <c r="A142" s="10">
        <f>IFERROR(__xludf.DUMMYFUNCTION("""COMPUTED_VALUE"""),44033.64583333333)</f>
        <v>44033.64583</v>
      </c>
      <c r="B142" s="1">
        <f>IFERROR(__xludf.DUMMYFUNCTION("""COMPUTED_VALUE"""),3999.0)</f>
        <v>3999</v>
      </c>
      <c r="C142" s="1">
        <f>IFERROR(__xludf.DUMMYFUNCTION("""COMPUTED_VALUE"""),4010.0)</f>
        <v>4010</v>
      </c>
      <c r="D142" s="1">
        <f>IFERROR(__xludf.DUMMYFUNCTION("""COMPUTED_VALUE"""),3875.0)</f>
        <v>3875</v>
      </c>
      <c r="E142" s="1">
        <f>IFERROR(__xludf.DUMMYFUNCTION("""COMPUTED_VALUE"""),3880.4)</f>
        <v>3880.4</v>
      </c>
      <c r="F142" s="1">
        <f>IFERROR(__xludf.DUMMYFUNCTION("""COMPUTED_VALUE"""),1880670.0)</f>
        <v>1880670</v>
      </c>
    </row>
    <row r="143" ht="15.75" customHeight="1">
      <c r="A143" s="10">
        <f>IFERROR(__xludf.DUMMYFUNCTION("""COMPUTED_VALUE"""),44034.64583333333)</f>
        <v>44034.64583</v>
      </c>
      <c r="B143" s="1">
        <f>IFERROR(__xludf.DUMMYFUNCTION("""COMPUTED_VALUE"""),3914.8)</f>
        <v>3914.8</v>
      </c>
      <c r="C143" s="1">
        <f>IFERROR(__xludf.DUMMYFUNCTION("""COMPUTED_VALUE"""),3924.4)</f>
        <v>3924.4</v>
      </c>
      <c r="D143" s="1">
        <f>IFERROR(__xludf.DUMMYFUNCTION("""COMPUTED_VALUE"""),3791.05)</f>
        <v>3791.05</v>
      </c>
      <c r="E143" s="1">
        <f>IFERROR(__xludf.DUMMYFUNCTION("""COMPUTED_VALUE"""),3805.05)</f>
        <v>3805.05</v>
      </c>
      <c r="F143" s="1">
        <f>IFERROR(__xludf.DUMMYFUNCTION("""COMPUTED_VALUE"""),1019300.0)</f>
        <v>1019300</v>
      </c>
    </row>
    <row r="144" ht="15.75" customHeight="1">
      <c r="A144" s="10">
        <f>IFERROR(__xludf.DUMMYFUNCTION("""COMPUTED_VALUE"""),44035.64583333333)</f>
        <v>44035.64583</v>
      </c>
      <c r="B144" s="1">
        <f>IFERROR(__xludf.DUMMYFUNCTION("""COMPUTED_VALUE"""),3825.0)</f>
        <v>3825</v>
      </c>
      <c r="C144" s="1">
        <f>IFERROR(__xludf.DUMMYFUNCTION("""COMPUTED_VALUE"""),3879.75)</f>
        <v>3879.75</v>
      </c>
      <c r="D144" s="1">
        <f>IFERROR(__xludf.DUMMYFUNCTION("""COMPUTED_VALUE"""),3820.0)</f>
        <v>3820</v>
      </c>
      <c r="E144" s="1">
        <f>IFERROR(__xludf.DUMMYFUNCTION("""COMPUTED_VALUE"""),3827.6)</f>
        <v>3827.6</v>
      </c>
      <c r="F144" s="1">
        <f>IFERROR(__xludf.DUMMYFUNCTION("""COMPUTED_VALUE"""),791770.0)</f>
        <v>791770</v>
      </c>
    </row>
    <row r="145" ht="15.75" customHeight="1">
      <c r="A145" s="10">
        <f>IFERROR(__xludf.DUMMYFUNCTION("""COMPUTED_VALUE"""),44036.64583333333)</f>
        <v>44036.64583</v>
      </c>
      <c r="B145" s="1">
        <f>IFERROR(__xludf.DUMMYFUNCTION("""COMPUTED_VALUE"""),3824.95)</f>
        <v>3824.95</v>
      </c>
      <c r="C145" s="1">
        <f>IFERROR(__xludf.DUMMYFUNCTION("""COMPUTED_VALUE"""),3849.9)</f>
        <v>3849.9</v>
      </c>
      <c r="D145" s="1">
        <f>IFERROR(__xludf.DUMMYFUNCTION("""COMPUTED_VALUE"""),3768.0)</f>
        <v>3768</v>
      </c>
      <c r="E145" s="1">
        <f>IFERROR(__xludf.DUMMYFUNCTION("""COMPUTED_VALUE"""),3818.45)</f>
        <v>3818.45</v>
      </c>
      <c r="F145" s="1">
        <f>IFERROR(__xludf.DUMMYFUNCTION("""COMPUTED_VALUE"""),665233.0)</f>
        <v>665233</v>
      </c>
    </row>
    <row r="146" ht="15.75" customHeight="1">
      <c r="A146" s="10">
        <f>IFERROR(__xludf.DUMMYFUNCTION("""COMPUTED_VALUE"""),44039.64583333333)</f>
        <v>44039.64583</v>
      </c>
      <c r="B146" s="1">
        <f>IFERROR(__xludf.DUMMYFUNCTION("""COMPUTED_VALUE"""),3845.0)</f>
        <v>3845</v>
      </c>
      <c r="C146" s="1">
        <f>IFERROR(__xludf.DUMMYFUNCTION("""COMPUTED_VALUE"""),3846.6)</f>
        <v>3846.6</v>
      </c>
      <c r="D146" s="1">
        <f>IFERROR(__xludf.DUMMYFUNCTION("""COMPUTED_VALUE"""),3762.4)</f>
        <v>3762.4</v>
      </c>
      <c r="E146" s="1">
        <f>IFERROR(__xludf.DUMMYFUNCTION("""COMPUTED_VALUE"""),3777.35)</f>
        <v>3777.35</v>
      </c>
      <c r="F146" s="1">
        <f>IFERROR(__xludf.DUMMYFUNCTION("""COMPUTED_VALUE"""),523512.0)</f>
        <v>523512</v>
      </c>
    </row>
    <row r="147" ht="15.75" customHeight="1">
      <c r="A147" s="10">
        <f>IFERROR(__xludf.DUMMYFUNCTION("""COMPUTED_VALUE"""),44040.64583333333)</f>
        <v>44040.64583</v>
      </c>
      <c r="B147" s="1">
        <f>IFERROR(__xludf.DUMMYFUNCTION("""COMPUTED_VALUE"""),3780.3)</f>
        <v>3780.3</v>
      </c>
      <c r="C147" s="1">
        <f>IFERROR(__xludf.DUMMYFUNCTION("""COMPUTED_VALUE"""),3830.0)</f>
        <v>3830</v>
      </c>
      <c r="D147" s="1">
        <f>IFERROR(__xludf.DUMMYFUNCTION("""COMPUTED_VALUE"""),3763.35)</f>
        <v>3763.35</v>
      </c>
      <c r="E147" s="1">
        <f>IFERROR(__xludf.DUMMYFUNCTION("""COMPUTED_VALUE"""),3774.75)</f>
        <v>3774.75</v>
      </c>
      <c r="F147" s="1">
        <f>IFERROR(__xludf.DUMMYFUNCTION("""COMPUTED_VALUE"""),599914.0)</f>
        <v>599914</v>
      </c>
    </row>
    <row r="148" ht="15.75" customHeight="1">
      <c r="A148" s="10">
        <f>IFERROR(__xludf.DUMMYFUNCTION("""COMPUTED_VALUE"""),44041.64583333333)</f>
        <v>44041.64583</v>
      </c>
      <c r="B148" s="1">
        <f>IFERROR(__xludf.DUMMYFUNCTION("""COMPUTED_VALUE"""),3797.7)</f>
        <v>3797.7</v>
      </c>
      <c r="C148" s="1">
        <f>IFERROR(__xludf.DUMMYFUNCTION("""COMPUTED_VALUE"""),3853.0)</f>
        <v>3853</v>
      </c>
      <c r="D148" s="1">
        <f>IFERROR(__xludf.DUMMYFUNCTION("""COMPUTED_VALUE"""),3780.0)</f>
        <v>3780</v>
      </c>
      <c r="E148" s="1">
        <f>IFERROR(__xludf.DUMMYFUNCTION("""COMPUTED_VALUE"""),3794.7)</f>
        <v>3794.7</v>
      </c>
      <c r="F148" s="1">
        <f>IFERROR(__xludf.DUMMYFUNCTION("""COMPUTED_VALUE"""),785425.0)</f>
        <v>785425</v>
      </c>
    </row>
    <row r="149" ht="15.75" customHeight="1">
      <c r="A149" s="10">
        <f>IFERROR(__xludf.DUMMYFUNCTION("""COMPUTED_VALUE"""),44042.64583333333)</f>
        <v>44042.64583</v>
      </c>
      <c r="B149" s="1">
        <f>IFERROR(__xludf.DUMMYFUNCTION("""COMPUTED_VALUE"""),3818.4)</f>
        <v>3818.4</v>
      </c>
      <c r="C149" s="1">
        <f>IFERROR(__xludf.DUMMYFUNCTION("""COMPUTED_VALUE"""),3874.4)</f>
        <v>3874.4</v>
      </c>
      <c r="D149" s="1">
        <f>IFERROR(__xludf.DUMMYFUNCTION("""COMPUTED_VALUE"""),3790.5)</f>
        <v>3790.5</v>
      </c>
      <c r="E149" s="1">
        <f>IFERROR(__xludf.DUMMYFUNCTION("""COMPUTED_VALUE"""),3805.95)</f>
        <v>3805.95</v>
      </c>
      <c r="F149" s="1">
        <f>IFERROR(__xludf.DUMMYFUNCTION("""COMPUTED_VALUE"""),855542.0)</f>
        <v>855542</v>
      </c>
    </row>
    <row r="150" ht="15.75" customHeight="1">
      <c r="A150" s="10">
        <f>IFERROR(__xludf.DUMMYFUNCTION("""COMPUTED_VALUE"""),44043.64583333333)</f>
        <v>44043.64583</v>
      </c>
      <c r="B150" s="1">
        <f>IFERROR(__xludf.DUMMYFUNCTION("""COMPUTED_VALUE"""),3811.0)</f>
        <v>3811</v>
      </c>
      <c r="C150" s="1">
        <f>IFERROR(__xludf.DUMMYFUNCTION("""COMPUTED_VALUE"""),3860.0)</f>
        <v>3860</v>
      </c>
      <c r="D150" s="1">
        <f>IFERROR(__xludf.DUMMYFUNCTION("""COMPUTED_VALUE"""),3801.1)</f>
        <v>3801.1</v>
      </c>
      <c r="E150" s="1">
        <f>IFERROR(__xludf.DUMMYFUNCTION("""COMPUTED_VALUE"""),3823.6)</f>
        <v>3823.6</v>
      </c>
      <c r="F150" s="1">
        <f>IFERROR(__xludf.DUMMYFUNCTION("""COMPUTED_VALUE"""),681895.0)</f>
        <v>681895</v>
      </c>
    </row>
    <row r="151" ht="15.75" customHeight="1">
      <c r="A151" s="10">
        <f>IFERROR(__xludf.DUMMYFUNCTION("""COMPUTED_VALUE"""),44046.64583333333)</f>
        <v>44046.64583</v>
      </c>
      <c r="B151" s="1">
        <f>IFERROR(__xludf.DUMMYFUNCTION("""COMPUTED_VALUE"""),3827.0)</f>
        <v>3827</v>
      </c>
      <c r="C151" s="1">
        <f>IFERROR(__xludf.DUMMYFUNCTION("""COMPUTED_VALUE"""),3849.9)</f>
        <v>3849.9</v>
      </c>
      <c r="D151" s="1">
        <f>IFERROR(__xludf.DUMMYFUNCTION("""COMPUTED_VALUE"""),3768.1)</f>
        <v>3768.1</v>
      </c>
      <c r="E151" s="1">
        <f>IFERROR(__xludf.DUMMYFUNCTION("""COMPUTED_VALUE"""),3776.2)</f>
        <v>3776.2</v>
      </c>
      <c r="F151" s="1">
        <f>IFERROR(__xludf.DUMMYFUNCTION("""COMPUTED_VALUE"""),369180.0)</f>
        <v>369180</v>
      </c>
    </row>
    <row r="152" ht="15.75" customHeight="1">
      <c r="A152" s="10">
        <f>IFERROR(__xludf.DUMMYFUNCTION("""COMPUTED_VALUE"""),44047.64583333333)</f>
        <v>44047.64583</v>
      </c>
      <c r="B152" s="1">
        <f>IFERROR(__xludf.DUMMYFUNCTION("""COMPUTED_VALUE"""),3800.0)</f>
        <v>3800</v>
      </c>
      <c r="C152" s="1">
        <f>IFERROR(__xludf.DUMMYFUNCTION("""COMPUTED_VALUE"""),3855.0)</f>
        <v>3855</v>
      </c>
      <c r="D152" s="1">
        <f>IFERROR(__xludf.DUMMYFUNCTION("""COMPUTED_VALUE"""),3785.0)</f>
        <v>3785</v>
      </c>
      <c r="E152" s="1">
        <f>IFERROR(__xludf.DUMMYFUNCTION("""COMPUTED_VALUE"""),3817.6)</f>
        <v>3817.6</v>
      </c>
      <c r="F152" s="1">
        <f>IFERROR(__xludf.DUMMYFUNCTION("""COMPUTED_VALUE"""),642559.0)</f>
        <v>642559</v>
      </c>
    </row>
    <row r="153" ht="15.75" customHeight="1">
      <c r="A153" s="10">
        <f>IFERROR(__xludf.DUMMYFUNCTION("""COMPUTED_VALUE"""),44048.64583333333)</f>
        <v>44048.64583</v>
      </c>
      <c r="B153" s="1">
        <f>IFERROR(__xludf.DUMMYFUNCTION("""COMPUTED_VALUE"""),3839.9)</f>
        <v>3839.9</v>
      </c>
      <c r="C153" s="1">
        <f>IFERROR(__xludf.DUMMYFUNCTION("""COMPUTED_VALUE"""),3873.55)</f>
        <v>3873.55</v>
      </c>
      <c r="D153" s="1">
        <f>IFERROR(__xludf.DUMMYFUNCTION("""COMPUTED_VALUE"""),3827.95)</f>
        <v>3827.95</v>
      </c>
      <c r="E153" s="1">
        <f>IFERROR(__xludf.DUMMYFUNCTION("""COMPUTED_VALUE"""),3849.95)</f>
        <v>3849.95</v>
      </c>
      <c r="F153" s="1">
        <f>IFERROR(__xludf.DUMMYFUNCTION("""COMPUTED_VALUE"""),569216.0)</f>
        <v>569216</v>
      </c>
    </row>
    <row r="154" ht="15.75" customHeight="1">
      <c r="A154" s="10">
        <f>IFERROR(__xludf.DUMMYFUNCTION("""COMPUTED_VALUE"""),44049.64583333333)</f>
        <v>44049.64583</v>
      </c>
      <c r="B154" s="1">
        <f>IFERROR(__xludf.DUMMYFUNCTION("""COMPUTED_VALUE"""),3865.0)</f>
        <v>3865</v>
      </c>
      <c r="C154" s="1">
        <f>IFERROR(__xludf.DUMMYFUNCTION("""COMPUTED_VALUE"""),3912.0)</f>
        <v>3912</v>
      </c>
      <c r="D154" s="1">
        <f>IFERROR(__xludf.DUMMYFUNCTION("""COMPUTED_VALUE"""),3845.0)</f>
        <v>3845</v>
      </c>
      <c r="E154" s="1">
        <f>IFERROR(__xludf.DUMMYFUNCTION("""COMPUTED_VALUE"""),3857.65)</f>
        <v>3857.65</v>
      </c>
      <c r="F154" s="1">
        <f>IFERROR(__xludf.DUMMYFUNCTION("""COMPUTED_VALUE"""),786063.0)</f>
        <v>786063</v>
      </c>
    </row>
    <row r="155" ht="15.75" customHeight="1">
      <c r="A155" s="10">
        <f>IFERROR(__xludf.DUMMYFUNCTION("""COMPUTED_VALUE"""),44050.64583333333)</f>
        <v>44050.64583</v>
      </c>
      <c r="B155" s="1">
        <f>IFERROR(__xludf.DUMMYFUNCTION("""COMPUTED_VALUE"""),3865.0)</f>
        <v>3865</v>
      </c>
      <c r="C155" s="1">
        <f>IFERROR(__xludf.DUMMYFUNCTION("""COMPUTED_VALUE"""),3945.0)</f>
        <v>3945</v>
      </c>
      <c r="D155" s="1">
        <f>IFERROR(__xludf.DUMMYFUNCTION("""COMPUTED_VALUE"""),3850.0)</f>
        <v>3850</v>
      </c>
      <c r="E155" s="1">
        <f>IFERROR(__xludf.DUMMYFUNCTION("""COMPUTED_VALUE"""),3934.8)</f>
        <v>3934.8</v>
      </c>
      <c r="F155" s="1">
        <f>IFERROR(__xludf.DUMMYFUNCTION("""COMPUTED_VALUE"""),1061884.0)</f>
        <v>1061884</v>
      </c>
    </row>
    <row r="156" ht="15.75" customHeight="1">
      <c r="A156" s="10">
        <f>IFERROR(__xludf.DUMMYFUNCTION("""COMPUTED_VALUE"""),44053.64583333333)</f>
        <v>44053.64583</v>
      </c>
      <c r="B156" s="1">
        <f>IFERROR(__xludf.DUMMYFUNCTION("""COMPUTED_VALUE"""),3959.95)</f>
        <v>3959.95</v>
      </c>
      <c r="C156" s="1">
        <f>IFERROR(__xludf.DUMMYFUNCTION("""COMPUTED_VALUE"""),4005.0)</f>
        <v>4005</v>
      </c>
      <c r="D156" s="1">
        <f>IFERROR(__xludf.DUMMYFUNCTION("""COMPUTED_VALUE"""),3929.0)</f>
        <v>3929</v>
      </c>
      <c r="E156" s="1">
        <f>IFERROR(__xludf.DUMMYFUNCTION("""COMPUTED_VALUE"""),3942.8)</f>
        <v>3942.8</v>
      </c>
      <c r="F156" s="1">
        <f>IFERROR(__xludf.DUMMYFUNCTION("""COMPUTED_VALUE"""),826722.0)</f>
        <v>826722</v>
      </c>
    </row>
    <row r="157" ht="15.75" customHeight="1">
      <c r="A157" s="10">
        <f>IFERROR(__xludf.DUMMYFUNCTION("""COMPUTED_VALUE"""),44054.64583333333)</f>
        <v>44054.64583</v>
      </c>
      <c r="B157" s="1">
        <f>IFERROR(__xludf.DUMMYFUNCTION("""COMPUTED_VALUE"""),3950.0)</f>
        <v>3950</v>
      </c>
      <c r="C157" s="1">
        <f>IFERROR(__xludf.DUMMYFUNCTION("""COMPUTED_VALUE"""),3970.0)</f>
        <v>3970</v>
      </c>
      <c r="D157" s="1">
        <f>IFERROR(__xludf.DUMMYFUNCTION("""COMPUTED_VALUE"""),3865.0)</f>
        <v>3865</v>
      </c>
      <c r="E157" s="1">
        <f>IFERROR(__xludf.DUMMYFUNCTION("""COMPUTED_VALUE"""),3879.55)</f>
        <v>3879.55</v>
      </c>
      <c r="F157" s="1">
        <f>IFERROR(__xludf.DUMMYFUNCTION("""COMPUTED_VALUE"""),422055.0)</f>
        <v>422055</v>
      </c>
    </row>
    <row r="158" ht="15.75" customHeight="1">
      <c r="A158" s="10">
        <f>IFERROR(__xludf.DUMMYFUNCTION("""COMPUTED_VALUE"""),44055.64583333333)</f>
        <v>44055.64583</v>
      </c>
      <c r="B158" s="1">
        <f>IFERROR(__xludf.DUMMYFUNCTION("""COMPUTED_VALUE"""),3880.55)</f>
        <v>3880.55</v>
      </c>
      <c r="C158" s="1">
        <f>IFERROR(__xludf.DUMMYFUNCTION("""COMPUTED_VALUE"""),3885.0)</f>
        <v>3885</v>
      </c>
      <c r="D158" s="1">
        <f>IFERROR(__xludf.DUMMYFUNCTION("""COMPUTED_VALUE"""),3800.0)</f>
        <v>3800</v>
      </c>
      <c r="E158" s="1">
        <f>IFERROR(__xludf.DUMMYFUNCTION("""COMPUTED_VALUE"""),3809.75)</f>
        <v>3809.75</v>
      </c>
      <c r="F158" s="1">
        <f>IFERROR(__xludf.DUMMYFUNCTION("""COMPUTED_VALUE"""),619436.0)</f>
        <v>619436</v>
      </c>
    </row>
    <row r="159" ht="15.75" customHeight="1">
      <c r="A159" s="10">
        <f>IFERROR(__xludf.DUMMYFUNCTION("""COMPUTED_VALUE"""),44056.64583333333)</f>
        <v>44056.64583</v>
      </c>
      <c r="B159" s="1">
        <f>IFERROR(__xludf.DUMMYFUNCTION("""COMPUTED_VALUE"""),3823.8)</f>
        <v>3823.8</v>
      </c>
      <c r="C159" s="1">
        <f>IFERROR(__xludf.DUMMYFUNCTION("""COMPUTED_VALUE"""),3857.85)</f>
        <v>3857.85</v>
      </c>
      <c r="D159" s="1">
        <f>IFERROR(__xludf.DUMMYFUNCTION("""COMPUTED_VALUE"""),3792.05)</f>
        <v>3792.05</v>
      </c>
      <c r="E159" s="1">
        <f>IFERROR(__xludf.DUMMYFUNCTION("""COMPUTED_VALUE"""),3808.25)</f>
        <v>3808.25</v>
      </c>
      <c r="F159" s="1">
        <f>IFERROR(__xludf.DUMMYFUNCTION("""COMPUTED_VALUE"""),513264.0)</f>
        <v>513264</v>
      </c>
    </row>
    <row r="160" ht="15.75" customHeight="1">
      <c r="A160" s="10">
        <f>IFERROR(__xludf.DUMMYFUNCTION("""COMPUTED_VALUE"""),44057.64583333333)</f>
        <v>44057.64583</v>
      </c>
      <c r="B160" s="1">
        <f>IFERROR(__xludf.DUMMYFUNCTION("""COMPUTED_VALUE"""),3828.0)</f>
        <v>3828</v>
      </c>
      <c r="C160" s="1">
        <f>IFERROR(__xludf.DUMMYFUNCTION("""COMPUTED_VALUE"""),3840.0)</f>
        <v>3840</v>
      </c>
      <c r="D160" s="1">
        <f>IFERROR(__xludf.DUMMYFUNCTION("""COMPUTED_VALUE"""),3752.0)</f>
        <v>3752</v>
      </c>
      <c r="E160" s="1">
        <f>IFERROR(__xludf.DUMMYFUNCTION("""COMPUTED_VALUE"""),3801.35)</f>
        <v>3801.35</v>
      </c>
      <c r="F160" s="1">
        <f>IFERROR(__xludf.DUMMYFUNCTION("""COMPUTED_VALUE"""),537499.0)</f>
        <v>537499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" t="s">
        <v>178</v>
      </c>
      <c r="C2" s="2">
        <v>43466.0</v>
      </c>
      <c r="D2" s="2">
        <v>43831.0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IFERROR(__xludf.DUMMYFUNCTION("""COMPUTED_VALUE"""),43467.66666666667)</f>
        <v>43467.66667</v>
      </c>
      <c r="B6" s="1">
        <f>IFERROR(__xludf.DUMMYFUNCTION("""COMPUTED_VALUE"""),1465.2)</f>
        <v>1465.2</v>
      </c>
      <c r="C6" s="1">
        <f>IFERROR(__xludf.DUMMYFUNCTION("""COMPUTED_VALUE"""),1553.36)</f>
        <v>1553.36</v>
      </c>
      <c r="D6" s="1">
        <f>IFERROR(__xludf.DUMMYFUNCTION("""COMPUTED_VALUE"""),1460.93)</f>
        <v>1460.93</v>
      </c>
      <c r="E6" s="1">
        <f>IFERROR(__xludf.DUMMYFUNCTION("""COMPUTED_VALUE"""),1539.13)</f>
        <v>1539.13</v>
      </c>
      <c r="F6" s="1">
        <f>IFERROR(__xludf.DUMMYFUNCTION("""COMPUTED_VALUE"""),7983103.0)</f>
        <v>7983103</v>
      </c>
    </row>
    <row r="7" ht="15.75" customHeight="1">
      <c r="A7" s="10">
        <f>IFERROR(__xludf.DUMMYFUNCTION("""COMPUTED_VALUE"""),43468.66666666667)</f>
        <v>43468.66667</v>
      </c>
      <c r="B7" s="1">
        <f>IFERROR(__xludf.DUMMYFUNCTION("""COMPUTED_VALUE"""),1520.01)</f>
        <v>1520.01</v>
      </c>
      <c r="C7" s="1">
        <f>IFERROR(__xludf.DUMMYFUNCTION("""COMPUTED_VALUE"""),1538.0)</f>
        <v>1538</v>
      </c>
      <c r="D7" s="1">
        <f>IFERROR(__xludf.DUMMYFUNCTION("""COMPUTED_VALUE"""),1497.11)</f>
        <v>1497.11</v>
      </c>
      <c r="E7" s="1">
        <f>IFERROR(__xludf.DUMMYFUNCTION("""COMPUTED_VALUE"""),1500.28)</f>
        <v>1500.28</v>
      </c>
      <c r="F7" s="1">
        <f>IFERROR(__xludf.DUMMYFUNCTION("""COMPUTED_VALUE"""),6975572.0)</f>
        <v>6975572</v>
      </c>
    </row>
    <row r="8" ht="15.75" customHeight="1">
      <c r="A8" s="10">
        <f>IFERROR(__xludf.DUMMYFUNCTION("""COMPUTED_VALUE"""),43469.66666666667)</f>
        <v>43469.66667</v>
      </c>
      <c r="B8" s="1">
        <f>IFERROR(__xludf.DUMMYFUNCTION("""COMPUTED_VALUE"""),1530.0)</f>
        <v>1530</v>
      </c>
      <c r="C8" s="1">
        <f>IFERROR(__xludf.DUMMYFUNCTION("""COMPUTED_VALUE"""),1594.0)</f>
        <v>1594</v>
      </c>
      <c r="D8" s="1">
        <f>IFERROR(__xludf.DUMMYFUNCTION("""COMPUTED_VALUE"""),1518.31)</f>
        <v>1518.31</v>
      </c>
      <c r="E8" s="1">
        <f>IFERROR(__xludf.DUMMYFUNCTION("""COMPUTED_VALUE"""),1575.39)</f>
        <v>1575.39</v>
      </c>
      <c r="F8" s="1">
        <f>IFERROR(__xludf.DUMMYFUNCTION("""COMPUTED_VALUE"""),9182575.0)</f>
        <v>9182575</v>
      </c>
    </row>
    <row r="9" ht="15.75" customHeight="1">
      <c r="A9" s="10">
        <f>IFERROR(__xludf.DUMMYFUNCTION("""COMPUTED_VALUE"""),43472.66666666667)</f>
        <v>43472.66667</v>
      </c>
      <c r="B9" s="1">
        <f>IFERROR(__xludf.DUMMYFUNCTION("""COMPUTED_VALUE"""),1602.31)</f>
        <v>1602.31</v>
      </c>
      <c r="C9" s="1">
        <f>IFERROR(__xludf.DUMMYFUNCTION("""COMPUTED_VALUE"""),1634.56)</f>
        <v>1634.56</v>
      </c>
      <c r="D9" s="1">
        <f>IFERROR(__xludf.DUMMYFUNCTION("""COMPUTED_VALUE"""),1589.19)</f>
        <v>1589.19</v>
      </c>
      <c r="E9" s="1">
        <f>IFERROR(__xludf.DUMMYFUNCTION("""COMPUTED_VALUE"""),1629.51)</f>
        <v>1629.51</v>
      </c>
      <c r="F9" s="1">
        <f>IFERROR(__xludf.DUMMYFUNCTION("""COMPUTED_VALUE"""),7993213.0)</f>
        <v>7993213</v>
      </c>
    </row>
    <row r="10" ht="15.75" customHeight="1">
      <c r="A10" s="10">
        <f>IFERROR(__xludf.DUMMYFUNCTION("""COMPUTED_VALUE"""),43473.66666666667)</f>
        <v>43473.66667</v>
      </c>
      <c r="B10" s="1">
        <f>IFERROR(__xludf.DUMMYFUNCTION("""COMPUTED_VALUE"""),1664.69)</f>
        <v>1664.69</v>
      </c>
      <c r="C10" s="1">
        <f>IFERROR(__xludf.DUMMYFUNCTION("""COMPUTED_VALUE"""),1676.61)</f>
        <v>1676.61</v>
      </c>
      <c r="D10" s="1">
        <f>IFERROR(__xludf.DUMMYFUNCTION("""COMPUTED_VALUE"""),1616.61)</f>
        <v>1616.61</v>
      </c>
      <c r="E10" s="1">
        <f>IFERROR(__xludf.DUMMYFUNCTION("""COMPUTED_VALUE"""),1656.58)</f>
        <v>1656.58</v>
      </c>
      <c r="F10" s="1">
        <f>IFERROR(__xludf.DUMMYFUNCTION("""COMPUTED_VALUE"""),8881428.0)</f>
        <v>8881428</v>
      </c>
    </row>
    <row r="11" ht="15.75" customHeight="1">
      <c r="A11" s="10">
        <f>IFERROR(__xludf.DUMMYFUNCTION("""COMPUTED_VALUE"""),43474.66666666667)</f>
        <v>43474.66667</v>
      </c>
      <c r="B11" s="1">
        <f>IFERROR(__xludf.DUMMYFUNCTION("""COMPUTED_VALUE"""),1652.98)</f>
        <v>1652.98</v>
      </c>
      <c r="C11" s="1">
        <f>IFERROR(__xludf.DUMMYFUNCTION("""COMPUTED_VALUE"""),1667.8)</f>
        <v>1667.8</v>
      </c>
      <c r="D11" s="1">
        <f>IFERROR(__xludf.DUMMYFUNCTION("""COMPUTED_VALUE"""),1641.4)</f>
        <v>1641.4</v>
      </c>
      <c r="E11" s="1">
        <f>IFERROR(__xludf.DUMMYFUNCTION("""COMPUTED_VALUE"""),1659.42)</f>
        <v>1659.42</v>
      </c>
      <c r="F11" s="1">
        <f>IFERROR(__xludf.DUMMYFUNCTION("""COMPUTED_VALUE"""),6348801.0)</f>
        <v>6348801</v>
      </c>
    </row>
    <row r="12" ht="15.75" customHeight="1">
      <c r="A12" s="10">
        <f>IFERROR(__xludf.DUMMYFUNCTION("""COMPUTED_VALUE"""),43475.66666666667)</f>
        <v>43475.66667</v>
      </c>
      <c r="B12" s="1">
        <f>IFERROR(__xludf.DUMMYFUNCTION("""COMPUTED_VALUE"""),1641.01)</f>
        <v>1641.01</v>
      </c>
      <c r="C12" s="1">
        <f>IFERROR(__xludf.DUMMYFUNCTION("""COMPUTED_VALUE"""),1663.25)</f>
        <v>1663.25</v>
      </c>
      <c r="D12" s="1">
        <f>IFERROR(__xludf.DUMMYFUNCTION("""COMPUTED_VALUE"""),1621.62)</f>
        <v>1621.62</v>
      </c>
      <c r="E12" s="1">
        <f>IFERROR(__xludf.DUMMYFUNCTION("""COMPUTED_VALUE"""),1656.22)</f>
        <v>1656.22</v>
      </c>
      <c r="F12" s="1">
        <f>IFERROR(__xludf.DUMMYFUNCTION("""COMPUTED_VALUE"""),6507693.0)</f>
        <v>6507693</v>
      </c>
    </row>
    <row r="13" ht="15.75" customHeight="1">
      <c r="A13" s="10">
        <f>IFERROR(__xludf.DUMMYFUNCTION("""COMPUTED_VALUE"""),43476.66666666667)</f>
        <v>43476.66667</v>
      </c>
      <c r="B13" s="1">
        <f>IFERROR(__xludf.DUMMYFUNCTION("""COMPUTED_VALUE"""),1640.55)</f>
        <v>1640.55</v>
      </c>
      <c r="C13" s="1">
        <f>IFERROR(__xludf.DUMMYFUNCTION("""COMPUTED_VALUE"""),1660.29)</f>
        <v>1660.29</v>
      </c>
      <c r="D13" s="1">
        <f>IFERROR(__xludf.DUMMYFUNCTION("""COMPUTED_VALUE"""),1636.22)</f>
        <v>1636.22</v>
      </c>
      <c r="E13" s="1">
        <f>IFERROR(__xludf.DUMMYFUNCTION("""COMPUTED_VALUE"""),1640.56)</f>
        <v>1640.56</v>
      </c>
      <c r="F13" s="1">
        <f>IFERROR(__xludf.DUMMYFUNCTION("""COMPUTED_VALUE"""),4686222.0)</f>
        <v>4686222</v>
      </c>
    </row>
    <row r="14" ht="15.75" customHeight="1">
      <c r="A14" s="10">
        <f>IFERROR(__xludf.DUMMYFUNCTION("""COMPUTED_VALUE"""),43479.66666666667)</f>
        <v>43479.66667</v>
      </c>
      <c r="B14" s="1">
        <f>IFERROR(__xludf.DUMMYFUNCTION("""COMPUTED_VALUE"""),1615.0)</f>
        <v>1615</v>
      </c>
      <c r="C14" s="1">
        <f>IFERROR(__xludf.DUMMYFUNCTION("""COMPUTED_VALUE"""),1648.2)</f>
        <v>1648.2</v>
      </c>
      <c r="D14" s="1">
        <f>IFERROR(__xludf.DUMMYFUNCTION("""COMPUTED_VALUE"""),1595.15)</f>
        <v>1595.15</v>
      </c>
      <c r="E14" s="1">
        <f>IFERROR(__xludf.DUMMYFUNCTION("""COMPUTED_VALUE"""),1617.21)</f>
        <v>1617.21</v>
      </c>
      <c r="F14" s="1">
        <f>IFERROR(__xludf.DUMMYFUNCTION("""COMPUTED_VALUE"""),6005888.0)</f>
        <v>6005888</v>
      </c>
    </row>
    <row r="15" ht="15.75" customHeight="1">
      <c r="A15" s="10">
        <f>IFERROR(__xludf.DUMMYFUNCTION("""COMPUTED_VALUE"""),43480.66666666667)</f>
        <v>43480.66667</v>
      </c>
      <c r="B15" s="1">
        <f>IFERROR(__xludf.DUMMYFUNCTION("""COMPUTED_VALUE"""),1632.0)</f>
        <v>1632</v>
      </c>
      <c r="C15" s="1">
        <f>IFERROR(__xludf.DUMMYFUNCTION("""COMPUTED_VALUE"""),1675.16)</f>
        <v>1675.16</v>
      </c>
      <c r="D15" s="1">
        <f>IFERROR(__xludf.DUMMYFUNCTION("""COMPUTED_VALUE"""),1626.01)</f>
        <v>1626.01</v>
      </c>
      <c r="E15" s="1">
        <f>IFERROR(__xludf.DUMMYFUNCTION("""COMPUTED_VALUE"""),1674.56)</f>
        <v>1674.56</v>
      </c>
      <c r="F15" s="1">
        <f>IFERROR(__xludf.DUMMYFUNCTION("""COMPUTED_VALUE"""),5998510.0)</f>
        <v>5998510</v>
      </c>
    </row>
    <row r="16" ht="15.75" customHeight="1">
      <c r="A16" s="10">
        <f>IFERROR(__xludf.DUMMYFUNCTION("""COMPUTED_VALUE"""),43481.66666666667)</f>
        <v>43481.66667</v>
      </c>
      <c r="B16" s="1">
        <f>IFERROR(__xludf.DUMMYFUNCTION("""COMPUTED_VALUE"""),1684.22)</f>
        <v>1684.22</v>
      </c>
      <c r="C16" s="1">
        <f>IFERROR(__xludf.DUMMYFUNCTION("""COMPUTED_VALUE"""),1705.0)</f>
        <v>1705</v>
      </c>
      <c r="D16" s="1">
        <f>IFERROR(__xludf.DUMMYFUNCTION("""COMPUTED_VALUE"""),1675.88)</f>
        <v>1675.88</v>
      </c>
      <c r="E16" s="1">
        <f>IFERROR(__xludf.DUMMYFUNCTION("""COMPUTED_VALUE"""),1683.78)</f>
        <v>1683.78</v>
      </c>
      <c r="F16" s="1">
        <f>IFERROR(__xludf.DUMMYFUNCTION("""COMPUTED_VALUE"""),6366864.0)</f>
        <v>6366864</v>
      </c>
    </row>
    <row r="17" ht="15.75" customHeight="1">
      <c r="A17" s="10">
        <f>IFERROR(__xludf.DUMMYFUNCTION("""COMPUTED_VALUE"""),43482.66666666667)</f>
        <v>43482.66667</v>
      </c>
      <c r="B17" s="1">
        <f>IFERROR(__xludf.DUMMYFUNCTION("""COMPUTED_VALUE"""),1680.0)</f>
        <v>1680</v>
      </c>
      <c r="C17" s="1">
        <f>IFERROR(__xludf.DUMMYFUNCTION("""COMPUTED_VALUE"""),1700.17)</f>
        <v>1700.17</v>
      </c>
      <c r="D17" s="1">
        <f>IFERROR(__xludf.DUMMYFUNCTION("""COMPUTED_VALUE"""),1677.5)</f>
        <v>1677.5</v>
      </c>
      <c r="E17" s="1">
        <f>IFERROR(__xludf.DUMMYFUNCTION("""COMPUTED_VALUE"""),1693.22)</f>
        <v>1693.22</v>
      </c>
      <c r="F17" s="1">
        <f>IFERROR(__xludf.DUMMYFUNCTION("""COMPUTED_VALUE"""),4208875.0)</f>
        <v>4208875</v>
      </c>
    </row>
    <row r="18" ht="15.75" customHeight="1">
      <c r="A18" s="10">
        <f>IFERROR(__xludf.DUMMYFUNCTION("""COMPUTED_VALUE"""),43483.66666666667)</f>
        <v>43483.66667</v>
      </c>
      <c r="B18" s="1">
        <f>IFERROR(__xludf.DUMMYFUNCTION("""COMPUTED_VALUE"""),1712.0)</f>
        <v>1712</v>
      </c>
      <c r="C18" s="1">
        <f>IFERROR(__xludf.DUMMYFUNCTION("""COMPUTED_VALUE"""),1716.2)</f>
        <v>1716.2</v>
      </c>
      <c r="D18" s="1">
        <f>IFERROR(__xludf.DUMMYFUNCTION("""COMPUTED_VALUE"""),1691.54)</f>
        <v>1691.54</v>
      </c>
      <c r="E18" s="1">
        <f>IFERROR(__xludf.DUMMYFUNCTION("""COMPUTED_VALUE"""),1696.2)</f>
        <v>1696.2</v>
      </c>
      <c r="F18" s="1">
        <f>IFERROR(__xludf.DUMMYFUNCTION("""COMPUTED_VALUE"""),6020503.0)</f>
        <v>6020503</v>
      </c>
    </row>
    <row r="19" ht="15.75" customHeight="1">
      <c r="A19" s="10">
        <f>IFERROR(__xludf.DUMMYFUNCTION("""COMPUTED_VALUE"""),43487.66666666667)</f>
        <v>43487.66667</v>
      </c>
      <c r="B19" s="1">
        <f>IFERROR(__xludf.DUMMYFUNCTION("""COMPUTED_VALUE"""),1681.0)</f>
        <v>1681</v>
      </c>
      <c r="C19" s="1">
        <f>IFERROR(__xludf.DUMMYFUNCTION("""COMPUTED_VALUE"""),1681.87)</f>
        <v>1681.87</v>
      </c>
      <c r="D19" s="1">
        <f>IFERROR(__xludf.DUMMYFUNCTION("""COMPUTED_VALUE"""),1610.2)</f>
        <v>1610.2</v>
      </c>
      <c r="E19" s="1">
        <f>IFERROR(__xludf.DUMMYFUNCTION("""COMPUTED_VALUE"""),1632.17)</f>
        <v>1632.17</v>
      </c>
      <c r="F19" s="1">
        <f>IFERROR(__xludf.DUMMYFUNCTION("""COMPUTED_VALUE"""),6416796.0)</f>
        <v>6416796</v>
      </c>
    </row>
    <row r="20" ht="15.75" customHeight="1">
      <c r="A20" s="10">
        <f>IFERROR(__xludf.DUMMYFUNCTION("""COMPUTED_VALUE"""),43488.66666666667)</f>
        <v>43488.66667</v>
      </c>
      <c r="B20" s="1">
        <f>IFERROR(__xludf.DUMMYFUNCTION("""COMPUTED_VALUE"""),1656.0)</f>
        <v>1656</v>
      </c>
      <c r="C20" s="1">
        <f>IFERROR(__xludf.DUMMYFUNCTION("""COMPUTED_VALUE"""),1657.43)</f>
        <v>1657.43</v>
      </c>
      <c r="D20" s="1">
        <f>IFERROR(__xludf.DUMMYFUNCTION("""COMPUTED_VALUE"""),1612.0)</f>
        <v>1612</v>
      </c>
      <c r="E20" s="1">
        <f>IFERROR(__xludf.DUMMYFUNCTION("""COMPUTED_VALUE"""),1640.02)</f>
        <v>1640.02</v>
      </c>
      <c r="F20" s="1">
        <f>IFERROR(__xludf.DUMMYFUNCTION("""COMPUTED_VALUE"""),5225212.0)</f>
        <v>5225212</v>
      </c>
    </row>
    <row r="21" ht="15.75" customHeight="1">
      <c r="A21" s="10">
        <f>IFERROR(__xludf.DUMMYFUNCTION("""COMPUTED_VALUE"""),43489.66666666667)</f>
        <v>43489.66667</v>
      </c>
      <c r="B21" s="1">
        <f>IFERROR(__xludf.DUMMYFUNCTION("""COMPUTED_VALUE"""),1641.07)</f>
        <v>1641.07</v>
      </c>
      <c r="C21" s="1">
        <f>IFERROR(__xludf.DUMMYFUNCTION("""COMPUTED_VALUE"""),1657.26)</f>
        <v>1657.26</v>
      </c>
      <c r="D21" s="1">
        <f>IFERROR(__xludf.DUMMYFUNCTION("""COMPUTED_VALUE"""),1631.78)</f>
        <v>1631.78</v>
      </c>
      <c r="E21" s="1">
        <f>IFERROR(__xludf.DUMMYFUNCTION("""COMPUTED_VALUE"""),1654.93)</f>
        <v>1654.93</v>
      </c>
      <c r="F21" s="1">
        <f>IFERROR(__xludf.DUMMYFUNCTION("""COMPUTED_VALUE"""),4089943.0)</f>
        <v>4089943</v>
      </c>
    </row>
    <row r="22" ht="15.75" customHeight="1">
      <c r="A22" s="10">
        <f>IFERROR(__xludf.DUMMYFUNCTION("""COMPUTED_VALUE"""),43490.66666666667)</f>
        <v>43490.66667</v>
      </c>
      <c r="B22" s="1">
        <f>IFERROR(__xludf.DUMMYFUNCTION("""COMPUTED_VALUE"""),1670.5)</f>
        <v>1670.5</v>
      </c>
      <c r="C22" s="1">
        <f>IFERROR(__xludf.DUMMYFUNCTION("""COMPUTED_VALUE"""),1683.48)</f>
        <v>1683.48</v>
      </c>
      <c r="D22" s="1">
        <f>IFERROR(__xludf.DUMMYFUNCTION("""COMPUTED_VALUE"""),1661.61)</f>
        <v>1661.61</v>
      </c>
      <c r="E22" s="1">
        <f>IFERROR(__xludf.DUMMYFUNCTION("""COMPUTED_VALUE"""),1670.57)</f>
        <v>1670.57</v>
      </c>
      <c r="F22" s="1">
        <f>IFERROR(__xludf.DUMMYFUNCTION("""COMPUTED_VALUE"""),4959679.0)</f>
        <v>4959679</v>
      </c>
    </row>
    <row r="23" ht="15.75" customHeight="1">
      <c r="A23" s="10">
        <f>IFERROR(__xludf.DUMMYFUNCTION("""COMPUTED_VALUE"""),43493.66666666667)</f>
        <v>43493.66667</v>
      </c>
      <c r="B23" s="1">
        <f>IFERROR(__xludf.DUMMYFUNCTION("""COMPUTED_VALUE"""),1643.59)</f>
        <v>1643.59</v>
      </c>
      <c r="C23" s="1">
        <f>IFERROR(__xludf.DUMMYFUNCTION("""COMPUTED_VALUE"""),1645.0)</f>
        <v>1645</v>
      </c>
      <c r="D23" s="1">
        <f>IFERROR(__xludf.DUMMYFUNCTION("""COMPUTED_VALUE"""),1614.09)</f>
        <v>1614.09</v>
      </c>
      <c r="E23" s="1">
        <f>IFERROR(__xludf.DUMMYFUNCTION("""COMPUTED_VALUE"""),1637.89)</f>
        <v>1637.89</v>
      </c>
      <c r="F23" s="1">
        <f>IFERROR(__xludf.DUMMYFUNCTION("""COMPUTED_VALUE"""),4837711.0)</f>
        <v>4837711</v>
      </c>
    </row>
    <row r="24" ht="15.75" customHeight="1">
      <c r="A24" s="10">
        <f>IFERROR(__xludf.DUMMYFUNCTION("""COMPUTED_VALUE"""),43494.66666666667)</f>
        <v>43494.66667</v>
      </c>
      <c r="B24" s="1">
        <f>IFERROR(__xludf.DUMMYFUNCTION("""COMPUTED_VALUE"""),1631.27)</f>
        <v>1631.27</v>
      </c>
      <c r="C24" s="1">
        <f>IFERROR(__xludf.DUMMYFUNCTION("""COMPUTED_VALUE"""),1632.38)</f>
        <v>1632.38</v>
      </c>
      <c r="D24" s="1">
        <f>IFERROR(__xludf.DUMMYFUNCTION("""COMPUTED_VALUE"""),1590.72)</f>
        <v>1590.72</v>
      </c>
      <c r="E24" s="1">
        <f>IFERROR(__xludf.DUMMYFUNCTION("""COMPUTED_VALUE"""),1593.88)</f>
        <v>1593.88</v>
      </c>
      <c r="F24" s="1">
        <f>IFERROR(__xludf.DUMMYFUNCTION("""COMPUTED_VALUE"""),4632782.0)</f>
        <v>4632782</v>
      </c>
    </row>
    <row r="25" ht="15.75" customHeight="1">
      <c r="A25" s="10">
        <f>IFERROR(__xludf.DUMMYFUNCTION("""COMPUTED_VALUE"""),43495.66666666667)</f>
        <v>43495.66667</v>
      </c>
      <c r="B25" s="1">
        <f>IFERROR(__xludf.DUMMYFUNCTION("""COMPUTED_VALUE"""),1623.0)</f>
        <v>1623</v>
      </c>
      <c r="C25" s="1">
        <f>IFERROR(__xludf.DUMMYFUNCTION("""COMPUTED_VALUE"""),1676.95)</f>
        <v>1676.95</v>
      </c>
      <c r="D25" s="1">
        <f>IFERROR(__xludf.DUMMYFUNCTION("""COMPUTED_VALUE"""),1619.68)</f>
        <v>1619.68</v>
      </c>
      <c r="E25" s="1">
        <f>IFERROR(__xludf.DUMMYFUNCTION("""COMPUTED_VALUE"""),1670.43)</f>
        <v>1670.43</v>
      </c>
      <c r="F25" s="1">
        <f>IFERROR(__xludf.DUMMYFUNCTION("""COMPUTED_VALUE"""),5783822.0)</f>
        <v>5783822</v>
      </c>
    </row>
    <row r="26" ht="15.75" customHeight="1">
      <c r="A26" s="10">
        <f>IFERROR(__xludf.DUMMYFUNCTION("""COMPUTED_VALUE"""),43496.66666666667)</f>
        <v>43496.66667</v>
      </c>
      <c r="B26" s="1">
        <f>IFERROR(__xludf.DUMMYFUNCTION("""COMPUTED_VALUE"""),1692.85)</f>
        <v>1692.85</v>
      </c>
      <c r="C26" s="1">
        <f>IFERROR(__xludf.DUMMYFUNCTION("""COMPUTED_VALUE"""),1736.41)</f>
        <v>1736.41</v>
      </c>
      <c r="D26" s="1">
        <f>IFERROR(__xludf.DUMMYFUNCTION("""COMPUTED_VALUE"""),1679.08)</f>
        <v>1679.08</v>
      </c>
      <c r="E26" s="1">
        <f>IFERROR(__xludf.DUMMYFUNCTION("""COMPUTED_VALUE"""),1718.73)</f>
        <v>1718.73</v>
      </c>
      <c r="F26" s="1">
        <f>IFERROR(__xludf.DUMMYFUNCTION("""COMPUTED_VALUE"""),1.0910338E7)</f>
        <v>10910338</v>
      </c>
    </row>
    <row r="27" ht="15.75" customHeight="1">
      <c r="A27" s="10">
        <f>IFERROR(__xludf.DUMMYFUNCTION("""COMPUTED_VALUE"""),43497.66666666667)</f>
        <v>43497.66667</v>
      </c>
      <c r="B27" s="1">
        <f>IFERROR(__xludf.DUMMYFUNCTION("""COMPUTED_VALUE"""),1638.88)</f>
        <v>1638.88</v>
      </c>
      <c r="C27" s="1">
        <f>IFERROR(__xludf.DUMMYFUNCTION("""COMPUTED_VALUE"""),1673.06)</f>
        <v>1673.06</v>
      </c>
      <c r="D27" s="1">
        <f>IFERROR(__xludf.DUMMYFUNCTION("""COMPUTED_VALUE"""),1622.01)</f>
        <v>1622.01</v>
      </c>
      <c r="E27" s="1">
        <f>IFERROR(__xludf.DUMMYFUNCTION("""COMPUTED_VALUE"""),1626.23)</f>
        <v>1626.23</v>
      </c>
      <c r="F27" s="1">
        <f>IFERROR(__xludf.DUMMYFUNCTION("""COMPUTED_VALUE"""),1.1506213E7)</f>
        <v>11506213</v>
      </c>
    </row>
    <row r="28" ht="15.75" customHeight="1">
      <c r="A28" s="10">
        <f>IFERROR(__xludf.DUMMYFUNCTION("""COMPUTED_VALUE"""),43500.66666666667)</f>
        <v>43500.66667</v>
      </c>
      <c r="B28" s="1">
        <f>IFERROR(__xludf.DUMMYFUNCTION("""COMPUTED_VALUE"""),1623.0)</f>
        <v>1623</v>
      </c>
      <c r="C28" s="1">
        <f>IFERROR(__xludf.DUMMYFUNCTION("""COMPUTED_VALUE"""),1649.63)</f>
        <v>1649.63</v>
      </c>
      <c r="D28" s="1">
        <f>IFERROR(__xludf.DUMMYFUNCTION("""COMPUTED_VALUE"""),1613.5)</f>
        <v>1613.5</v>
      </c>
      <c r="E28" s="1">
        <f>IFERROR(__xludf.DUMMYFUNCTION("""COMPUTED_VALUE"""),1633.31)</f>
        <v>1633.31</v>
      </c>
      <c r="F28" s="1">
        <f>IFERROR(__xludf.DUMMYFUNCTION("""COMPUTED_VALUE"""),4929187.0)</f>
        <v>4929187</v>
      </c>
    </row>
    <row r="29" ht="15.75" customHeight="1">
      <c r="A29" s="10">
        <f>IFERROR(__xludf.DUMMYFUNCTION("""COMPUTED_VALUE"""),43501.66666666667)</f>
        <v>43501.66667</v>
      </c>
      <c r="B29" s="1">
        <f>IFERROR(__xludf.DUMMYFUNCTION("""COMPUTED_VALUE"""),1643.34)</f>
        <v>1643.34</v>
      </c>
      <c r="C29" s="1">
        <f>IFERROR(__xludf.DUMMYFUNCTION("""COMPUTED_VALUE"""),1665.26)</f>
        <v>1665.26</v>
      </c>
      <c r="D29" s="1">
        <f>IFERROR(__xludf.DUMMYFUNCTION("""COMPUTED_VALUE"""),1642.5)</f>
        <v>1642.5</v>
      </c>
      <c r="E29" s="1">
        <f>IFERROR(__xludf.DUMMYFUNCTION("""COMPUTED_VALUE"""),1658.81)</f>
        <v>1658.81</v>
      </c>
      <c r="F29" s="1">
        <f>IFERROR(__xludf.DUMMYFUNCTION("""COMPUTED_VALUE"""),4453105.0)</f>
        <v>4453105</v>
      </c>
    </row>
    <row r="30" ht="15.75" customHeight="1">
      <c r="A30" s="10">
        <f>IFERROR(__xludf.DUMMYFUNCTION("""COMPUTED_VALUE"""),43502.66666666667)</f>
        <v>43502.66667</v>
      </c>
      <c r="B30" s="1">
        <f>IFERROR(__xludf.DUMMYFUNCTION("""COMPUTED_VALUE"""),1670.75)</f>
        <v>1670.75</v>
      </c>
      <c r="C30" s="1">
        <f>IFERROR(__xludf.DUMMYFUNCTION("""COMPUTED_VALUE"""),1672.26)</f>
        <v>1672.26</v>
      </c>
      <c r="D30" s="1">
        <f>IFERROR(__xludf.DUMMYFUNCTION("""COMPUTED_VALUE"""),1633.34)</f>
        <v>1633.34</v>
      </c>
      <c r="E30" s="1">
        <f>IFERROR(__xludf.DUMMYFUNCTION("""COMPUTED_VALUE"""),1640.26)</f>
        <v>1640.26</v>
      </c>
      <c r="F30" s="1">
        <f>IFERROR(__xludf.DUMMYFUNCTION("""COMPUTED_VALUE"""),3939883.0)</f>
        <v>3939883</v>
      </c>
    </row>
    <row r="31" ht="15.75" customHeight="1">
      <c r="A31" s="10">
        <f>IFERROR(__xludf.DUMMYFUNCTION("""COMPUTED_VALUE"""),43503.66666666667)</f>
        <v>43503.66667</v>
      </c>
      <c r="B31" s="1">
        <f>IFERROR(__xludf.DUMMYFUNCTION("""COMPUTED_VALUE"""),1625.0)</f>
        <v>1625</v>
      </c>
      <c r="C31" s="1">
        <f>IFERROR(__xludf.DUMMYFUNCTION("""COMPUTED_VALUE"""),1625.54)</f>
        <v>1625.54</v>
      </c>
      <c r="D31" s="1">
        <f>IFERROR(__xludf.DUMMYFUNCTION("""COMPUTED_VALUE"""),1592.91)</f>
        <v>1592.91</v>
      </c>
      <c r="E31" s="1">
        <f>IFERROR(__xludf.DUMMYFUNCTION("""COMPUTED_VALUE"""),1614.37)</f>
        <v>1614.37</v>
      </c>
      <c r="F31" s="1">
        <f>IFERROR(__xludf.DUMMYFUNCTION("""COMPUTED_VALUE"""),4626589.0)</f>
        <v>4626589</v>
      </c>
    </row>
    <row r="32" ht="15.75" customHeight="1">
      <c r="A32" s="10">
        <f>IFERROR(__xludf.DUMMYFUNCTION("""COMPUTED_VALUE"""),43504.66666666667)</f>
        <v>43504.66667</v>
      </c>
      <c r="B32" s="1">
        <f>IFERROR(__xludf.DUMMYFUNCTION("""COMPUTED_VALUE"""),1586.0)</f>
        <v>1586</v>
      </c>
      <c r="C32" s="1">
        <f>IFERROR(__xludf.DUMMYFUNCTION("""COMPUTED_VALUE"""),1588.59)</f>
        <v>1588.59</v>
      </c>
      <c r="D32" s="1">
        <f>IFERROR(__xludf.DUMMYFUNCTION("""COMPUTED_VALUE"""),1566.76)</f>
        <v>1566.76</v>
      </c>
      <c r="E32" s="1">
        <f>IFERROR(__xludf.DUMMYFUNCTION("""COMPUTED_VALUE"""),1588.22)</f>
        <v>1588.22</v>
      </c>
      <c r="F32" s="1">
        <f>IFERROR(__xludf.DUMMYFUNCTION("""COMPUTED_VALUE"""),5657457.0)</f>
        <v>5657457</v>
      </c>
    </row>
    <row r="33" ht="15.75" customHeight="1">
      <c r="A33" s="10">
        <f>IFERROR(__xludf.DUMMYFUNCTION("""COMPUTED_VALUE"""),43507.66666666667)</f>
        <v>43507.66667</v>
      </c>
      <c r="B33" s="1">
        <f>IFERROR(__xludf.DUMMYFUNCTION("""COMPUTED_VALUE"""),1600.98)</f>
        <v>1600.98</v>
      </c>
      <c r="C33" s="1">
        <f>IFERROR(__xludf.DUMMYFUNCTION("""COMPUTED_VALUE"""),1609.29)</f>
        <v>1609.29</v>
      </c>
      <c r="D33" s="1">
        <f>IFERROR(__xludf.DUMMYFUNCTION("""COMPUTED_VALUE"""),1586.0)</f>
        <v>1586</v>
      </c>
      <c r="E33" s="1">
        <f>IFERROR(__xludf.DUMMYFUNCTION("""COMPUTED_VALUE"""),1591.0)</f>
        <v>1591</v>
      </c>
      <c r="F33" s="1">
        <f>IFERROR(__xludf.DUMMYFUNCTION("""COMPUTED_VALUE"""),3317328.0)</f>
        <v>3317328</v>
      </c>
    </row>
    <row r="34" ht="15.75" customHeight="1">
      <c r="A34" s="10">
        <f>IFERROR(__xludf.DUMMYFUNCTION("""COMPUTED_VALUE"""),43508.66666666667)</f>
        <v>43508.66667</v>
      </c>
      <c r="B34" s="1">
        <f>IFERROR(__xludf.DUMMYFUNCTION("""COMPUTED_VALUE"""),1604.0)</f>
        <v>1604</v>
      </c>
      <c r="C34" s="1">
        <f>IFERROR(__xludf.DUMMYFUNCTION("""COMPUTED_VALUE"""),1639.4)</f>
        <v>1639.4</v>
      </c>
      <c r="D34" s="1">
        <f>IFERROR(__xludf.DUMMYFUNCTION("""COMPUTED_VALUE"""),1598.88)</f>
        <v>1598.88</v>
      </c>
      <c r="E34" s="1">
        <f>IFERROR(__xludf.DUMMYFUNCTION("""COMPUTED_VALUE"""),1638.01)</f>
        <v>1638.01</v>
      </c>
      <c r="F34" s="1">
        <f>IFERROR(__xludf.DUMMYFUNCTION("""COMPUTED_VALUE"""),4858604.0)</f>
        <v>4858604</v>
      </c>
    </row>
    <row r="35" ht="15.75" customHeight="1">
      <c r="A35" s="10">
        <f>IFERROR(__xludf.DUMMYFUNCTION("""COMPUTED_VALUE"""),43509.66666666667)</f>
        <v>43509.66667</v>
      </c>
      <c r="B35" s="1">
        <f>IFERROR(__xludf.DUMMYFUNCTION("""COMPUTED_VALUE"""),1647.0)</f>
        <v>1647</v>
      </c>
      <c r="C35" s="1">
        <f>IFERROR(__xludf.DUMMYFUNCTION("""COMPUTED_VALUE"""),1656.38)</f>
        <v>1656.38</v>
      </c>
      <c r="D35" s="1">
        <f>IFERROR(__xludf.DUMMYFUNCTION("""COMPUTED_VALUE"""),1637.11)</f>
        <v>1637.11</v>
      </c>
      <c r="E35" s="1">
        <f>IFERROR(__xludf.DUMMYFUNCTION("""COMPUTED_VALUE"""),1640.0)</f>
        <v>1640</v>
      </c>
      <c r="F35" s="1">
        <f>IFERROR(__xludf.DUMMYFUNCTION("""COMPUTED_VALUE"""),3560321.0)</f>
        <v>3560321</v>
      </c>
    </row>
    <row r="36" ht="15.75" customHeight="1">
      <c r="A36" s="10">
        <f>IFERROR(__xludf.DUMMYFUNCTION("""COMPUTED_VALUE"""),43510.66666666667)</f>
        <v>43510.66667</v>
      </c>
      <c r="B36" s="1">
        <f>IFERROR(__xludf.DUMMYFUNCTION("""COMPUTED_VALUE"""),1624.5)</f>
        <v>1624.5</v>
      </c>
      <c r="C36" s="1">
        <f>IFERROR(__xludf.DUMMYFUNCTION("""COMPUTED_VALUE"""),1637.9)</f>
        <v>1637.9</v>
      </c>
      <c r="D36" s="1">
        <f>IFERROR(__xludf.DUMMYFUNCTION("""COMPUTED_VALUE"""),1606.06)</f>
        <v>1606.06</v>
      </c>
      <c r="E36" s="1">
        <f>IFERROR(__xludf.DUMMYFUNCTION("""COMPUTED_VALUE"""),1622.65)</f>
        <v>1622.65</v>
      </c>
      <c r="F36" s="1">
        <f>IFERROR(__xludf.DUMMYFUNCTION("""COMPUTED_VALUE"""),4120524.0)</f>
        <v>4120524</v>
      </c>
    </row>
    <row r="37" ht="15.75" customHeight="1">
      <c r="A37" s="10">
        <f>IFERROR(__xludf.DUMMYFUNCTION("""COMPUTED_VALUE"""),43511.66666666667)</f>
        <v>43511.66667</v>
      </c>
      <c r="B37" s="1">
        <f>IFERROR(__xludf.DUMMYFUNCTION("""COMPUTED_VALUE"""),1627.86)</f>
        <v>1627.86</v>
      </c>
      <c r="C37" s="1">
        <f>IFERROR(__xludf.DUMMYFUNCTION("""COMPUTED_VALUE"""),1628.91)</f>
        <v>1628.91</v>
      </c>
      <c r="D37" s="1">
        <f>IFERROR(__xludf.DUMMYFUNCTION("""COMPUTED_VALUE"""),1604.5)</f>
        <v>1604.5</v>
      </c>
      <c r="E37" s="1">
        <f>IFERROR(__xludf.DUMMYFUNCTION("""COMPUTED_VALUE"""),1607.95)</f>
        <v>1607.95</v>
      </c>
      <c r="F37" s="1">
        <f>IFERROR(__xludf.DUMMYFUNCTION("""COMPUTED_VALUE"""),4343893.0)</f>
        <v>4343893</v>
      </c>
    </row>
    <row r="38" ht="15.75" customHeight="1">
      <c r="A38" s="10">
        <f>IFERROR(__xludf.DUMMYFUNCTION("""COMPUTED_VALUE"""),43515.66666666667)</f>
        <v>43515.66667</v>
      </c>
      <c r="B38" s="1">
        <f>IFERROR(__xludf.DUMMYFUNCTION("""COMPUTED_VALUE"""),1601.0)</f>
        <v>1601</v>
      </c>
      <c r="C38" s="1">
        <f>IFERROR(__xludf.DUMMYFUNCTION("""COMPUTED_VALUE"""),1634.0)</f>
        <v>1634</v>
      </c>
      <c r="D38" s="1">
        <f>IFERROR(__xludf.DUMMYFUNCTION("""COMPUTED_VALUE"""),1600.56)</f>
        <v>1600.56</v>
      </c>
      <c r="E38" s="1">
        <f>IFERROR(__xludf.DUMMYFUNCTION("""COMPUTED_VALUE"""),1627.58)</f>
        <v>1627.58</v>
      </c>
      <c r="F38" s="1">
        <f>IFERROR(__xludf.DUMMYFUNCTION("""COMPUTED_VALUE"""),3681656.0)</f>
        <v>3681656</v>
      </c>
    </row>
    <row r="39" ht="15.75" customHeight="1">
      <c r="A39" s="10">
        <f>IFERROR(__xludf.DUMMYFUNCTION("""COMPUTED_VALUE"""),43516.66666666667)</f>
        <v>43516.66667</v>
      </c>
      <c r="B39" s="1">
        <f>IFERROR(__xludf.DUMMYFUNCTION("""COMPUTED_VALUE"""),1630.0)</f>
        <v>1630</v>
      </c>
      <c r="C39" s="1">
        <f>IFERROR(__xludf.DUMMYFUNCTION("""COMPUTED_VALUE"""),1634.93)</f>
        <v>1634.93</v>
      </c>
      <c r="D39" s="1">
        <f>IFERROR(__xludf.DUMMYFUNCTION("""COMPUTED_VALUE"""),1610.12)</f>
        <v>1610.12</v>
      </c>
      <c r="E39" s="1">
        <f>IFERROR(__xludf.DUMMYFUNCTION("""COMPUTED_VALUE"""),1622.1)</f>
        <v>1622.1</v>
      </c>
      <c r="F39" s="1">
        <f>IFERROR(__xludf.DUMMYFUNCTION("""COMPUTED_VALUE"""),3337589.0)</f>
        <v>3337589</v>
      </c>
    </row>
    <row r="40" ht="15.75" customHeight="1">
      <c r="A40" s="10">
        <f>IFERROR(__xludf.DUMMYFUNCTION("""COMPUTED_VALUE"""),43517.66666666667)</f>
        <v>43517.66667</v>
      </c>
      <c r="B40" s="1">
        <f>IFERROR(__xludf.DUMMYFUNCTION("""COMPUTED_VALUE"""),1619.85)</f>
        <v>1619.85</v>
      </c>
      <c r="C40" s="1">
        <f>IFERROR(__xludf.DUMMYFUNCTION("""COMPUTED_VALUE"""),1623.56)</f>
        <v>1623.56</v>
      </c>
      <c r="D40" s="1">
        <f>IFERROR(__xludf.DUMMYFUNCTION("""COMPUTED_VALUE"""),1600.91)</f>
        <v>1600.91</v>
      </c>
      <c r="E40" s="1">
        <f>IFERROR(__xludf.DUMMYFUNCTION("""COMPUTED_VALUE"""),1619.44)</f>
        <v>1619.44</v>
      </c>
      <c r="F40" s="1">
        <f>IFERROR(__xludf.DUMMYFUNCTION("""COMPUTED_VALUE"""),3483392.0)</f>
        <v>3483392</v>
      </c>
    </row>
    <row r="41" ht="15.75" customHeight="1">
      <c r="A41" s="10">
        <f>IFERROR(__xludf.DUMMYFUNCTION("""COMPUTED_VALUE"""),43518.66666666667)</f>
        <v>43518.66667</v>
      </c>
      <c r="B41" s="1">
        <f>IFERROR(__xludf.DUMMYFUNCTION("""COMPUTED_VALUE"""),1623.5)</f>
        <v>1623.5</v>
      </c>
      <c r="C41" s="1">
        <f>IFERROR(__xludf.DUMMYFUNCTION("""COMPUTED_VALUE"""),1634.94)</f>
        <v>1634.94</v>
      </c>
      <c r="D41" s="1">
        <f>IFERROR(__xludf.DUMMYFUNCTION("""COMPUTED_VALUE"""),1621.17)</f>
        <v>1621.17</v>
      </c>
      <c r="E41" s="1">
        <f>IFERROR(__xludf.DUMMYFUNCTION("""COMPUTED_VALUE"""),1631.56)</f>
        <v>1631.56</v>
      </c>
      <c r="F41" s="1">
        <f>IFERROR(__xludf.DUMMYFUNCTION("""COMPUTED_VALUE"""),3096191.0)</f>
        <v>3096191</v>
      </c>
    </row>
    <row r="42" ht="15.75" customHeight="1">
      <c r="A42" s="10">
        <f>IFERROR(__xludf.DUMMYFUNCTION("""COMPUTED_VALUE"""),43521.66666666667)</f>
        <v>43521.66667</v>
      </c>
      <c r="B42" s="1">
        <f>IFERROR(__xludf.DUMMYFUNCTION("""COMPUTED_VALUE"""),1641.45)</f>
        <v>1641.45</v>
      </c>
      <c r="C42" s="1">
        <f>IFERROR(__xludf.DUMMYFUNCTION("""COMPUTED_VALUE"""),1654.6)</f>
        <v>1654.6</v>
      </c>
      <c r="D42" s="1">
        <f>IFERROR(__xludf.DUMMYFUNCTION("""COMPUTED_VALUE"""),1630.39)</f>
        <v>1630.39</v>
      </c>
      <c r="E42" s="1">
        <f>IFERROR(__xludf.DUMMYFUNCTION("""COMPUTED_VALUE"""),1633.0)</f>
        <v>1633</v>
      </c>
      <c r="F42" s="1">
        <f>IFERROR(__xludf.DUMMYFUNCTION("""COMPUTED_VALUE"""),3184462.0)</f>
        <v>3184462</v>
      </c>
    </row>
    <row r="43" ht="15.75" customHeight="1">
      <c r="A43" s="10">
        <f>IFERROR(__xludf.DUMMYFUNCTION("""COMPUTED_VALUE"""),43522.66666666667)</f>
        <v>43522.66667</v>
      </c>
      <c r="B43" s="1">
        <f>IFERROR(__xludf.DUMMYFUNCTION("""COMPUTED_VALUE"""),1625.98)</f>
        <v>1625.98</v>
      </c>
      <c r="C43" s="1">
        <f>IFERROR(__xludf.DUMMYFUNCTION("""COMPUTED_VALUE"""),1639.99)</f>
        <v>1639.99</v>
      </c>
      <c r="D43" s="1">
        <f>IFERROR(__xludf.DUMMYFUNCTION("""COMPUTED_VALUE"""),1616.13)</f>
        <v>1616.13</v>
      </c>
      <c r="E43" s="1">
        <f>IFERROR(__xludf.DUMMYFUNCTION("""COMPUTED_VALUE"""),1636.4)</f>
        <v>1636.4</v>
      </c>
      <c r="F43" s="1">
        <f>IFERROR(__xludf.DUMMYFUNCTION("""COMPUTED_VALUE"""),2665815.0)</f>
        <v>2665815</v>
      </c>
    </row>
    <row r="44" ht="15.75" customHeight="1">
      <c r="A44" s="10">
        <f>IFERROR(__xludf.DUMMYFUNCTION("""COMPUTED_VALUE"""),43523.66666666667)</f>
        <v>43523.66667</v>
      </c>
      <c r="B44" s="1">
        <f>IFERROR(__xludf.DUMMYFUNCTION("""COMPUTED_VALUE"""),1628.18)</f>
        <v>1628.18</v>
      </c>
      <c r="C44" s="1">
        <f>IFERROR(__xludf.DUMMYFUNCTION("""COMPUTED_VALUE"""),1641.81)</f>
        <v>1641.81</v>
      </c>
      <c r="D44" s="1">
        <f>IFERROR(__xludf.DUMMYFUNCTION("""COMPUTED_VALUE"""),1615.1)</f>
        <v>1615.1</v>
      </c>
      <c r="E44" s="1">
        <f>IFERROR(__xludf.DUMMYFUNCTION("""COMPUTED_VALUE"""),1641.09)</f>
        <v>1641.09</v>
      </c>
      <c r="F44" s="1">
        <f>IFERROR(__xludf.DUMMYFUNCTION("""COMPUTED_VALUE"""),3148824.0)</f>
        <v>3148824</v>
      </c>
    </row>
    <row r="45" ht="15.75" customHeight="1">
      <c r="A45" s="10">
        <f>IFERROR(__xludf.DUMMYFUNCTION("""COMPUTED_VALUE"""),43524.66666666667)</f>
        <v>43524.66667</v>
      </c>
      <c r="B45" s="1">
        <f>IFERROR(__xludf.DUMMYFUNCTION("""COMPUTED_VALUE"""),1635.25)</f>
        <v>1635.25</v>
      </c>
      <c r="C45" s="1">
        <f>IFERROR(__xludf.DUMMYFUNCTION("""COMPUTED_VALUE"""),1651.77)</f>
        <v>1651.77</v>
      </c>
      <c r="D45" s="1">
        <f>IFERROR(__xludf.DUMMYFUNCTION("""COMPUTED_VALUE"""),1633.83)</f>
        <v>1633.83</v>
      </c>
      <c r="E45" s="1">
        <f>IFERROR(__xludf.DUMMYFUNCTION("""COMPUTED_VALUE"""),1639.83)</f>
        <v>1639.83</v>
      </c>
      <c r="F45" s="1">
        <f>IFERROR(__xludf.DUMMYFUNCTION("""COMPUTED_VALUE"""),3025891.0)</f>
        <v>3025891</v>
      </c>
    </row>
    <row r="46" ht="15.75" customHeight="1">
      <c r="A46" s="10">
        <f>IFERROR(__xludf.DUMMYFUNCTION("""COMPUTED_VALUE"""),43525.66666666667)</f>
        <v>43525.66667</v>
      </c>
      <c r="B46" s="1">
        <f>IFERROR(__xludf.DUMMYFUNCTION("""COMPUTED_VALUE"""),1655.13)</f>
        <v>1655.13</v>
      </c>
      <c r="C46" s="1">
        <f>IFERROR(__xludf.DUMMYFUNCTION("""COMPUTED_VALUE"""),1674.26)</f>
        <v>1674.26</v>
      </c>
      <c r="D46" s="1">
        <f>IFERROR(__xludf.DUMMYFUNCTION("""COMPUTED_VALUE"""),1651.0)</f>
        <v>1651</v>
      </c>
      <c r="E46" s="1">
        <f>IFERROR(__xludf.DUMMYFUNCTION("""COMPUTED_VALUE"""),1671.73)</f>
        <v>1671.73</v>
      </c>
      <c r="F46" s="1">
        <f>IFERROR(__xludf.DUMMYFUNCTION("""COMPUTED_VALUE"""),4974877.0)</f>
        <v>4974877</v>
      </c>
    </row>
    <row r="47" ht="15.75" customHeight="1">
      <c r="A47" s="10">
        <f>IFERROR(__xludf.DUMMYFUNCTION("""COMPUTED_VALUE"""),43528.66666666667)</f>
        <v>43528.66667</v>
      </c>
      <c r="B47" s="1">
        <f>IFERROR(__xludf.DUMMYFUNCTION("""COMPUTED_VALUE"""),1685.0)</f>
        <v>1685</v>
      </c>
      <c r="C47" s="1">
        <f>IFERROR(__xludf.DUMMYFUNCTION("""COMPUTED_VALUE"""),1709.43)</f>
        <v>1709.43</v>
      </c>
      <c r="D47" s="1">
        <f>IFERROR(__xludf.DUMMYFUNCTION("""COMPUTED_VALUE"""),1674.36)</f>
        <v>1674.36</v>
      </c>
      <c r="E47" s="1">
        <f>IFERROR(__xludf.DUMMYFUNCTION("""COMPUTED_VALUE"""),1696.17)</f>
        <v>1696.17</v>
      </c>
      <c r="F47" s="1">
        <f>IFERROR(__xludf.DUMMYFUNCTION("""COMPUTED_VALUE"""),6167358.0)</f>
        <v>6167358</v>
      </c>
    </row>
    <row r="48" ht="15.75" customHeight="1">
      <c r="A48" s="10">
        <f>IFERROR(__xludf.DUMMYFUNCTION("""COMPUTED_VALUE"""),43529.66666666667)</f>
        <v>43529.66667</v>
      </c>
      <c r="B48" s="1">
        <f>IFERROR(__xludf.DUMMYFUNCTION("""COMPUTED_VALUE"""),1702.95)</f>
        <v>1702.95</v>
      </c>
      <c r="C48" s="1">
        <f>IFERROR(__xludf.DUMMYFUNCTION("""COMPUTED_VALUE"""),1707.8)</f>
        <v>1707.8</v>
      </c>
      <c r="D48" s="1">
        <f>IFERROR(__xludf.DUMMYFUNCTION("""COMPUTED_VALUE"""),1689.01)</f>
        <v>1689.01</v>
      </c>
      <c r="E48" s="1">
        <f>IFERROR(__xludf.DUMMYFUNCTION("""COMPUTED_VALUE"""),1692.43)</f>
        <v>1692.43</v>
      </c>
      <c r="F48" s="1">
        <f>IFERROR(__xludf.DUMMYFUNCTION("""COMPUTED_VALUE"""),3681522.0)</f>
        <v>3681522</v>
      </c>
    </row>
    <row r="49" ht="15.75" customHeight="1">
      <c r="A49" s="10">
        <f>IFERROR(__xludf.DUMMYFUNCTION("""COMPUTED_VALUE"""),43530.66666666667)</f>
        <v>43530.66667</v>
      </c>
      <c r="B49" s="1">
        <f>IFERROR(__xludf.DUMMYFUNCTION("""COMPUTED_VALUE"""),1695.97)</f>
        <v>1695.97</v>
      </c>
      <c r="C49" s="1">
        <f>IFERROR(__xludf.DUMMYFUNCTION("""COMPUTED_VALUE"""),1697.75)</f>
        <v>1697.75</v>
      </c>
      <c r="D49" s="1">
        <f>IFERROR(__xludf.DUMMYFUNCTION("""COMPUTED_VALUE"""),1668.28)</f>
        <v>1668.28</v>
      </c>
      <c r="E49" s="1">
        <f>IFERROR(__xludf.DUMMYFUNCTION("""COMPUTED_VALUE"""),1668.95)</f>
        <v>1668.95</v>
      </c>
      <c r="F49" s="1">
        <f>IFERROR(__xludf.DUMMYFUNCTION("""COMPUTED_VALUE"""),3996001.0)</f>
        <v>3996001</v>
      </c>
    </row>
    <row r="50" ht="15.75" customHeight="1">
      <c r="A50" s="10">
        <f>IFERROR(__xludf.DUMMYFUNCTION("""COMPUTED_VALUE"""),43531.66666666667)</f>
        <v>43531.66667</v>
      </c>
      <c r="B50" s="1">
        <f>IFERROR(__xludf.DUMMYFUNCTION("""COMPUTED_VALUE"""),1667.37)</f>
        <v>1667.37</v>
      </c>
      <c r="C50" s="1">
        <f>IFERROR(__xludf.DUMMYFUNCTION("""COMPUTED_VALUE"""),1669.75)</f>
        <v>1669.75</v>
      </c>
      <c r="D50" s="1">
        <f>IFERROR(__xludf.DUMMYFUNCTION("""COMPUTED_VALUE"""),1620.51)</f>
        <v>1620.51</v>
      </c>
      <c r="E50" s="1">
        <f>IFERROR(__xludf.DUMMYFUNCTION("""COMPUTED_VALUE"""),1625.95)</f>
        <v>1625.95</v>
      </c>
      <c r="F50" s="1">
        <f>IFERROR(__xludf.DUMMYFUNCTION("""COMPUTED_VALUE"""),4957017.0)</f>
        <v>4957017</v>
      </c>
    </row>
    <row r="51" ht="15.75" customHeight="1">
      <c r="A51" s="10">
        <f>IFERROR(__xludf.DUMMYFUNCTION("""COMPUTED_VALUE"""),43532.66666666667)</f>
        <v>43532.66667</v>
      </c>
      <c r="B51" s="1">
        <f>IFERROR(__xludf.DUMMYFUNCTION("""COMPUTED_VALUE"""),1604.01)</f>
        <v>1604.01</v>
      </c>
      <c r="C51" s="1">
        <f>IFERROR(__xludf.DUMMYFUNCTION("""COMPUTED_VALUE"""),1622.72)</f>
        <v>1622.72</v>
      </c>
      <c r="D51" s="1">
        <f>IFERROR(__xludf.DUMMYFUNCTION("""COMPUTED_VALUE"""),1586.57)</f>
        <v>1586.57</v>
      </c>
      <c r="E51" s="1">
        <f>IFERROR(__xludf.DUMMYFUNCTION("""COMPUTED_VALUE"""),1620.8)</f>
        <v>1620.8</v>
      </c>
      <c r="F51" s="1">
        <f>IFERROR(__xludf.DUMMYFUNCTION("""COMPUTED_VALUE"""),4667014.0)</f>
        <v>4667014</v>
      </c>
    </row>
    <row r="52" ht="15.75" customHeight="1">
      <c r="A52" s="10">
        <f>IFERROR(__xludf.DUMMYFUNCTION("""COMPUTED_VALUE"""),43535.66666666667)</f>
        <v>43535.66667</v>
      </c>
      <c r="B52" s="1">
        <f>IFERROR(__xludf.DUMMYFUNCTION("""COMPUTED_VALUE"""),1626.12)</f>
        <v>1626.12</v>
      </c>
      <c r="C52" s="1">
        <f>IFERROR(__xludf.DUMMYFUNCTION("""COMPUTED_VALUE"""),1672.29)</f>
        <v>1672.29</v>
      </c>
      <c r="D52" s="1">
        <f>IFERROR(__xludf.DUMMYFUNCTION("""COMPUTED_VALUE"""),1626.01)</f>
        <v>1626.01</v>
      </c>
      <c r="E52" s="1">
        <f>IFERROR(__xludf.DUMMYFUNCTION("""COMPUTED_VALUE"""),1670.62)</f>
        <v>1670.62</v>
      </c>
      <c r="F52" s="1">
        <f>IFERROR(__xludf.DUMMYFUNCTION("""COMPUTED_VALUE"""),3876352.0)</f>
        <v>3876352</v>
      </c>
    </row>
    <row r="53" ht="15.75" customHeight="1">
      <c r="A53" s="10">
        <f>IFERROR(__xludf.DUMMYFUNCTION("""COMPUTED_VALUE"""),43536.66666666667)</f>
        <v>43536.66667</v>
      </c>
      <c r="B53" s="1">
        <f>IFERROR(__xludf.DUMMYFUNCTION("""COMPUTED_VALUE"""),1669.0)</f>
        <v>1669</v>
      </c>
      <c r="C53" s="1">
        <f>IFERROR(__xludf.DUMMYFUNCTION("""COMPUTED_VALUE"""),1684.27)</f>
        <v>1684.27</v>
      </c>
      <c r="D53" s="1">
        <f>IFERROR(__xludf.DUMMYFUNCTION("""COMPUTED_VALUE"""),1660.98)</f>
        <v>1660.98</v>
      </c>
      <c r="E53" s="1">
        <f>IFERROR(__xludf.DUMMYFUNCTION("""COMPUTED_VALUE"""),1673.1)</f>
        <v>1673.1</v>
      </c>
      <c r="F53" s="1">
        <f>IFERROR(__xludf.DUMMYFUNCTION("""COMPUTED_VALUE"""),3614498.0)</f>
        <v>3614498</v>
      </c>
    </row>
    <row r="54" ht="15.75" customHeight="1">
      <c r="A54" s="10">
        <f>IFERROR(__xludf.DUMMYFUNCTION("""COMPUTED_VALUE"""),43537.66666666667)</f>
        <v>43537.66667</v>
      </c>
      <c r="B54" s="1">
        <f>IFERROR(__xludf.DUMMYFUNCTION("""COMPUTED_VALUE"""),1683.0)</f>
        <v>1683</v>
      </c>
      <c r="C54" s="1">
        <f>IFERROR(__xludf.DUMMYFUNCTION("""COMPUTED_VALUE"""),1700.0)</f>
        <v>1700</v>
      </c>
      <c r="D54" s="1">
        <f>IFERROR(__xludf.DUMMYFUNCTION("""COMPUTED_VALUE"""),1679.35)</f>
        <v>1679.35</v>
      </c>
      <c r="E54" s="1">
        <f>IFERROR(__xludf.DUMMYFUNCTION("""COMPUTED_VALUE"""),1690.81)</f>
        <v>1690.81</v>
      </c>
      <c r="F54" s="1">
        <f>IFERROR(__xludf.DUMMYFUNCTION("""COMPUTED_VALUE"""),3552041.0)</f>
        <v>3552041</v>
      </c>
    </row>
    <row r="55" ht="15.75" customHeight="1">
      <c r="A55" s="10">
        <f>IFERROR(__xludf.DUMMYFUNCTION("""COMPUTED_VALUE"""),43538.66666666667)</f>
        <v>43538.66667</v>
      </c>
      <c r="B55" s="1">
        <f>IFERROR(__xludf.DUMMYFUNCTION("""COMPUTED_VALUE"""),1691.2)</f>
        <v>1691.2</v>
      </c>
      <c r="C55" s="1">
        <f>IFERROR(__xludf.DUMMYFUNCTION("""COMPUTED_VALUE"""),1702.0)</f>
        <v>1702</v>
      </c>
      <c r="D55" s="1">
        <f>IFERROR(__xludf.DUMMYFUNCTION("""COMPUTED_VALUE"""),1684.34)</f>
        <v>1684.34</v>
      </c>
      <c r="E55" s="1">
        <f>IFERROR(__xludf.DUMMYFUNCTION("""COMPUTED_VALUE"""),1686.22)</f>
        <v>1686.22</v>
      </c>
      <c r="F55" s="1">
        <f>IFERROR(__xludf.DUMMYFUNCTION("""COMPUTED_VALUE"""),2946618.0)</f>
        <v>2946618</v>
      </c>
    </row>
    <row r="56" ht="15.75" customHeight="1">
      <c r="A56" s="10">
        <f>IFERROR(__xludf.DUMMYFUNCTION("""COMPUTED_VALUE"""),43539.66666666667)</f>
        <v>43539.66667</v>
      </c>
      <c r="B56" s="1">
        <f>IFERROR(__xludf.DUMMYFUNCTION("""COMPUTED_VALUE"""),1703.0)</f>
        <v>1703</v>
      </c>
      <c r="C56" s="1">
        <f>IFERROR(__xludf.DUMMYFUNCTION("""COMPUTED_VALUE"""),1718.8)</f>
        <v>1718.8</v>
      </c>
      <c r="D56" s="1">
        <f>IFERROR(__xludf.DUMMYFUNCTION("""COMPUTED_VALUE"""),1693.13)</f>
        <v>1693.13</v>
      </c>
      <c r="E56" s="1">
        <f>IFERROR(__xludf.DUMMYFUNCTION("""COMPUTED_VALUE"""),1712.36)</f>
        <v>1712.36</v>
      </c>
      <c r="F56" s="1">
        <f>IFERROR(__xludf.DUMMYFUNCTION("""COMPUTED_VALUE"""),7550870.0)</f>
        <v>7550870</v>
      </c>
    </row>
    <row r="57" ht="15.75" customHeight="1">
      <c r="A57" s="10">
        <f>IFERROR(__xludf.DUMMYFUNCTION("""COMPUTED_VALUE"""),43542.66666666667)</f>
        <v>43542.66667</v>
      </c>
      <c r="B57" s="1">
        <f>IFERROR(__xludf.DUMMYFUNCTION("""COMPUTED_VALUE"""),1712.7)</f>
        <v>1712.7</v>
      </c>
      <c r="C57" s="1">
        <f>IFERROR(__xludf.DUMMYFUNCTION("""COMPUTED_VALUE"""),1750.0)</f>
        <v>1750</v>
      </c>
      <c r="D57" s="1">
        <f>IFERROR(__xludf.DUMMYFUNCTION("""COMPUTED_VALUE"""),1712.63)</f>
        <v>1712.63</v>
      </c>
      <c r="E57" s="1">
        <f>IFERROR(__xludf.DUMMYFUNCTION("""COMPUTED_VALUE"""),1742.15)</f>
        <v>1742.15</v>
      </c>
      <c r="F57" s="1">
        <f>IFERROR(__xludf.DUMMYFUNCTION("""COMPUTED_VALUE"""),5429058.0)</f>
        <v>5429058</v>
      </c>
    </row>
    <row r="58" ht="15.75" customHeight="1">
      <c r="A58" s="10">
        <f>IFERROR(__xludf.DUMMYFUNCTION("""COMPUTED_VALUE"""),43543.66666666667)</f>
        <v>43543.66667</v>
      </c>
      <c r="B58" s="1">
        <f>IFERROR(__xludf.DUMMYFUNCTION("""COMPUTED_VALUE"""),1753.51)</f>
        <v>1753.51</v>
      </c>
      <c r="C58" s="1">
        <f>IFERROR(__xludf.DUMMYFUNCTION("""COMPUTED_VALUE"""),1784.16)</f>
        <v>1784.16</v>
      </c>
      <c r="D58" s="1">
        <f>IFERROR(__xludf.DUMMYFUNCTION("""COMPUTED_VALUE"""),1753.51)</f>
        <v>1753.51</v>
      </c>
      <c r="E58" s="1">
        <f>IFERROR(__xludf.DUMMYFUNCTION("""COMPUTED_VALUE"""),1761.85)</f>
        <v>1761.85</v>
      </c>
      <c r="F58" s="1">
        <f>IFERROR(__xludf.DUMMYFUNCTION("""COMPUTED_VALUE"""),6364161.0)</f>
        <v>6364161</v>
      </c>
    </row>
    <row r="59" ht="15.75" customHeight="1">
      <c r="A59" s="10">
        <f>IFERROR(__xludf.DUMMYFUNCTION("""COMPUTED_VALUE"""),43544.66666666667)</f>
        <v>43544.66667</v>
      </c>
      <c r="B59" s="1">
        <f>IFERROR(__xludf.DUMMYFUNCTION("""COMPUTED_VALUE"""),1769.94)</f>
        <v>1769.94</v>
      </c>
      <c r="C59" s="1">
        <f>IFERROR(__xludf.DUMMYFUNCTION("""COMPUTED_VALUE"""),1799.5)</f>
        <v>1799.5</v>
      </c>
      <c r="D59" s="1">
        <f>IFERROR(__xludf.DUMMYFUNCTION("""COMPUTED_VALUE"""),1767.03)</f>
        <v>1767.03</v>
      </c>
      <c r="E59" s="1">
        <f>IFERROR(__xludf.DUMMYFUNCTION("""COMPUTED_VALUE"""),1797.27)</f>
        <v>1797.27</v>
      </c>
      <c r="F59" s="1">
        <f>IFERROR(__xludf.DUMMYFUNCTION("""COMPUTED_VALUE"""),6265633.0)</f>
        <v>6265633</v>
      </c>
    </row>
    <row r="60" ht="15.75" customHeight="1">
      <c r="A60" s="10">
        <f>IFERROR(__xludf.DUMMYFUNCTION("""COMPUTED_VALUE"""),43545.66666666667)</f>
        <v>43545.66667</v>
      </c>
      <c r="B60" s="1">
        <f>IFERROR(__xludf.DUMMYFUNCTION("""COMPUTED_VALUE"""),1796.26)</f>
        <v>1796.26</v>
      </c>
      <c r="C60" s="1">
        <f>IFERROR(__xludf.DUMMYFUNCTION("""COMPUTED_VALUE"""),1823.75)</f>
        <v>1823.75</v>
      </c>
      <c r="D60" s="1">
        <f>IFERROR(__xludf.DUMMYFUNCTION("""COMPUTED_VALUE"""),1787.28)</f>
        <v>1787.28</v>
      </c>
      <c r="E60" s="1">
        <f>IFERROR(__xludf.DUMMYFUNCTION("""COMPUTED_VALUE"""),1819.26)</f>
        <v>1819.26</v>
      </c>
      <c r="F60" s="1">
        <f>IFERROR(__xludf.DUMMYFUNCTION("""COMPUTED_VALUE"""),5767797.0)</f>
        <v>5767797</v>
      </c>
    </row>
    <row r="61" ht="15.75" customHeight="1">
      <c r="A61" s="10">
        <f>IFERROR(__xludf.DUMMYFUNCTION("""COMPUTED_VALUE"""),43546.66666666667)</f>
        <v>43546.66667</v>
      </c>
      <c r="B61" s="1">
        <f>IFERROR(__xludf.DUMMYFUNCTION("""COMPUTED_VALUE"""),1810.17)</f>
        <v>1810.17</v>
      </c>
      <c r="C61" s="1">
        <f>IFERROR(__xludf.DUMMYFUNCTION("""COMPUTED_VALUE"""),1818.98)</f>
        <v>1818.98</v>
      </c>
      <c r="D61" s="1">
        <f>IFERROR(__xludf.DUMMYFUNCTION("""COMPUTED_VALUE"""),1763.11)</f>
        <v>1763.11</v>
      </c>
      <c r="E61" s="1">
        <f>IFERROR(__xludf.DUMMYFUNCTION("""COMPUTED_VALUE"""),1764.77)</f>
        <v>1764.77</v>
      </c>
      <c r="F61" s="1">
        <f>IFERROR(__xludf.DUMMYFUNCTION("""COMPUTED_VALUE"""),6362983.0)</f>
        <v>6362983</v>
      </c>
    </row>
    <row r="62" ht="15.75" customHeight="1">
      <c r="A62" s="10">
        <f>IFERROR(__xludf.DUMMYFUNCTION("""COMPUTED_VALUE"""),43549.66666666667)</f>
        <v>43549.66667</v>
      </c>
      <c r="B62" s="1">
        <f>IFERROR(__xludf.DUMMYFUNCTION("""COMPUTED_VALUE"""),1757.79)</f>
        <v>1757.79</v>
      </c>
      <c r="C62" s="1">
        <f>IFERROR(__xludf.DUMMYFUNCTION("""COMPUTED_VALUE"""),1782.68)</f>
        <v>1782.68</v>
      </c>
      <c r="D62" s="1">
        <f>IFERROR(__xludf.DUMMYFUNCTION("""COMPUTED_VALUE"""),1747.5)</f>
        <v>1747.5</v>
      </c>
      <c r="E62" s="1">
        <f>IFERROR(__xludf.DUMMYFUNCTION("""COMPUTED_VALUE"""),1774.26)</f>
        <v>1774.26</v>
      </c>
      <c r="F62" s="1">
        <f>IFERROR(__xludf.DUMMYFUNCTION("""COMPUTED_VALUE"""),5103803.0)</f>
        <v>5103803</v>
      </c>
    </row>
    <row r="63" ht="15.75" customHeight="1">
      <c r="A63" s="10">
        <f>IFERROR(__xludf.DUMMYFUNCTION("""COMPUTED_VALUE"""),43550.66666666667)</f>
        <v>43550.66667</v>
      </c>
      <c r="B63" s="1">
        <f>IFERROR(__xludf.DUMMYFUNCTION("""COMPUTED_VALUE"""),1793.0)</f>
        <v>1793</v>
      </c>
      <c r="C63" s="1">
        <f>IFERROR(__xludf.DUMMYFUNCTION("""COMPUTED_VALUE"""),1805.77)</f>
        <v>1805.77</v>
      </c>
      <c r="D63" s="1">
        <f>IFERROR(__xludf.DUMMYFUNCTION("""COMPUTED_VALUE"""),1773.36)</f>
        <v>1773.36</v>
      </c>
      <c r="E63" s="1">
        <f>IFERROR(__xludf.DUMMYFUNCTION("""COMPUTED_VALUE"""),1783.76)</f>
        <v>1783.76</v>
      </c>
      <c r="F63" s="1">
        <f>IFERROR(__xludf.DUMMYFUNCTION("""COMPUTED_VALUE"""),4865880.0)</f>
        <v>4865880</v>
      </c>
    </row>
    <row r="64" ht="15.75" customHeight="1">
      <c r="A64" s="10">
        <f>IFERROR(__xludf.DUMMYFUNCTION("""COMPUTED_VALUE"""),43551.66666666667)</f>
        <v>43551.66667</v>
      </c>
      <c r="B64" s="1">
        <f>IFERROR(__xludf.DUMMYFUNCTION("""COMPUTED_VALUE"""),1784.13)</f>
        <v>1784.13</v>
      </c>
      <c r="C64" s="1">
        <f>IFERROR(__xludf.DUMMYFUNCTION("""COMPUTED_VALUE"""),1787.5)</f>
        <v>1787.5</v>
      </c>
      <c r="D64" s="1">
        <f>IFERROR(__xludf.DUMMYFUNCTION("""COMPUTED_VALUE"""),1745.68)</f>
        <v>1745.68</v>
      </c>
      <c r="E64" s="1">
        <f>IFERROR(__xludf.DUMMYFUNCTION("""COMPUTED_VALUE"""),1765.7)</f>
        <v>1765.7</v>
      </c>
      <c r="F64" s="1">
        <f>IFERROR(__xludf.DUMMYFUNCTION("""COMPUTED_VALUE"""),4324801.0)</f>
        <v>4324801</v>
      </c>
    </row>
    <row r="65" ht="15.75" customHeight="1">
      <c r="A65" s="10">
        <f>IFERROR(__xludf.DUMMYFUNCTION("""COMPUTED_VALUE"""),43552.66666666667)</f>
        <v>43552.66667</v>
      </c>
      <c r="B65" s="1">
        <f>IFERROR(__xludf.DUMMYFUNCTION("""COMPUTED_VALUE"""),1770.0)</f>
        <v>1770</v>
      </c>
      <c r="C65" s="1">
        <f>IFERROR(__xludf.DUMMYFUNCTION("""COMPUTED_VALUE"""),1777.93)</f>
        <v>1777.93</v>
      </c>
      <c r="D65" s="1">
        <f>IFERROR(__xludf.DUMMYFUNCTION("""COMPUTED_VALUE"""),1753.47)</f>
        <v>1753.47</v>
      </c>
      <c r="E65" s="1">
        <f>IFERROR(__xludf.DUMMYFUNCTION("""COMPUTED_VALUE"""),1773.42)</f>
        <v>1773.42</v>
      </c>
      <c r="F65" s="1">
        <f>IFERROR(__xludf.DUMMYFUNCTION("""COMPUTED_VALUE"""),3042958.0)</f>
        <v>3042958</v>
      </c>
    </row>
    <row r="66" ht="15.75" customHeight="1">
      <c r="A66" s="10">
        <f>IFERROR(__xludf.DUMMYFUNCTION("""COMPUTED_VALUE"""),43553.66666666667)</f>
        <v>43553.66667</v>
      </c>
      <c r="B66" s="1">
        <f>IFERROR(__xludf.DUMMYFUNCTION("""COMPUTED_VALUE"""),1786.58)</f>
        <v>1786.58</v>
      </c>
      <c r="C66" s="1">
        <f>IFERROR(__xludf.DUMMYFUNCTION("""COMPUTED_VALUE"""),1792.86)</f>
        <v>1792.86</v>
      </c>
      <c r="D66" s="1">
        <f>IFERROR(__xludf.DUMMYFUNCTION("""COMPUTED_VALUE"""),1776.63)</f>
        <v>1776.63</v>
      </c>
      <c r="E66" s="1">
        <f>IFERROR(__xludf.DUMMYFUNCTION("""COMPUTED_VALUE"""),1780.75)</f>
        <v>1780.75</v>
      </c>
      <c r="F66" s="1">
        <f>IFERROR(__xludf.DUMMYFUNCTION("""COMPUTED_VALUE"""),3320793.0)</f>
        <v>3320793</v>
      </c>
    </row>
    <row r="67" ht="15.75" customHeight="1">
      <c r="A67" s="10">
        <f>IFERROR(__xludf.DUMMYFUNCTION("""COMPUTED_VALUE"""),43556.66666666667)</f>
        <v>43556.66667</v>
      </c>
      <c r="B67" s="1">
        <f>IFERROR(__xludf.DUMMYFUNCTION("""COMPUTED_VALUE"""),1800.11)</f>
        <v>1800.11</v>
      </c>
      <c r="C67" s="1">
        <f>IFERROR(__xludf.DUMMYFUNCTION("""COMPUTED_VALUE"""),1815.67)</f>
        <v>1815.67</v>
      </c>
      <c r="D67" s="1">
        <f>IFERROR(__xludf.DUMMYFUNCTION("""COMPUTED_VALUE"""),1798.73)</f>
        <v>1798.73</v>
      </c>
      <c r="E67" s="1">
        <f>IFERROR(__xludf.DUMMYFUNCTION("""COMPUTED_VALUE"""),1814.19)</f>
        <v>1814.19</v>
      </c>
      <c r="F67" s="1">
        <f>IFERROR(__xludf.DUMMYFUNCTION("""COMPUTED_VALUE"""),4238752.0)</f>
        <v>4238752</v>
      </c>
    </row>
    <row r="68" ht="15.75" customHeight="1">
      <c r="A68" s="10">
        <f>IFERROR(__xludf.DUMMYFUNCTION("""COMPUTED_VALUE"""),43557.66666666667)</f>
        <v>43557.66667</v>
      </c>
      <c r="B68" s="1">
        <f>IFERROR(__xludf.DUMMYFUNCTION("""COMPUTED_VALUE"""),1811.02)</f>
        <v>1811.02</v>
      </c>
      <c r="C68" s="1">
        <f>IFERROR(__xludf.DUMMYFUNCTION("""COMPUTED_VALUE"""),1820.0)</f>
        <v>1820</v>
      </c>
      <c r="D68" s="1">
        <f>IFERROR(__xludf.DUMMYFUNCTION("""COMPUTED_VALUE"""),1805.12)</f>
        <v>1805.12</v>
      </c>
      <c r="E68" s="1">
        <f>IFERROR(__xludf.DUMMYFUNCTION("""COMPUTED_VALUE"""),1813.98)</f>
        <v>1813.98</v>
      </c>
      <c r="F68" s="1">
        <f>IFERROR(__xludf.DUMMYFUNCTION("""COMPUTED_VALUE"""),3448115.0)</f>
        <v>3448115</v>
      </c>
    </row>
    <row r="69" ht="15.75" customHeight="1">
      <c r="A69" s="10">
        <f>IFERROR(__xludf.DUMMYFUNCTION("""COMPUTED_VALUE"""),43558.66666666667)</f>
        <v>43558.66667</v>
      </c>
      <c r="B69" s="1">
        <f>IFERROR(__xludf.DUMMYFUNCTION("""COMPUTED_VALUE"""),1826.72)</f>
        <v>1826.72</v>
      </c>
      <c r="C69" s="1">
        <f>IFERROR(__xludf.DUMMYFUNCTION("""COMPUTED_VALUE"""),1830.0)</f>
        <v>1830</v>
      </c>
      <c r="D69" s="1">
        <f>IFERROR(__xludf.DUMMYFUNCTION("""COMPUTED_VALUE"""),1809.62)</f>
        <v>1809.62</v>
      </c>
      <c r="E69" s="1">
        <f>IFERROR(__xludf.DUMMYFUNCTION("""COMPUTED_VALUE"""),1820.7)</f>
        <v>1820.7</v>
      </c>
      <c r="F69" s="1">
        <f>IFERROR(__xludf.DUMMYFUNCTION("""COMPUTED_VALUE"""),3980590.0)</f>
        <v>3980590</v>
      </c>
    </row>
    <row r="70" ht="15.75" customHeight="1">
      <c r="A70" s="10">
        <f>IFERROR(__xludf.DUMMYFUNCTION("""COMPUTED_VALUE"""),43559.66666666667)</f>
        <v>43559.66667</v>
      </c>
      <c r="B70" s="1">
        <f>IFERROR(__xludf.DUMMYFUNCTION("""COMPUTED_VALUE"""),1820.65)</f>
        <v>1820.65</v>
      </c>
      <c r="C70" s="1">
        <f>IFERROR(__xludf.DUMMYFUNCTION("""COMPUTED_VALUE"""),1828.75)</f>
        <v>1828.75</v>
      </c>
      <c r="D70" s="1">
        <f>IFERROR(__xludf.DUMMYFUNCTION("""COMPUTED_VALUE"""),1804.2)</f>
        <v>1804.2</v>
      </c>
      <c r="E70" s="1">
        <f>IFERROR(__xludf.DUMMYFUNCTION("""COMPUTED_VALUE"""),1818.86)</f>
        <v>1818.86</v>
      </c>
      <c r="F70" s="1">
        <f>IFERROR(__xludf.DUMMYFUNCTION("""COMPUTED_VALUE"""),3623867.0)</f>
        <v>3623867</v>
      </c>
    </row>
    <row r="71" ht="15.75" customHeight="1">
      <c r="A71" s="10">
        <f>IFERROR(__xludf.DUMMYFUNCTION("""COMPUTED_VALUE"""),43560.66666666667)</f>
        <v>43560.66667</v>
      </c>
      <c r="B71" s="1">
        <f>IFERROR(__xludf.DUMMYFUNCTION("""COMPUTED_VALUE"""),1829.0)</f>
        <v>1829</v>
      </c>
      <c r="C71" s="1">
        <f>IFERROR(__xludf.DUMMYFUNCTION("""COMPUTED_VALUE"""),1838.58)</f>
        <v>1838.58</v>
      </c>
      <c r="D71" s="1">
        <f>IFERROR(__xludf.DUMMYFUNCTION("""COMPUTED_VALUE"""),1825.19)</f>
        <v>1825.19</v>
      </c>
      <c r="E71" s="1">
        <f>IFERROR(__xludf.DUMMYFUNCTION("""COMPUTED_VALUE"""),1837.28)</f>
        <v>1837.28</v>
      </c>
      <c r="F71" s="1">
        <f>IFERROR(__xludf.DUMMYFUNCTION("""COMPUTED_VALUE"""),3640476.0)</f>
        <v>3640476</v>
      </c>
    </row>
    <row r="72" ht="15.75" customHeight="1">
      <c r="A72" s="10">
        <f>IFERROR(__xludf.DUMMYFUNCTION("""COMPUTED_VALUE"""),43563.66666666667)</f>
        <v>43563.66667</v>
      </c>
      <c r="B72" s="1">
        <f>IFERROR(__xludf.DUMMYFUNCTION("""COMPUTED_VALUE"""),1833.23)</f>
        <v>1833.23</v>
      </c>
      <c r="C72" s="1">
        <f>IFERROR(__xludf.DUMMYFUNCTION("""COMPUTED_VALUE"""),1850.2)</f>
        <v>1850.2</v>
      </c>
      <c r="D72" s="1">
        <f>IFERROR(__xludf.DUMMYFUNCTION("""COMPUTED_VALUE"""),1825.11)</f>
        <v>1825.11</v>
      </c>
      <c r="E72" s="1">
        <f>IFERROR(__xludf.DUMMYFUNCTION("""COMPUTED_VALUE"""),1849.86)</f>
        <v>1849.86</v>
      </c>
      <c r="F72" s="1">
        <f>IFERROR(__xludf.DUMMYFUNCTION("""COMPUTED_VALUE"""),3752841.0)</f>
        <v>3752841</v>
      </c>
    </row>
    <row r="73" ht="15.75" customHeight="1">
      <c r="A73" s="10">
        <f>IFERROR(__xludf.DUMMYFUNCTION("""COMPUTED_VALUE"""),43564.66666666667)</f>
        <v>43564.66667</v>
      </c>
      <c r="B73" s="1">
        <f>IFERROR(__xludf.DUMMYFUNCTION("""COMPUTED_VALUE"""),1845.49)</f>
        <v>1845.49</v>
      </c>
      <c r="C73" s="1">
        <f>IFERROR(__xludf.DUMMYFUNCTION("""COMPUTED_VALUE"""),1853.09)</f>
        <v>1853.09</v>
      </c>
      <c r="D73" s="1">
        <f>IFERROR(__xludf.DUMMYFUNCTION("""COMPUTED_VALUE"""),1831.78)</f>
        <v>1831.78</v>
      </c>
      <c r="E73" s="1">
        <f>IFERROR(__xludf.DUMMYFUNCTION("""COMPUTED_VALUE"""),1835.84)</f>
        <v>1835.84</v>
      </c>
      <c r="F73" s="1">
        <f>IFERROR(__xludf.DUMMYFUNCTION("""COMPUTED_VALUE"""),3714368.0)</f>
        <v>3714368</v>
      </c>
    </row>
    <row r="74" ht="15.75" customHeight="1">
      <c r="A74" s="10">
        <f>IFERROR(__xludf.DUMMYFUNCTION("""COMPUTED_VALUE"""),43565.66666666667)</f>
        <v>43565.66667</v>
      </c>
      <c r="B74" s="1">
        <f>IFERROR(__xludf.DUMMYFUNCTION("""COMPUTED_VALUE"""),1841.0)</f>
        <v>1841</v>
      </c>
      <c r="C74" s="1">
        <f>IFERROR(__xludf.DUMMYFUNCTION("""COMPUTED_VALUE"""),1848.0)</f>
        <v>1848</v>
      </c>
      <c r="D74" s="1">
        <f>IFERROR(__xludf.DUMMYFUNCTION("""COMPUTED_VALUE"""),1828.81)</f>
        <v>1828.81</v>
      </c>
      <c r="E74" s="1">
        <f>IFERROR(__xludf.DUMMYFUNCTION("""COMPUTED_VALUE"""),1847.33)</f>
        <v>1847.33</v>
      </c>
      <c r="F74" s="1">
        <f>IFERROR(__xludf.DUMMYFUNCTION("""COMPUTED_VALUE"""),2963973.0)</f>
        <v>2963973</v>
      </c>
    </row>
    <row r="75" ht="15.75" customHeight="1">
      <c r="A75" s="10">
        <f>IFERROR(__xludf.DUMMYFUNCTION("""COMPUTED_VALUE"""),43566.66666666667)</f>
        <v>43566.66667</v>
      </c>
      <c r="B75" s="1">
        <f>IFERROR(__xludf.DUMMYFUNCTION("""COMPUTED_VALUE"""),1848.7)</f>
        <v>1848.7</v>
      </c>
      <c r="C75" s="1">
        <f>IFERROR(__xludf.DUMMYFUNCTION("""COMPUTED_VALUE"""),1849.95)</f>
        <v>1849.95</v>
      </c>
      <c r="D75" s="1">
        <f>IFERROR(__xludf.DUMMYFUNCTION("""COMPUTED_VALUE"""),1840.31)</f>
        <v>1840.31</v>
      </c>
      <c r="E75" s="1">
        <f>IFERROR(__xludf.DUMMYFUNCTION("""COMPUTED_VALUE"""),1844.07)</f>
        <v>1844.07</v>
      </c>
      <c r="F75" s="1">
        <f>IFERROR(__xludf.DUMMYFUNCTION("""COMPUTED_VALUE"""),2654842.0)</f>
        <v>2654842</v>
      </c>
    </row>
    <row r="76" ht="15.75" customHeight="1">
      <c r="A76" s="10">
        <f>IFERROR(__xludf.DUMMYFUNCTION("""COMPUTED_VALUE"""),43567.66666666667)</f>
        <v>43567.66667</v>
      </c>
      <c r="B76" s="1">
        <f>IFERROR(__xludf.DUMMYFUNCTION("""COMPUTED_VALUE"""),1848.4)</f>
        <v>1848.4</v>
      </c>
      <c r="C76" s="1">
        <f>IFERROR(__xludf.DUMMYFUNCTION("""COMPUTED_VALUE"""),1851.5)</f>
        <v>1851.5</v>
      </c>
      <c r="D76" s="1">
        <f>IFERROR(__xludf.DUMMYFUNCTION("""COMPUTED_VALUE"""),1841.3)</f>
        <v>1841.3</v>
      </c>
      <c r="E76" s="1">
        <f>IFERROR(__xludf.DUMMYFUNCTION("""COMPUTED_VALUE"""),1843.06)</f>
        <v>1843.06</v>
      </c>
      <c r="F76" s="1">
        <f>IFERROR(__xludf.DUMMYFUNCTION("""COMPUTED_VALUE"""),3114413.0)</f>
        <v>3114413</v>
      </c>
    </row>
    <row r="77" ht="15.75" customHeight="1">
      <c r="A77" s="10">
        <f>IFERROR(__xludf.DUMMYFUNCTION("""COMPUTED_VALUE"""),43570.66666666667)</f>
        <v>43570.66667</v>
      </c>
      <c r="B77" s="1">
        <f>IFERROR(__xludf.DUMMYFUNCTION("""COMPUTED_VALUE"""),1842.0)</f>
        <v>1842</v>
      </c>
      <c r="C77" s="1">
        <f>IFERROR(__xludf.DUMMYFUNCTION("""COMPUTED_VALUE"""),1846.85)</f>
        <v>1846.85</v>
      </c>
      <c r="D77" s="1">
        <f>IFERROR(__xludf.DUMMYFUNCTION("""COMPUTED_VALUE"""),1818.9)</f>
        <v>1818.9</v>
      </c>
      <c r="E77" s="1">
        <f>IFERROR(__xludf.DUMMYFUNCTION("""COMPUTED_VALUE"""),1844.87)</f>
        <v>1844.87</v>
      </c>
      <c r="F77" s="1">
        <f>IFERROR(__xludf.DUMMYFUNCTION("""COMPUTED_VALUE"""),3724423.0)</f>
        <v>3724423</v>
      </c>
    </row>
    <row r="78" ht="15.75" customHeight="1">
      <c r="A78" s="10">
        <f>IFERROR(__xludf.DUMMYFUNCTION("""COMPUTED_VALUE"""),43571.66666666667)</f>
        <v>43571.66667</v>
      </c>
      <c r="B78" s="1">
        <f>IFERROR(__xludf.DUMMYFUNCTION("""COMPUTED_VALUE"""),1851.35)</f>
        <v>1851.35</v>
      </c>
      <c r="C78" s="1">
        <f>IFERROR(__xludf.DUMMYFUNCTION("""COMPUTED_VALUE"""),1869.77)</f>
        <v>1869.77</v>
      </c>
      <c r="D78" s="1">
        <f>IFERROR(__xludf.DUMMYFUNCTION("""COMPUTED_VALUE"""),1848.0)</f>
        <v>1848</v>
      </c>
      <c r="E78" s="1">
        <f>IFERROR(__xludf.DUMMYFUNCTION("""COMPUTED_VALUE"""),1863.04)</f>
        <v>1863.04</v>
      </c>
      <c r="F78" s="1">
        <f>IFERROR(__xludf.DUMMYFUNCTION("""COMPUTED_VALUE"""),3044618.0)</f>
        <v>3044618</v>
      </c>
    </row>
    <row r="79" ht="15.75" customHeight="1">
      <c r="A79" s="10">
        <f>IFERROR(__xludf.DUMMYFUNCTION("""COMPUTED_VALUE"""),43572.66666666667)</f>
        <v>43572.66667</v>
      </c>
      <c r="B79" s="1">
        <f>IFERROR(__xludf.DUMMYFUNCTION("""COMPUTED_VALUE"""),1872.99)</f>
        <v>1872.99</v>
      </c>
      <c r="C79" s="1">
        <f>IFERROR(__xludf.DUMMYFUNCTION("""COMPUTED_VALUE"""),1876.47)</f>
        <v>1876.47</v>
      </c>
      <c r="D79" s="1">
        <f>IFERROR(__xludf.DUMMYFUNCTION("""COMPUTED_VALUE"""),1860.44)</f>
        <v>1860.44</v>
      </c>
      <c r="E79" s="1">
        <f>IFERROR(__xludf.DUMMYFUNCTION("""COMPUTED_VALUE"""),1864.82)</f>
        <v>1864.82</v>
      </c>
      <c r="F79" s="1">
        <f>IFERROR(__xludf.DUMMYFUNCTION("""COMPUTED_VALUE"""),2893517.0)</f>
        <v>2893517</v>
      </c>
    </row>
    <row r="80" ht="15.75" customHeight="1">
      <c r="A80" s="10">
        <f>IFERROR(__xludf.DUMMYFUNCTION("""COMPUTED_VALUE"""),43573.66666666667)</f>
        <v>43573.66667</v>
      </c>
      <c r="B80" s="1">
        <f>IFERROR(__xludf.DUMMYFUNCTION("""COMPUTED_VALUE"""),1868.79)</f>
        <v>1868.79</v>
      </c>
      <c r="C80" s="1">
        <f>IFERROR(__xludf.DUMMYFUNCTION("""COMPUTED_VALUE"""),1870.82)</f>
        <v>1870.82</v>
      </c>
      <c r="D80" s="1">
        <f>IFERROR(__xludf.DUMMYFUNCTION("""COMPUTED_VALUE"""),1859.48)</f>
        <v>1859.48</v>
      </c>
      <c r="E80" s="1">
        <f>IFERROR(__xludf.DUMMYFUNCTION("""COMPUTED_VALUE"""),1861.69)</f>
        <v>1861.69</v>
      </c>
      <c r="F80" s="1">
        <f>IFERROR(__xludf.DUMMYFUNCTION("""COMPUTED_VALUE"""),2749882.0)</f>
        <v>2749882</v>
      </c>
    </row>
    <row r="81" ht="15.75" customHeight="1">
      <c r="A81" s="10">
        <f>IFERROR(__xludf.DUMMYFUNCTION("""COMPUTED_VALUE"""),43577.66666666667)</f>
        <v>43577.66667</v>
      </c>
      <c r="B81" s="1">
        <f>IFERROR(__xludf.DUMMYFUNCTION("""COMPUTED_VALUE"""),1855.4)</f>
        <v>1855.4</v>
      </c>
      <c r="C81" s="1">
        <f>IFERROR(__xludf.DUMMYFUNCTION("""COMPUTED_VALUE"""),1888.42)</f>
        <v>1888.42</v>
      </c>
      <c r="D81" s="1">
        <f>IFERROR(__xludf.DUMMYFUNCTION("""COMPUTED_VALUE"""),1845.64)</f>
        <v>1845.64</v>
      </c>
      <c r="E81" s="1">
        <f>IFERROR(__xludf.DUMMYFUNCTION("""COMPUTED_VALUE"""),1887.31)</f>
        <v>1887.31</v>
      </c>
      <c r="F81" s="1">
        <f>IFERROR(__xludf.DUMMYFUNCTION("""COMPUTED_VALUE"""),3373807.0)</f>
        <v>3373807</v>
      </c>
    </row>
    <row r="82" ht="15.75" customHeight="1">
      <c r="A82" s="10">
        <f>IFERROR(__xludf.DUMMYFUNCTION("""COMPUTED_VALUE"""),43578.66666666667)</f>
        <v>43578.66667</v>
      </c>
      <c r="B82" s="1">
        <f>IFERROR(__xludf.DUMMYFUNCTION("""COMPUTED_VALUE"""),1891.2)</f>
        <v>1891.2</v>
      </c>
      <c r="C82" s="1">
        <f>IFERROR(__xludf.DUMMYFUNCTION("""COMPUTED_VALUE"""),1929.26)</f>
        <v>1929.26</v>
      </c>
      <c r="D82" s="1">
        <f>IFERROR(__xludf.DUMMYFUNCTION("""COMPUTED_VALUE"""),1889.58)</f>
        <v>1889.58</v>
      </c>
      <c r="E82" s="1">
        <f>IFERROR(__xludf.DUMMYFUNCTION("""COMPUTED_VALUE"""),1923.77)</f>
        <v>1923.77</v>
      </c>
      <c r="F82" s="1">
        <f>IFERROR(__xludf.DUMMYFUNCTION("""COMPUTED_VALUE"""),4640441.0)</f>
        <v>4640441</v>
      </c>
    </row>
    <row r="83" ht="15.75" customHeight="1">
      <c r="A83" s="10">
        <f>IFERROR(__xludf.DUMMYFUNCTION("""COMPUTED_VALUE"""),43579.66666666667)</f>
        <v>43579.66667</v>
      </c>
      <c r="B83" s="1">
        <f>IFERROR(__xludf.DUMMYFUNCTION("""COMPUTED_VALUE"""),1925.0)</f>
        <v>1925</v>
      </c>
      <c r="C83" s="1">
        <f>IFERROR(__xludf.DUMMYFUNCTION("""COMPUTED_VALUE"""),1929.69)</f>
        <v>1929.69</v>
      </c>
      <c r="D83" s="1">
        <f>IFERROR(__xludf.DUMMYFUNCTION("""COMPUTED_VALUE"""),1898.16)</f>
        <v>1898.16</v>
      </c>
      <c r="E83" s="1">
        <f>IFERROR(__xludf.DUMMYFUNCTION("""COMPUTED_VALUE"""),1901.75)</f>
        <v>1901.75</v>
      </c>
      <c r="F83" s="1">
        <f>IFERROR(__xludf.DUMMYFUNCTION("""COMPUTED_VALUE"""),3675781.0)</f>
        <v>3675781</v>
      </c>
    </row>
    <row r="84" ht="15.75" customHeight="1">
      <c r="A84" s="10">
        <f>IFERROR(__xludf.DUMMYFUNCTION("""COMPUTED_VALUE"""),43580.66666666667)</f>
        <v>43580.66667</v>
      </c>
      <c r="B84" s="1">
        <f>IFERROR(__xludf.DUMMYFUNCTION("""COMPUTED_VALUE"""),1917.0)</f>
        <v>1917</v>
      </c>
      <c r="C84" s="1">
        <f>IFERROR(__xludf.DUMMYFUNCTION("""COMPUTED_VALUE"""),1922.45)</f>
        <v>1922.45</v>
      </c>
      <c r="D84" s="1">
        <f>IFERROR(__xludf.DUMMYFUNCTION("""COMPUTED_VALUE"""),1900.31)</f>
        <v>1900.31</v>
      </c>
      <c r="E84" s="1">
        <f>IFERROR(__xludf.DUMMYFUNCTION("""COMPUTED_VALUE"""),1902.25)</f>
        <v>1902.25</v>
      </c>
      <c r="F84" s="1">
        <f>IFERROR(__xludf.DUMMYFUNCTION("""COMPUTED_VALUE"""),6099101.0)</f>
        <v>6099101</v>
      </c>
    </row>
    <row r="85" ht="15.75" customHeight="1">
      <c r="A85" s="10">
        <f>IFERROR(__xludf.DUMMYFUNCTION("""COMPUTED_VALUE"""),43581.66666666667)</f>
        <v>43581.66667</v>
      </c>
      <c r="B85" s="1">
        <f>IFERROR(__xludf.DUMMYFUNCTION("""COMPUTED_VALUE"""),1929.0)</f>
        <v>1929</v>
      </c>
      <c r="C85" s="1">
        <f>IFERROR(__xludf.DUMMYFUNCTION("""COMPUTED_VALUE"""),1951.0)</f>
        <v>1951</v>
      </c>
      <c r="D85" s="1">
        <f>IFERROR(__xludf.DUMMYFUNCTION("""COMPUTED_VALUE"""),1898.0)</f>
        <v>1898</v>
      </c>
      <c r="E85" s="1">
        <f>IFERROR(__xludf.DUMMYFUNCTION("""COMPUTED_VALUE"""),1950.63)</f>
        <v>1950.63</v>
      </c>
      <c r="F85" s="1">
        <f>IFERROR(__xludf.DUMMYFUNCTION("""COMPUTED_VALUE"""),8432563.0)</f>
        <v>8432563</v>
      </c>
    </row>
    <row r="86" ht="15.75" customHeight="1">
      <c r="A86" s="10">
        <f>IFERROR(__xludf.DUMMYFUNCTION("""COMPUTED_VALUE"""),43584.66666666667)</f>
        <v>43584.66667</v>
      </c>
      <c r="B86" s="1">
        <f>IFERROR(__xludf.DUMMYFUNCTION("""COMPUTED_VALUE"""),1949.0)</f>
        <v>1949</v>
      </c>
      <c r="C86" s="1">
        <f>IFERROR(__xludf.DUMMYFUNCTION("""COMPUTED_VALUE"""),1956.34)</f>
        <v>1956.34</v>
      </c>
      <c r="D86" s="1">
        <f>IFERROR(__xludf.DUMMYFUNCTION("""COMPUTED_VALUE"""),1934.09)</f>
        <v>1934.09</v>
      </c>
      <c r="E86" s="1">
        <f>IFERROR(__xludf.DUMMYFUNCTION("""COMPUTED_VALUE"""),1938.43)</f>
        <v>1938.43</v>
      </c>
      <c r="F86" s="1">
        <f>IFERROR(__xludf.DUMMYFUNCTION("""COMPUTED_VALUE"""),4021255.0)</f>
        <v>4021255</v>
      </c>
    </row>
    <row r="87" ht="15.75" customHeight="1">
      <c r="A87" s="10">
        <f>IFERROR(__xludf.DUMMYFUNCTION("""COMPUTED_VALUE"""),43585.66666666667)</f>
        <v>43585.66667</v>
      </c>
      <c r="B87" s="1">
        <f>IFERROR(__xludf.DUMMYFUNCTION("""COMPUTED_VALUE"""),1930.1)</f>
        <v>1930.1</v>
      </c>
      <c r="C87" s="1">
        <f>IFERROR(__xludf.DUMMYFUNCTION("""COMPUTED_VALUE"""),1935.71)</f>
        <v>1935.71</v>
      </c>
      <c r="D87" s="1">
        <f>IFERROR(__xludf.DUMMYFUNCTION("""COMPUTED_VALUE"""),1906.95)</f>
        <v>1906.95</v>
      </c>
      <c r="E87" s="1">
        <f>IFERROR(__xludf.DUMMYFUNCTION("""COMPUTED_VALUE"""),1926.52)</f>
        <v>1926.52</v>
      </c>
      <c r="F87" s="1">
        <f>IFERROR(__xludf.DUMMYFUNCTION("""COMPUTED_VALUE"""),3506007.0)</f>
        <v>3506007</v>
      </c>
    </row>
    <row r="88" ht="15.75" customHeight="1">
      <c r="A88" s="10">
        <f>IFERROR(__xludf.DUMMYFUNCTION("""COMPUTED_VALUE"""),43586.66666666667)</f>
        <v>43586.66667</v>
      </c>
      <c r="B88" s="1">
        <f>IFERROR(__xludf.DUMMYFUNCTION("""COMPUTED_VALUE"""),1933.09)</f>
        <v>1933.09</v>
      </c>
      <c r="C88" s="1">
        <f>IFERROR(__xludf.DUMMYFUNCTION("""COMPUTED_VALUE"""),1943.64)</f>
        <v>1943.64</v>
      </c>
      <c r="D88" s="1">
        <f>IFERROR(__xludf.DUMMYFUNCTION("""COMPUTED_VALUE"""),1910.55)</f>
        <v>1910.55</v>
      </c>
      <c r="E88" s="1">
        <f>IFERROR(__xludf.DUMMYFUNCTION("""COMPUTED_VALUE"""),1911.52)</f>
        <v>1911.52</v>
      </c>
      <c r="F88" s="1">
        <f>IFERROR(__xludf.DUMMYFUNCTION("""COMPUTED_VALUE"""),3116964.0)</f>
        <v>3116964</v>
      </c>
    </row>
    <row r="89" ht="15.75" customHeight="1">
      <c r="A89" s="10">
        <f>IFERROR(__xludf.DUMMYFUNCTION("""COMPUTED_VALUE"""),43587.66666666667)</f>
        <v>43587.66667</v>
      </c>
      <c r="B89" s="1">
        <f>IFERROR(__xludf.DUMMYFUNCTION("""COMPUTED_VALUE"""),1913.33)</f>
        <v>1913.33</v>
      </c>
      <c r="C89" s="1">
        <f>IFERROR(__xludf.DUMMYFUNCTION("""COMPUTED_VALUE"""),1921.55)</f>
        <v>1921.55</v>
      </c>
      <c r="D89" s="1">
        <f>IFERROR(__xludf.DUMMYFUNCTION("""COMPUTED_VALUE"""),1881.87)</f>
        <v>1881.87</v>
      </c>
      <c r="E89" s="1">
        <f>IFERROR(__xludf.DUMMYFUNCTION("""COMPUTED_VALUE"""),1900.82)</f>
        <v>1900.82</v>
      </c>
      <c r="F89" s="1">
        <f>IFERROR(__xludf.DUMMYFUNCTION("""COMPUTED_VALUE"""),3962915.0)</f>
        <v>3962915</v>
      </c>
    </row>
    <row r="90" ht="15.75" customHeight="1">
      <c r="A90" s="10">
        <f>IFERROR(__xludf.DUMMYFUNCTION("""COMPUTED_VALUE"""),43588.66666666667)</f>
        <v>43588.66667</v>
      </c>
      <c r="B90" s="1">
        <f>IFERROR(__xludf.DUMMYFUNCTION("""COMPUTED_VALUE"""),1949.0)</f>
        <v>1949</v>
      </c>
      <c r="C90" s="1">
        <f>IFERROR(__xludf.DUMMYFUNCTION("""COMPUTED_VALUE"""),1964.4)</f>
        <v>1964.4</v>
      </c>
      <c r="D90" s="1">
        <f>IFERROR(__xludf.DUMMYFUNCTION("""COMPUTED_VALUE"""),1936.0)</f>
        <v>1936</v>
      </c>
      <c r="E90" s="1">
        <f>IFERROR(__xludf.DUMMYFUNCTION("""COMPUTED_VALUE"""),1962.46)</f>
        <v>1962.46</v>
      </c>
      <c r="F90" s="1">
        <f>IFERROR(__xludf.DUMMYFUNCTION("""COMPUTED_VALUE"""),6381564.0)</f>
        <v>6381564</v>
      </c>
    </row>
    <row r="91" ht="15.75" customHeight="1">
      <c r="A91" s="10">
        <f>IFERROR(__xludf.DUMMYFUNCTION("""COMPUTED_VALUE"""),43591.66666666667)</f>
        <v>43591.66667</v>
      </c>
      <c r="B91" s="1">
        <f>IFERROR(__xludf.DUMMYFUNCTION("""COMPUTED_VALUE"""),1917.98)</f>
        <v>1917.98</v>
      </c>
      <c r="C91" s="1">
        <f>IFERROR(__xludf.DUMMYFUNCTION("""COMPUTED_VALUE"""),1959.0)</f>
        <v>1959</v>
      </c>
      <c r="D91" s="1">
        <f>IFERROR(__xludf.DUMMYFUNCTION("""COMPUTED_VALUE"""),1910.5)</f>
        <v>1910.5</v>
      </c>
      <c r="E91" s="1">
        <f>IFERROR(__xludf.DUMMYFUNCTION("""COMPUTED_VALUE"""),1950.55)</f>
        <v>1950.55</v>
      </c>
      <c r="F91" s="1">
        <f>IFERROR(__xludf.DUMMYFUNCTION("""COMPUTED_VALUE"""),5417841.0)</f>
        <v>5417841</v>
      </c>
    </row>
    <row r="92" ht="15.75" customHeight="1">
      <c r="A92" s="10">
        <f>IFERROR(__xludf.DUMMYFUNCTION("""COMPUTED_VALUE"""),43592.66666666667)</f>
        <v>43592.66667</v>
      </c>
      <c r="B92" s="1">
        <f>IFERROR(__xludf.DUMMYFUNCTION("""COMPUTED_VALUE"""),1939.99)</f>
        <v>1939.99</v>
      </c>
      <c r="C92" s="1">
        <f>IFERROR(__xludf.DUMMYFUNCTION("""COMPUTED_VALUE"""),1949.1)</f>
        <v>1949.1</v>
      </c>
      <c r="D92" s="1">
        <f>IFERROR(__xludf.DUMMYFUNCTION("""COMPUTED_VALUE"""),1903.38)</f>
        <v>1903.38</v>
      </c>
      <c r="E92" s="1">
        <f>IFERROR(__xludf.DUMMYFUNCTION("""COMPUTED_VALUE"""),1921.0)</f>
        <v>1921</v>
      </c>
      <c r="F92" s="1">
        <f>IFERROR(__xludf.DUMMYFUNCTION("""COMPUTED_VALUE"""),5902134.0)</f>
        <v>5902134</v>
      </c>
    </row>
    <row r="93" ht="15.75" customHeight="1">
      <c r="A93" s="10">
        <f>IFERROR(__xludf.DUMMYFUNCTION("""COMPUTED_VALUE"""),43593.66666666667)</f>
        <v>43593.66667</v>
      </c>
      <c r="B93" s="1">
        <f>IFERROR(__xludf.DUMMYFUNCTION("""COMPUTED_VALUE"""),1918.87)</f>
        <v>1918.87</v>
      </c>
      <c r="C93" s="1">
        <f>IFERROR(__xludf.DUMMYFUNCTION("""COMPUTED_VALUE"""),1935.37)</f>
        <v>1935.37</v>
      </c>
      <c r="D93" s="1">
        <f>IFERROR(__xludf.DUMMYFUNCTION("""COMPUTED_VALUE"""),1910.0)</f>
        <v>1910</v>
      </c>
      <c r="E93" s="1">
        <f>IFERROR(__xludf.DUMMYFUNCTION("""COMPUTED_VALUE"""),1917.77)</f>
        <v>1917.77</v>
      </c>
      <c r="F93" s="1">
        <f>IFERROR(__xludf.DUMMYFUNCTION("""COMPUTED_VALUE"""),4078568.0)</f>
        <v>4078568</v>
      </c>
    </row>
    <row r="94" ht="15.75" customHeight="1">
      <c r="A94" s="10">
        <f>IFERROR(__xludf.DUMMYFUNCTION("""COMPUTED_VALUE"""),43594.66666666667)</f>
        <v>43594.66667</v>
      </c>
      <c r="B94" s="1">
        <f>IFERROR(__xludf.DUMMYFUNCTION("""COMPUTED_VALUE"""),1900.0)</f>
        <v>1900</v>
      </c>
      <c r="C94" s="1">
        <f>IFERROR(__xludf.DUMMYFUNCTION("""COMPUTED_VALUE"""),1909.4)</f>
        <v>1909.4</v>
      </c>
      <c r="D94" s="1">
        <f>IFERROR(__xludf.DUMMYFUNCTION("""COMPUTED_VALUE"""),1876.0)</f>
        <v>1876</v>
      </c>
      <c r="E94" s="1">
        <f>IFERROR(__xludf.DUMMYFUNCTION("""COMPUTED_VALUE"""),1899.87)</f>
        <v>1899.87</v>
      </c>
      <c r="F94" s="1">
        <f>IFERROR(__xludf.DUMMYFUNCTION("""COMPUTED_VALUE"""),5308263.0)</f>
        <v>5308263</v>
      </c>
    </row>
    <row r="95" ht="15.75" customHeight="1">
      <c r="A95" s="10">
        <f>IFERROR(__xludf.DUMMYFUNCTION("""COMPUTED_VALUE"""),43595.66666666667)</f>
        <v>43595.66667</v>
      </c>
      <c r="B95" s="1">
        <f>IFERROR(__xludf.DUMMYFUNCTION("""COMPUTED_VALUE"""),1898.0)</f>
        <v>1898</v>
      </c>
      <c r="C95" s="1">
        <f>IFERROR(__xludf.DUMMYFUNCTION("""COMPUTED_VALUE"""),1903.79)</f>
        <v>1903.79</v>
      </c>
      <c r="D95" s="1">
        <f>IFERROR(__xludf.DUMMYFUNCTION("""COMPUTED_VALUE"""),1856.0)</f>
        <v>1856</v>
      </c>
      <c r="E95" s="1">
        <f>IFERROR(__xludf.DUMMYFUNCTION("""COMPUTED_VALUE"""),1889.98)</f>
        <v>1889.98</v>
      </c>
      <c r="F95" s="1">
        <f>IFERROR(__xludf.DUMMYFUNCTION("""COMPUTED_VALUE"""),5717994.0)</f>
        <v>5717994</v>
      </c>
    </row>
    <row r="96" ht="15.75" customHeight="1">
      <c r="A96" s="10">
        <f>IFERROR(__xludf.DUMMYFUNCTION("""COMPUTED_VALUE"""),43598.66666666667)</f>
        <v>43598.66667</v>
      </c>
      <c r="B96" s="1">
        <f>IFERROR(__xludf.DUMMYFUNCTION("""COMPUTED_VALUE"""),1836.56)</f>
        <v>1836.56</v>
      </c>
      <c r="C96" s="1">
        <f>IFERROR(__xludf.DUMMYFUNCTION("""COMPUTED_VALUE"""),1846.54)</f>
        <v>1846.54</v>
      </c>
      <c r="D96" s="1">
        <f>IFERROR(__xludf.DUMMYFUNCTION("""COMPUTED_VALUE"""),1818.0)</f>
        <v>1818</v>
      </c>
      <c r="E96" s="1">
        <f>IFERROR(__xludf.DUMMYFUNCTION("""COMPUTED_VALUE"""),1822.68)</f>
        <v>1822.68</v>
      </c>
      <c r="F96" s="1">
        <f>IFERROR(__xludf.DUMMYFUNCTION("""COMPUTED_VALUE"""),5783410.0)</f>
        <v>5783410</v>
      </c>
    </row>
    <row r="97" ht="15.75" customHeight="1">
      <c r="A97" s="10">
        <f>IFERROR(__xludf.DUMMYFUNCTION("""COMPUTED_VALUE"""),43599.66666666667)</f>
        <v>43599.66667</v>
      </c>
      <c r="B97" s="1">
        <f>IFERROR(__xludf.DUMMYFUNCTION("""COMPUTED_VALUE"""),1839.5)</f>
        <v>1839.5</v>
      </c>
      <c r="C97" s="1">
        <f>IFERROR(__xludf.DUMMYFUNCTION("""COMPUTED_VALUE"""),1852.44)</f>
        <v>1852.44</v>
      </c>
      <c r="D97" s="1">
        <f>IFERROR(__xludf.DUMMYFUNCTION("""COMPUTED_VALUE"""),1815.75)</f>
        <v>1815.75</v>
      </c>
      <c r="E97" s="1">
        <f>IFERROR(__xludf.DUMMYFUNCTION("""COMPUTED_VALUE"""),1840.12)</f>
        <v>1840.12</v>
      </c>
      <c r="F97" s="1">
        <f>IFERROR(__xludf.DUMMYFUNCTION("""COMPUTED_VALUE"""),4629107.0)</f>
        <v>4629107</v>
      </c>
    </row>
    <row r="98" ht="15.75" customHeight="1">
      <c r="A98" s="10">
        <f>IFERROR(__xludf.DUMMYFUNCTION("""COMPUTED_VALUE"""),43600.66666666667)</f>
        <v>43600.66667</v>
      </c>
      <c r="B98" s="1">
        <f>IFERROR(__xludf.DUMMYFUNCTION("""COMPUTED_VALUE"""),1827.95)</f>
        <v>1827.95</v>
      </c>
      <c r="C98" s="1">
        <f>IFERROR(__xludf.DUMMYFUNCTION("""COMPUTED_VALUE"""),1874.43)</f>
        <v>1874.43</v>
      </c>
      <c r="D98" s="1">
        <f>IFERROR(__xludf.DUMMYFUNCTION("""COMPUTED_VALUE"""),1823.0)</f>
        <v>1823</v>
      </c>
      <c r="E98" s="1">
        <f>IFERROR(__xludf.DUMMYFUNCTION("""COMPUTED_VALUE"""),1871.15)</f>
        <v>1871.15</v>
      </c>
      <c r="F98" s="1">
        <f>IFERROR(__xludf.DUMMYFUNCTION("""COMPUTED_VALUE"""),4692642.0)</f>
        <v>4692642</v>
      </c>
    </row>
    <row r="99" ht="15.75" customHeight="1">
      <c r="A99" s="10">
        <f>IFERROR(__xludf.DUMMYFUNCTION("""COMPUTED_VALUE"""),43601.66666666667)</f>
        <v>43601.66667</v>
      </c>
      <c r="B99" s="1">
        <f>IFERROR(__xludf.DUMMYFUNCTION("""COMPUTED_VALUE"""),1885.94)</f>
        <v>1885.94</v>
      </c>
      <c r="C99" s="1">
        <f>IFERROR(__xludf.DUMMYFUNCTION("""COMPUTED_VALUE"""),1917.51)</f>
        <v>1917.51</v>
      </c>
      <c r="D99" s="1">
        <f>IFERROR(__xludf.DUMMYFUNCTION("""COMPUTED_VALUE"""),1882.29)</f>
        <v>1882.29</v>
      </c>
      <c r="E99" s="1">
        <f>IFERROR(__xludf.DUMMYFUNCTION("""COMPUTED_VALUE"""),1907.57)</f>
        <v>1907.57</v>
      </c>
      <c r="F99" s="1">
        <f>IFERROR(__xludf.DUMMYFUNCTION("""COMPUTED_VALUE"""),4707822.0)</f>
        <v>4707822</v>
      </c>
    </row>
    <row r="100" ht="15.75" customHeight="1">
      <c r="A100" s="10">
        <f>IFERROR(__xludf.DUMMYFUNCTION("""COMPUTED_VALUE"""),43602.66666666667)</f>
        <v>43602.66667</v>
      </c>
      <c r="B100" s="1">
        <f>IFERROR(__xludf.DUMMYFUNCTION("""COMPUTED_VALUE"""),1893.05)</f>
        <v>1893.05</v>
      </c>
      <c r="C100" s="1">
        <f>IFERROR(__xludf.DUMMYFUNCTION("""COMPUTED_VALUE"""),1910.53)</f>
        <v>1910.53</v>
      </c>
      <c r="D100" s="1">
        <f>IFERROR(__xludf.DUMMYFUNCTION("""COMPUTED_VALUE"""),1867.33)</f>
        <v>1867.33</v>
      </c>
      <c r="E100" s="1">
        <f>IFERROR(__xludf.DUMMYFUNCTION("""COMPUTED_VALUE"""),1869.0)</f>
        <v>1869</v>
      </c>
      <c r="F100" s="1">
        <f>IFERROR(__xludf.DUMMYFUNCTION("""COMPUTED_VALUE"""),4736618.0)</f>
        <v>4736618</v>
      </c>
    </row>
    <row r="101" ht="15.75" customHeight="1">
      <c r="A101" s="10">
        <f>IFERROR(__xludf.DUMMYFUNCTION("""COMPUTED_VALUE"""),43605.66666666667)</f>
        <v>43605.66667</v>
      </c>
      <c r="B101" s="1">
        <f>IFERROR(__xludf.DUMMYFUNCTION("""COMPUTED_VALUE"""),1852.69)</f>
        <v>1852.69</v>
      </c>
      <c r="C101" s="1">
        <f>IFERROR(__xludf.DUMMYFUNCTION("""COMPUTED_VALUE"""),1867.78)</f>
        <v>1867.78</v>
      </c>
      <c r="D101" s="1">
        <f>IFERROR(__xludf.DUMMYFUNCTION("""COMPUTED_VALUE"""),1835.54)</f>
        <v>1835.54</v>
      </c>
      <c r="E101" s="1">
        <f>IFERROR(__xludf.DUMMYFUNCTION("""COMPUTED_VALUE"""),1858.97)</f>
        <v>1858.97</v>
      </c>
      <c r="F101" s="1">
        <f>IFERROR(__xludf.DUMMYFUNCTION("""COMPUTED_VALUE"""),3798198.0)</f>
        <v>3798198</v>
      </c>
    </row>
    <row r="102" ht="15.75" customHeight="1">
      <c r="A102" s="10">
        <f>IFERROR(__xludf.DUMMYFUNCTION("""COMPUTED_VALUE"""),43606.66666666667)</f>
        <v>43606.66667</v>
      </c>
      <c r="B102" s="1">
        <f>IFERROR(__xludf.DUMMYFUNCTION("""COMPUTED_VALUE"""),1874.79)</f>
        <v>1874.79</v>
      </c>
      <c r="C102" s="1">
        <f>IFERROR(__xludf.DUMMYFUNCTION("""COMPUTED_VALUE"""),1879.0)</f>
        <v>1879</v>
      </c>
      <c r="D102" s="1">
        <f>IFERROR(__xludf.DUMMYFUNCTION("""COMPUTED_VALUE"""),1846.0)</f>
        <v>1846</v>
      </c>
      <c r="E102" s="1">
        <f>IFERROR(__xludf.DUMMYFUNCTION("""COMPUTED_VALUE"""),1857.52)</f>
        <v>1857.52</v>
      </c>
      <c r="F102" s="1">
        <f>IFERROR(__xludf.DUMMYFUNCTION("""COMPUTED_VALUE"""),4005122.0)</f>
        <v>4005122</v>
      </c>
    </row>
    <row r="103" ht="15.75" customHeight="1">
      <c r="A103" s="10">
        <f>IFERROR(__xludf.DUMMYFUNCTION("""COMPUTED_VALUE"""),43607.66666666667)</f>
        <v>43607.66667</v>
      </c>
      <c r="B103" s="1">
        <f>IFERROR(__xludf.DUMMYFUNCTION("""COMPUTED_VALUE"""),1851.78)</f>
        <v>1851.78</v>
      </c>
      <c r="C103" s="1">
        <f>IFERROR(__xludf.DUMMYFUNCTION("""COMPUTED_VALUE"""),1871.49)</f>
        <v>1871.49</v>
      </c>
      <c r="D103" s="1">
        <f>IFERROR(__xludf.DUMMYFUNCTION("""COMPUTED_VALUE"""),1851.0)</f>
        <v>1851</v>
      </c>
      <c r="E103" s="1">
        <f>IFERROR(__xludf.DUMMYFUNCTION("""COMPUTED_VALUE"""),1859.68)</f>
        <v>1859.68</v>
      </c>
      <c r="F103" s="1">
        <f>IFERROR(__xludf.DUMMYFUNCTION("""COMPUTED_VALUE"""),2936601.0)</f>
        <v>2936601</v>
      </c>
    </row>
    <row r="104" ht="15.75" customHeight="1">
      <c r="A104" s="10">
        <f>IFERROR(__xludf.DUMMYFUNCTION("""COMPUTED_VALUE"""),43608.66666666667)</f>
        <v>43608.66667</v>
      </c>
      <c r="B104" s="1">
        <f>IFERROR(__xludf.DUMMYFUNCTION("""COMPUTED_VALUE"""),1836.59)</f>
        <v>1836.59</v>
      </c>
      <c r="C104" s="1">
        <f>IFERROR(__xludf.DUMMYFUNCTION("""COMPUTED_VALUE"""),1844.0)</f>
        <v>1844</v>
      </c>
      <c r="D104" s="1">
        <f>IFERROR(__xludf.DUMMYFUNCTION("""COMPUTED_VALUE"""),1804.2)</f>
        <v>1804.2</v>
      </c>
      <c r="E104" s="1">
        <f>IFERROR(__xludf.DUMMYFUNCTION("""COMPUTED_VALUE"""),1815.48)</f>
        <v>1815.48</v>
      </c>
      <c r="F104" s="1">
        <f>IFERROR(__xludf.DUMMYFUNCTION("""COMPUTED_VALUE"""),4424265.0)</f>
        <v>4424265</v>
      </c>
    </row>
    <row r="105" ht="15.75" customHeight="1">
      <c r="A105" s="10">
        <f>IFERROR(__xludf.DUMMYFUNCTION("""COMPUTED_VALUE"""),43609.66666666667)</f>
        <v>43609.66667</v>
      </c>
      <c r="B105" s="1">
        <f>IFERROR(__xludf.DUMMYFUNCTION("""COMPUTED_VALUE"""),1835.89)</f>
        <v>1835.89</v>
      </c>
      <c r="C105" s="1">
        <f>IFERROR(__xludf.DUMMYFUNCTION("""COMPUTED_VALUE"""),1841.76)</f>
        <v>1841.76</v>
      </c>
      <c r="D105" s="1">
        <f>IFERROR(__xludf.DUMMYFUNCTION("""COMPUTED_VALUE"""),1817.85)</f>
        <v>1817.85</v>
      </c>
      <c r="E105" s="1">
        <f>IFERROR(__xludf.DUMMYFUNCTION("""COMPUTED_VALUE"""),1823.28)</f>
        <v>1823.28</v>
      </c>
      <c r="F105" s="1">
        <f>IFERROR(__xludf.DUMMYFUNCTION("""COMPUTED_VALUE"""),3369673.0)</f>
        <v>3369673</v>
      </c>
    </row>
    <row r="106" ht="15.75" customHeight="1">
      <c r="A106" s="10">
        <f>IFERROR(__xludf.DUMMYFUNCTION("""COMPUTED_VALUE"""),43613.66666666667)</f>
        <v>43613.66667</v>
      </c>
      <c r="B106" s="1">
        <f>IFERROR(__xludf.DUMMYFUNCTION("""COMPUTED_VALUE"""),1832.75)</f>
        <v>1832.75</v>
      </c>
      <c r="C106" s="1">
        <f>IFERROR(__xludf.DUMMYFUNCTION("""COMPUTED_VALUE"""),1849.27)</f>
        <v>1849.27</v>
      </c>
      <c r="D106" s="1">
        <f>IFERROR(__xludf.DUMMYFUNCTION("""COMPUTED_VALUE"""),1827.35)</f>
        <v>1827.35</v>
      </c>
      <c r="E106" s="1">
        <f>IFERROR(__xludf.DUMMYFUNCTION("""COMPUTED_VALUE"""),1836.43)</f>
        <v>1836.43</v>
      </c>
      <c r="F106" s="1">
        <f>IFERROR(__xludf.DUMMYFUNCTION("""COMPUTED_VALUE"""),3199965.0)</f>
        <v>3199965</v>
      </c>
    </row>
    <row r="107" ht="15.75" customHeight="1">
      <c r="A107" s="10">
        <f>IFERROR(__xludf.DUMMYFUNCTION("""COMPUTED_VALUE"""),43614.66666666667)</f>
        <v>43614.66667</v>
      </c>
      <c r="B107" s="1">
        <f>IFERROR(__xludf.DUMMYFUNCTION("""COMPUTED_VALUE"""),1823.12)</f>
        <v>1823.12</v>
      </c>
      <c r="C107" s="1">
        <f>IFERROR(__xludf.DUMMYFUNCTION("""COMPUTED_VALUE"""),1830.0)</f>
        <v>1830</v>
      </c>
      <c r="D107" s="1">
        <f>IFERROR(__xludf.DUMMYFUNCTION("""COMPUTED_VALUE"""),1807.53)</f>
        <v>1807.53</v>
      </c>
      <c r="E107" s="1">
        <f>IFERROR(__xludf.DUMMYFUNCTION("""COMPUTED_VALUE"""),1819.19)</f>
        <v>1819.19</v>
      </c>
      <c r="F107" s="1">
        <f>IFERROR(__xludf.DUMMYFUNCTION("""COMPUTED_VALUE"""),4279025.0)</f>
        <v>4279025</v>
      </c>
    </row>
    <row r="108" ht="15.75" customHeight="1">
      <c r="A108" s="10">
        <f>IFERROR(__xludf.DUMMYFUNCTION("""COMPUTED_VALUE"""),43615.66666666667)</f>
        <v>43615.66667</v>
      </c>
      <c r="B108" s="1">
        <f>IFERROR(__xludf.DUMMYFUNCTION("""COMPUTED_VALUE"""),1825.49)</f>
        <v>1825.49</v>
      </c>
      <c r="C108" s="1">
        <f>IFERROR(__xludf.DUMMYFUNCTION("""COMPUTED_VALUE"""),1829.47)</f>
        <v>1829.47</v>
      </c>
      <c r="D108" s="1">
        <f>IFERROR(__xludf.DUMMYFUNCTION("""COMPUTED_VALUE"""),1807.83)</f>
        <v>1807.83</v>
      </c>
      <c r="E108" s="1">
        <f>IFERROR(__xludf.DUMMYFUNCTION("""COMPUTED_VALUE"""),1816.32)</f>
        <v>1816.32</v>
      </c>
      <c r="F108" s="1">
        <f>IFERROR(__xludf.DUMMYFUNCTION("""COMPUTED_VALUE"""),3146850.0)</f>
        <v>3146850</v>
      </c>
    </row>
    <row r="109" ht="15.75" customHeight="1">
      <c r="A109" s="10">
        <f>IFERROR(__xludf.DUMMYFUNCTION("""COMPUTED_VALUE"""),43616.66666666667)</f>
        <v>43616.66667</v>
      </c>
      <c r="B109" s="1">
        <f>IFERROR(__xludf.DUMMYFUNCTION("""COMPUTED_VALUE"""),1790.01)</f>
        <v>1790.01</v>
      </c>
      <c r="C109" s="1">
        <f>IFERROR(__xludf.DUMMYFUNCTION("""COMPUTED_VALUE"""),1795.59)</f>
        <v>1795.59</v>
      </c>
      <c r="D109" s="1">
        <f>IFERROR(__xludf.DUMMYFUNCTION("""COMPUTED_VALUE"""),1772.7)</f>
        <v>1772.7</v>
      </c>
      <c r="E109" s="1">
        <f>IFERROR(__xludf.DUMMYFUNCTION("""COMPUTED_VALUE"""),1775.07)</f>
        <v>1775.07</v>
      </c>
      <c r="F109" s="1">
        <f>IFERROR(__xludf.DUMMYFUNCTION("""COMPUTED_VALUE"""),4618819.0)</f>
        <v>4618819</v>
      </c>
    </row>
    <row r="110" ht="15.75" customHeight="1">
      <c r="A110" s="10">
        <f>IFERROR(__xludf.DUMMYFUNCTION("""COMPUTED_VALUE"""),43619.66666666667)</f>
        <v>43619.66667</v>
      </c>
      <c r="B110" s="1">
        <f>IFERROR(__xludf.DUMMYFUNCTION("""COMPUTED_VALUE"""),1760.01)</f>
        <v>1760.01</v>
      </c>
      <c r="C110" s="1">
        <f>IFERROR(__xludf.DUMMYFUNCTION("""COMPUTED_VALUE"""),1766.29)</f>
        <v>1766.29</v>
      </c>
      <c r="D110" s="1">
        <f>IFERROR(__xludf.DUMMYFUNCTION("""COMPUTED_VALUE"""),1672.0)</f>
        <v>1672</v>
      </c>
      <c r="E110" s="1">
        <f>IFERROR(__xludf.DUMMYFUNCTION("""COMPUTED_VALUE"""),1692.69)</f>
        <v>1692.69</v>
      </c>
      <c r="F110" s="1">
        <f>IFERROR(__xludf.DUMMYFUNCTION("""COMPUTED_VALUE"""),9098708.0)</f>
        <v>9098708</v>
      </c>
    </row>
    <row r="111" ht="15.75" customHeight="1">
      <c r="A111" s="10">
        <f>IFERROR(__xludf.DUMMYFUNCTION("""COMPUTED_VALUE"""),43620.66666666667)</f>
        <v>43620.66667</v>
      </c>
      <c r="B111" s="1">
        <f>IFERROR(__xludf.DUMMYFUNCTION("""COMPUTED_VALUE"""),1699.24)</f>
        <v>1699.24</v>
      </c>
      <c r="C111" s="1">
        <f>IFERROR(__xludf.DUMMYFUNCTION("""COMPUTED_VALUE"""),1730.82)</f>
        <v>1730.82</v>
      </c>
      <c r="D111" s="1">
        <f>IFERROR(__xludf.DUMMYFUNCTION("""COMPUTED_VALUE"""),1680.89)</f>
        <v>1680.89</v>
      </c>
      <c r="E111" s="1">
        <f>IFERROR(__xludf.DUMMYFUNCTION("""COMPUTED_VALUE"""),1729.56)</f>
        <v>1729.56</v>
      </c>
      <c r="F111" s="1">
        <f>IFERROR(__xludf.DUMMYFUNCTION("""COMPUTED_VALUE"""),5679121.0)</f>
        <v>5679121</v>
      </c>
    </row>
    <row r="112" ht="15.75" customHeight="1">
      <c r="A112" s="10">
        <f>IFERROR(__xludf.DUMMYFUNCTION("""COMPUTED_VALUE"""),43621.66666666667)</f>
        <v>43621.66667</v>
      </c>
      <c r="B112" s="1">
        <f>IFERROR(__xludf.DUMMYFUNCTION("""COMPUTED_VALUE"""),1749.6)</f>
        <v>1749.6</v>
      </c>
      <c r="C112" s="1">
        <f>IFERROR(__xludf.DUMMYFUNCTION("""COMPUTED_VALUE"""),1752.0)</f>
        <v>1752</v>
      </c>
      <c r="D112" s="1">
        <f>IFERROR(__xludf.DUMMYFUNCTION("""COMPUTED_VALUE"""),1715.25)</f>
        <v>1715.25</v>
      </c>
      <c r="E112" s="1">
        <f>IFERROR(__xludf.DUMMYFUNCTION("""COMPUTED_VALUE"""),1738.5)</f>
        <v>1738.5</v>
      </c>
      <c r="F112" s="1">
        <f>IFERROR(__xludf.DUMMYFUNCTION("""COMPUTED_VALUE"""),4239782.0)</f>
        <v>4239782</v>
      </c>
    </row>
    <row r="113" ht="15.75" customHeight="1">
      <c r="A113" s="10">
        <f>IFERROR(__xludf.DUMMYFUNCTION("""COMPUTED_VALUE"""),43622.66666666667)</f>
        <v>43622.66667</v>
      </c>
      <c r="B113" s="1">
        <f>IFERROR(__xludf.DUMMYFUNCTION("""COMPUTED_VALUE"""),1737.71)</f>
        <v>1737.71</v>
      </c>
      <c r="C113" s="1">
        <f>IFERROR(__xludf.DUMMYFUNCTION("""COMPUTED_VALUE"""),1760.0)</f>
        <v>1760</v>
      </c>
      <c r="D113" s="1">
        <f>IFERROR(__xludf.DUMMYFUNCTION("""COMPUTED_VALUE"""),1726.13)</f>
        <v>1726.13</v>
      </c>
      <c r="E113" s="1">
        <f>IFERROR(__xludf.DUMMYFUNCTION("""COMPUTED_VALUE"""),1754.36)</f>
        <v>1754.36</v>
      </c>
      <c r="F113" s="1">
        <f>IFERROR(__xludf.DUMMYFUNCTION("""COMPUTED_VALUE"""),3689272.0)</f>
        <v>3689272</v>
      </c>
    </row>
    <row r="114" ht="15.75" customHeight="1">
      <c r="A114" s="10">
        <f>IFERROR(__xludf.DUMMYFUNCTION("""COMPUTED_VALUE"""),43623.66666666667)</f>
        <v>43623.66667</v>
      </c>
      <c r="B114" s="1">
        <f>IFERROR(__xludf.DUMMYFUNCTION("""COMPUTED_VALUE"""),1763.7)</f>
        <v>1763.7</v>
      </c>
      <c r="C114" s="1">
        <f>IFERROR(__xludf.DUMMYFUNCTION("""COMPUTED_VALUE"""),1806.25)</f>
        <v>1806.25</v>
      </c>
      <c r="D114" s="1">
        <f>IFERROR(__xludf.DUMMYFUNCTION("""COMPUTED_VALUE"""),1759.49)</f>
        <v>1759.49</v>
      </c>
      <c r="E114" s="1">
        <f>IFERROR(__xludf.DUMMYFUNCTION("""COMPUTED_VALUE"""),1804.03)</f>
        <v>1804.03</v>
      </c>
      <c r="F114" s="1">
        <f>IFERROR(__xludf.DUMMYFUNCTION("""COMPUTED_VALUE"""),4808246.0)</f>
        <v>4808246</v>
      </c>
    </row>
    <row r="115" ht="15.75" customHeight="1">
      <c r="A115" s="10">
        <f>IFERROR(__xludf.DUMMYFUNCTION("""COMPUTED_VALUE"""),43626.66666666667)</f>
        <v>43626.66667</v>
      </c>
      <c r="B115" s="1">
        <f>IFERROR(__xludf.DUMMYFUNCTION("""COMPUTED_VALUE"""),1822.0)</f>
        <v>1822</v>
      </c>
      <c r="C115" s="1">
        <f>IFERROR(__xludf.DUMMYFUNCTION("""COMPUTED_VALUE"""),1884.87)</f>
        <v>1884.87</v>
      </c>
      <c r="D115" s="1">
        <f>IFERROR(__xludf.DUMMYFUNCTION("""COMPUTED_VALUE"""),1818.0)</f>
        <v>1818</v>
      </c>
      <c r="E115" s="1">
        <f>IFERROR(__xludf.DUMMYFUNCTION("""COMPUTED_VALUE"""),1860.63)</f>
        <v>1860.63</v>
      </c>
      <c r="F115" s="1">
        <f>IFERROR(__xludf.DUMMYFUNCTION("""COMPUTED_VALUE"""),5371007.0)</f>
        <v>5371007</v>
      </c>
    </row>
    <row r="116" ht="15.75" customHeight="1">
      <c r="A116" s="10">
        <f>IFERROR(__xludf.DUMMYFUNCTION("""COMPUTED_VALUE"""),43627.66666666667)</f>
        <v>43627.66667</v>
      </c>
      <c r="B116" s="1">
        <f>IFERROR(__xludf.DUMMYFUNCTION("""COMPUTED_VALUE"""),1883.25)</f>
        <v>1883.25</v>
      </c>
      <c r="C116" s="1">
        <f>IFERROR(__xludf.DUMMYFUNCTION("""COMPUTED_VALUE"""),1893.7)</f>
        <v>1893.7</v>
      </c>
      <c r="D116" s="1">
        <f>IFERROR(__xludf.DUMMYFUNCTION("""COMPUTED_VALUE"""),1858.0)</f>
        <v>1858</v>
      </c>
      <c r="E116" s="1">
        <f>IFERROR(__xludf.DUMMYFUNCTION("""COMPUTED_VALUE"""),1863.7)</f>
        <v>1863.7</v>
      </c>
      <c r="F116" s="1">
        <f>IFERROR(__xludf.DUMMYFUNCTION("""COMPUTED_VALUE"""),4042694.0)</f>
        <v>4042694</v>
      </c>
    </row>
    <row r="117" ht="15.75" customHeight="1">
      <c r="A117" s="10">
        <f>IFERROR(__xludf.DUMMYFUNCTION("""COMPUTED_VALUE"""),43628.66666666667)</f>
        <v>43628.66667</v>
      </c>
      <c r="B117" s="1">
        <f>IFERROR(__xludf.DUMMYFUNCTION("""COMPUTED_VALUE"""),1853.98)</f>
        <v>1853.98</v>
      </c>
      <c r="C117" s="1">
        <f>IFERROR(__xludf.DUMMYFUNCTION("""COMPUTED_VALUE"""),1865.0)</f>
        <v>1865</v>
      </c>
      <c r="D117" s="1">
        <f>IFERROR(__xludf.DUMMYFUNCTION("""COMPUTED_VALUE"""),1844.38)</f>
        <v>1844.38</v>
      </c>
      <c r="E117" s="1">
        <f>IFERROR(__xludf.DUMMYFUNCTION("""COMPUTED_VALUE"""),1855.32)</f>
        <v>1855.32</v>
      </c>
      <c r="F117" s="1">
        <f>IFERROR(__xludf.DUMMYFUNCTION("""COMPUTED_VALUE"""),2678335.0)</f>
        <v>2678335</v>
      </c>
    </row>
    <row r="118" ht="15.75" customHeight="1">
      <c r="A118" s="10">
        <f>IFERROR(__xludf.DUMMYFUNCTION("""COMPUTED_VALUE"""),43629.66666666667)</f>
        <v>43629.66667</v>
      </c>
      <c r="B118" s="1">
        <f>IFERROR(__xludf.DUMMYFUNCTION("""COMPUTED_VALUE"""),1866.72)</f>
        <v>1866.72</v>
      </c>
      <c r="C118" s="1">
        <f>IFERROR(__xludf.DUMMYFUNCTION("""COMPUTED_VALUE"""),1883.09)</f>
        <v>1883.09</v>
      </c>
      <c r="D118" s="1">
        <f>IFERROR(__xludf.DUMMYFUNCTION("""COMPUTED_VALUE"""),1862.22)</f>
        <v>1862.22</v>
      </c>
      <c r="E118" s="1">
        <f>IFERROR(__xludf.DUMMYFUNCTION("""COMPUTED_VALUE"""),1870.3)</f>
        <v>1870.3</v>
      </c>
      <c r="F118" s="1">
        <f>IFERROR(__xludf.DUMMYFUNCTION("""COMPUTED_VALUE"""),2795810.0)</f>
        <v>2795810</v>
      </c>
    </row>
    <row r="119" ht="15.75" customHeight="1">
      <c r="A119" s="10">
        <f>IFERROR(__xludf.DUMMYFUNCTION("""COMPUTED_VALUE"""),43630.66666666667)</f>
        <v>43630.66667</v>
      </c>
      <c r="B119" s="1">
        <f>IFERROR(__xludf.DUMMYFUNCTION("""COMPUTED_VALUE"""),1864.0)</f>
        <v>1864</v>
      </c>
      <c r="C119" s="1">
        <f>IFERROR(__xludf.DUMMYFUNCTION("""COMPUTED_VALUE"""),1876.0)</f>
        <v>1876</v>
      </c>
      <c r="D119" s="1">
        <f>IFERROR(__xludf.DUMMYFUNCTION("""COMPUTED_VALUE"""),1859.0)</f>
        <v>1859</v>
      </c>
      <c r="E119" s="1">
        <f>IFERROR(__xludf.DUMMYFUNCTION("""COMPUTED_VALUE"""),1869.67)</f>
        <v>1869.67</v>
      </c>
      <c r="F119" s="1">
        <f>IFERROR(__xludf.DUMMYFUNCTION("""COMPUTED_VALUE"""),2851163.0)</f>
        <v>2851163</v>
      </c>
    </row>
    <row r="120" ht="15.75" customHeight="1">
      <c r="A120" s="10">
        <f>IFERROR(__xludf.DUMMYFUNCTION("""COMPUTED_VALUE"""),43633.66666666667)</f>
        <v>43633.66667</v>
      </c>
      <c r="B120" s="1">
        <f>IFERROR(__xludf.DUMMYFUNCTION("""COMPUTED_VALUE"""),1876.5)</f>
        <v>1876.5</v>
      </c>
      <c r="C120" s="1">
        <f>IFERROR(__xludf.DUMMYFUNCTION("""COMPUTED_VALUE"""),1895.69)</f>
        <v>1895.69</v>
      </c>
      <c r="D120" s="1">
        <f>IFERROR(__xludf.DUMMYFUNCTION("""COMPUTED_VALUE"""),1875.45)</f>
        <v>1875.45</v>
      </c>
      <c r="E120" s="1">
        <f>IFERROR(__xludf.DUMMYFUNCTION("""COMPUTED_VALUE"""),1886.03)</f>
        <v>1886.03</v>
      </c>
      <c r="F120" s="1">
        <f>IFERROR(__xludf.DUMMYFUNCTION("""COMPUTED_VALUE"""),2634342.0)</f>
        <v>2634342</v>
      </c>
    </row>
    <row r="121" ht="15.75" customHeight="1">
      <c r="A121" s="10">
        <f>IFERROR(__xludf.DUMMYFUNCTION("""COMPUTED_VALUE"""),43634.66666666667)</f>
        <v>43634.66667</v>
      </c>
      <c r="B121" s="1">
        <f>IFERROR(__xludf.DUMMYFUNCTION("""COMPUTED_VALUE"""),1901.35)</f>
        <v>1901.35</v>
      </c>
      <c r="C121" s="1">
        <f>IFERROR(__xludf.DUMMYFUNCTION("""COMPUTED_VALUE"""),1921.67)</f>
        <v>1921.67</v>
      </c>
      <c r="D121" s="1">
        <f>IFERROR(__xludf.DUMMYFUNCTION("""COMPUTED_VALUE"""),1899.79)</f>
        <v>1899.79</v>
      </c>
      <c r="E121" s="1">
        <f>IFERROR(__xludf.DUMMYFUNCTION("""COMPUTED_VALUE"""),1901.37)</f>
        <v>1901.37</v>
      </c>
      <c r="F121" s="1">
        <f>IFERROR(__xludf.DUMMYFUNCTION("""COMPUTED_VALUE"""),3895728.0)</f>
        <v>3895728</v>
      </c>
    </row>
    <row r="122" ht="15.75" customHeight="1">
      <c r="A122" s="10">
        <f>IFERROR(__xludf.DUMMYFUNCTION("""COMPUTED_VALUE"""),43635.66666666667)</f>
        <v>43635.66667</v>
      </c>
      <c r="B122" s="1">
        <f>IFERROR(__xludf.DUMMYFUNCTION("""COMPUTED_VALUE"""),1907.84)</f>
        <v>1907.84</v>
      </c>
      <c r="C122" s="1">
        <f>IFERROR(__xludf.DUMMYFUNCTION("""COMPUTED_VALUE"""),1919.58)</f>
        <v>1919.58</v>
      </c>
      <c r="D122" s="1">
        <f>IFERROR(__xludf.DUMMYFUNCTION("""COMPUTED_VALUE"""),1892.47)</f>
        <v>1892.47</v>
      </c>
      <c r="E122" s="1">
        <f>IFERROR(__xludf.DUMMYFUNCTION("""COMPUTED_VALUE"""),1908.79)</f>
        <v>1908.79</v>
      </c>
      <c r="F122" s="1">
        <f>IFERROR(__xludf.DUMMYFUNCTION("""COMPUTED_VALUE"""),2895347.0)</f>
        <v>2895347</v>
      </c>
    </row>
    <row r="123" ht="15.75" customHeight="1">
      <c r="A123" s="10">
        <f>IFERROR(__xludf.DUMMYFUNCTION("""COMPUTED_VALUE"""),43636.66666666667)</f>
        <v>43636.66667</v>
      </c>
      <c r="B123" s="1">
        <f>IFERROR(__xludf.DUMMYFUNCTION("""COMPUTED_VALUE"""),1933.33)</f>
        <v>1933.33</v>
      </c>
      <c r="C123" s="1">
        <f>IFERROR(__xludf.DUMMYFUNCTION("""COMPUTED_VALUE"""),1935.2)</f>
        <v>1935.2</v>
      </c>
      <c r="D123" s="1">
        <f>IFERROR(__xludf.DUMMYFUNCTION("""COMPUTED_VALUE"""),1905.8)</f>
        <v>1905.8</v>
      </c>
      <c r="E123" s="1">
        <f>IFERROR(__xludf.DUMMYFUNCTION("""COMPUTED_VALUE"""),1918.19)</f>
        <v>1918.19</v>
      </c>
      <c r="F123" s="1">
        <f>IFERROR(__xludf.DUMMYFUNCTION("""COMPUTED_VALUE"""),3217153.0)</f>
        <v>3217153</v>
      </c>
    </row>
    <row r="124" ht="15.75" customHeight="1">
      <c r="A124" s="10">
        <f>IFERROR(__xludf.DUMMYFUNCTION("""COMPUTED_VALUE"""),43637.66666666667)</f>
        <v>43637.66667</v>
      </c>
      <c r="B124" s="1">
        <f>IFERROR(__xludf.DUMMYFUNCTION("""COMPUTED_VALUE"""),1916.1)</f>
        <v>1916.1</v>
      </c>
      <c r="C124" s="1">
        <f>IFERROR(__xludf.DUMMYFUNCTION("""COMPUTED_VALUE"""),1925.95)</f>
        <v>1925.95</v>
      </c>
      <c r="D124" s="1">
        <f>IFERROR(__xludf.DUMMYFUNCTION("""COMPUTED_VALUE"""),1907.58)</f>
        <v>1907.58</v>
      </c>
      <c r="E124" s="1">
        <f>IFERROR(__xludf.DUMMYFUNCTION("""COMPUTED_VALUE"""),1911.3)</f>
        <v>1911.3</v>
      </c>
      <c r="F124" s="1">
        <f>IFERROR(__xludf.DUMMYFUNCTION("""COMPUTED_VALUE"""),3933576.0)</f>
        <v>3933576</v>
      </c>
    </row>
    <row r="125" ht="15.75" customHeight="1">
      <c r="A125" s="10">
        <f>IFERROR(__xludf.DUMMYFUNCTION("""COMPUTED_VALUE"""),43640.66666666667)</f>
        <v>43640.66667</v>
      </c>
      <c r="B125" s="1">
        <f>IFERROR(__xludf.DUMMYFUNCTION("""COMPUTED_VALUE"""),1912.66)</f>
        <v>1912.66</v>
      </c>
      <c r="C125" s="1">
        <f>IFERROR(__xludf.DUMMYFUNCTION("""COMPUTED_VALUE"""),1916.86)</f>
        <v>1916.86</v>
      </c>
      <c r="D125" s="1">
        <f>IFERROR(__xludf.DUMMYFUNCTION("""COMPUTED_VALUE"""),1901.3)</f>
        <v>1901.3</v>
      </c>
      <c r="E125" s="1">
        <f>IFERROR(__xludf.DUMMYFUNCTION("""COMPUTED_VALUE"""),1913.9)</f>
        <v>1913.9</v>
      </c>
      <c r="F125" s="1">
        <f>IFERROR(__xludf.DUMMYFUNCTION("""COMPUTED_VALUE"""),2282969.0)</f>
        <v>2282969</v>
      </c>
    </row>
    <row r="126" ht="15.75" customHeight="1">
      <c r="A126" s="10">
        <f>IFERROR(__xludf.DUMMYFUNCTION("""COMPUTED_VALUE"""),43641.66666666667)</f>
        <v>43641.66667</v>
      </c>
      <c r="B126" s="1">
        <f>IFERROR(__xludf.DUMMYFUNCTION("""COMPUTED_VALUE"""),1911.84)</f>
        <v>1911.84</v>
      </c>
      <c r="C126" s="1">
        <f>IFERROR(__xludf.DUMMYFUNCTION("""COMPUTED_VALUE"""),1916.39)</f>
        <v>1916.39</v>
      </c>
      <c r="D126" s="1">
        <f>IFERROR(__xludf.DUMMYFUNCTION("""COMPUTED_VALUE"""),1872.42)</f>
        <v>1872.42</v>
      </c>
      <c r="E126" s="1">
        <f>IFERROR(__xludf.DUMMYFUNCTION("""COMPUTED_VALUE"""),1878.27)</f>
        <v>1878.27</v>
      </c>
      <c r="F126" s="1">
        <f>IFERROR(__xludf.DUMMYFUNCTION("""COMPUTED_VALUE"""),3012347.0)</f>
        <v>3012347</v>
      </c>
    </row>
    <row r="127" ht="15.75" customHeight="1">
      <c r="A127" s="10">
        <f>IFERROR(__xludf.DUMMYFUNCTION("""COMPUTED_VALUE"""),43642.66666666667)</f>
        <v>43642.66667</v>
      </c>
      <c r="B127" s="1">
        <f>IFERROR(__xludf.DUMMYFUNCTION("""COMPUTED_VALUE"""),1892.48)</f>
        <v>1892.48</v>
      </c>
      <c r="C127" s="1">
        <f>IFERROR(__xludf.DUMMYFUNCTION("""COMPUTED_VALUE"""),1903.8)</f>
        <v>1903.8</v>
      </c>
      <c r="D127" s="1">
        <f>IFERROR(__xludf.DUMMYFUNCTION("""COMPUTED_VALUE"""),1887.32)</f>
        <v>1887.32</v>
      </c>
      <c r="E127" s="1">
        <f>IFERROR(__xludf.DUMMYFUNCTION("""COMPUTED_VALUE"""),1897.83)</f>
        <v>1897.83</v>
      </c>
      <c r="F127" s="1">
        <f>IFERROR(__xludf.DUMMYFUNCTION("""COMPUTED_VALUE"""),2441910.0)</f>
        <v>2441910</v>
      </c>
    </row>
    <row r="128" ht="15.75" customHeight="1">
      <c r="A128" s="10">
        <f>IFERROR(__xludf.DUMMYFUNCTION("""COMPUTED_VALUE"""),43643.66666666667)</f>
        <v>43643.66667</v>
      </c>
      <c r="B128" s="1">
        <f>IFERROR(__xludf.DUMMYFUNCTION("""COMPUTED_VALUE"""),1902.0)</f>
        <v>1902</v>
      </c>
      <c r="C128" s="1">
        <f>IFERROR(__xludf.DUMMYFUNCTION("""COMPUTED_VALUE"""),1911.24)</f>
        <v>1911.24</v>
      </c>
      <c r="D128" s="1">
        <f>IFERROR(__xludf.DUMMYFUNCTION("""COMPUTED_VALUE"""),1898.04)</f>
        <v>1898.04</v>
      </c>
      <c r="E128" s="1">
        <f>IFERROR(__xludf.DUMMYFUNCTION("""COMPUTED_VALUE"""),1904.28)</f>
        <v>1904.28</v>
      </c>
      <c r="F128" s="1">
        <f>IFERROR(__xludf.DUMMYFUNCTION("""COMPUTED_VALUE"""),2141721.0)</f>
        <v>2141721</v>
      </c>
    </row>
    <row r="129" ht="15.75" customHeight="1">
      <c r="A129" s="10">
        <f>IFERROR(__xludf.DUMMYFUNCTION("""COMPUTED_VALUE"""),43644.66666666667)</f>
        <v>43644.66667</v>
      </c>
      <c r="B129" s="1">
        <f>IFERROR(__xludf.DUMMYFUNCTION("""COMPUTED_VALUE"""),1909.1)</f>
        <v>1909.1</v>
      </c>
      <c r="C129" s="1">
        <f>IFERROR(__xludf.DUMMYFUNCTION("""COMPUTED_VALUE"""),1912.94)</f>
        <v>1912.94</v>
      </c>
      <c r="D129" s="1">
        <f>IFERROR(__xludf.DUMMYFUNCTION("""COMPUTED_VALUE"""),1884.0)</f>
        <v>1884</v>
      </c>
      <c r="E129" s="1">
        <f>IFERROR(__xludf.DUMMYFUNCTION("""COMPUTED_VALUE"""),1893.63)</f>
        <v>1893.63</v>
      </c>
      <c r="F129" s="1">
        <f>IFERROR(__xludf.DUMMYFUNCTION("""COMPUTED_VALUE"""),3037358.0)</f>
        <v>3037358</v>
      </c>
    </row>
    <row r="130" ht="15.75" customHeight="1">
      <c r="A130" s="10">
        <f>IFERROR(__xludf.DUMMYFUNCTION("""COMPUTED_VALUE"""),43647.66666666667)</f>
        <v>43647.66667</v>
      </c>
      <c r="B130" s="1">
        <f>IFERROR(__xludf.DUMMYFUNCTION("""COMPUTED_VALUE"""),1922.98)</f>
        <v>1922.98</v>
      </c>
      <c r="C130" s="1">
        <f>IFERROR(__xludf.DUMMYFUNCTION("""COMPUTED_VALUE"""),1929.82)</f>
        <v>1929.82</v>
      </c>
      <c r="D130" s="1">
        <f>IFERROR(__xludf.DUMMYFUNCTION("""COMPUTED_VALUE"""),1914.66)</f>
        <v>1914.66</v>
      </c>
      <c r="E130" s="1">
        <f>IFERROR(__xludf.DUMMYFUNCTION("""COMPUTED_VALUE"""),1922.19)</f>
        <v>1922.19</v>
      </c>
      <c r="F130" s="1">
        <f>IFERROR(__xludf.DUMMYFUNCTION("""COMPUTED_VALUE"""),3203347.0)</f>
        <v>3203347</v>
      </c>
    </row>
    <row r="131" ht="15.75" customHeight="1">
      <c r="A131" s="10">
        <f>IFERROR(__xludf.DUMMYFUNCTION("""COMPUTED_VALUE"""),43648.66666666667)</f>
        <v>43648.66667</v>
      </c>
      <c r="B131" s="1">
        <f>IFERROR(__xludf.DUMMYFUNCTION("""COMPUTED_VALUE"""),1919.38)</f>
        <v>1919.38</v>
      </c>
      <c r="C131" s="1">
        <f>IFERROR(__xludf.DUMMYFUNCTION("""COMPUTED_VALUE"""),1934.79)</f>
        <v>1934.79</v>
      </c>
      <c r="D131" s="1">
        <f>IFERROR(__xludf.DUMMYFUNCTION("""COMPUTED_VALUE"""),1906.63)</f>
        <v>1906.63</v>
      </c>
      <c r="E131" s="1">
        <f>IFERROR(__xludf.DUMMYFUNCTION("""COMPUTED_VALUE"""),1934.31)</f>
        <v>1934.31</v>
      </c>
      <c r="F131" s="1">
        <f>IFERROR(__xludf.DUMMYFUNCTION("""COMPUTED_VALUE"""),2651299.0)</f>
        <v>2651299</v>
      </c>
    </row>
    <row r="132" ht="15.75" customHeight="1">
      <c r="A132" s="10">
        <f>IFERROR(__xludf.DUMMYFUNCTION("""COMPUTED_VALUE"""),43649.54166666667)</f>
        <v>43649.54167</v>
      </c>
      <c r="B132" s="1">
        <f>IFERROR(__xludf.DUMMYFUNCTION("""COMPUTED_VALUE"""),1935.89)</f>
        <v>1935.89</v>
      </c>
      <c r="C132" s="1">
        <f>IFERROR(__xludf.DUMMYFUNCTION("""COMPUTED_VALUE"""),1941.59)</f>
        <v>1941.59</v>
      </c>
      <c r="D132" s="1">
        <f>IFERROR(__xludf.DUMMYFUNCTION("""COMPUTED_VALUE"""),1930.5)</f>
        <v>1930.5</v>
      </c>
      <c r="E132" s="1">
        <f>IFERROR(__xludf.DUMMYFUNCTION("""COMPUTED_VALUE"""),1939.0)</f>
        <v>1939</v>
      </c>
      <c r="F132" s="1">
        <f>IFERROR(__xludf.DUMMYFUNCTION("""COMPUTED_VALUE"""),1690294.0)</f>
        <v>1690294</v>
      </c>
    </row>
    <row r="133" ht="15.75" customHeight="1">
      <c r="A133" s="10">
        <f>IFERROR(__xludf.DUMMYFUNCTION("""COMPUTED_VALUE"""),43651.66666666667)</f>
        <v>43651.66667</v>
      </c>
      <c r="B133" s="1">
        <f>IFERROR(__xludf.DUMMYFUNCTION("""COMPUTED_VALUE"""),1928.6)</f>
        <v>1928.6</v>
      </c>
      <c r="C133" s="1">
        <f>IFERROR(__xludf.DUMMYFUNCTION("""COMPUTED_VALUE"""),1945.9)</f>
        <v>1945.9</v>
      </c>
      <c r="D133" s="1">
        <f>IFERROR(__xludf.DUMMYFUNCTION("""COMPUTED_VALUE"""),1925.3)</f>
        <v>1925.3</v>
      </c>
      <c r="E133" s="1">
        <f>IFERROR(__xludf.DUMMYFUNCTION("""COMPUTED_VALUE"""),1942.91)</f>
        <v>1942.91</v>
      </c>
      <c r="F133" s="1">
        <f>IFERROR(__xludf.DUMMYFUNCTION("""COMPUTED_VALUE"""),2628359.0)</f>
        <v>2628359</v>
      </c>
    </row>
    <row r="134" ht="15.75" customHeight="1">
      <c r="A134" s="10">
        <f>IFERROR(__xludf.DUMMYFUNCTION("""COMPUTED_VALUE"""),43654.66666666667)</f>
        <v>43654.66667</v>
      </c>
      <c r="B134" s="1">
        <f>IFERROR(__xludf.DUMMYFUNCTION("""COMPUTED_VALUE"""),1934.12)</f>
        <v>1934.12</v>
      </c>
      <c r="C134" s="1">
        <f>IFERROR(__xludf.DUMMYFUNCTION("""COMPUTED_VALUE"""),1956.0)</f>
        <v>1956</v>
      </c>
      <c r="D134" s="1">
        <f>IFERROR(__xludf.DUMMYFUNCTION("""COMPUTED_VALUE"""),1928.25)</f>
        <v>1928.25</v>
      </c>
      <c r="E134" s="1">
        <f>IFERROR(__xludf.DUMMYFUNCTION("""COMPUTED_VALUE"""),1952.32)</f>
        <v>1952.32</v>
      </c>
      <c r="F134" s="1">
        <f>IFERROR(__xludf.DUMMYFUNCTION("""COMPUTED_VALUE"""),2883371.0)</f>
        <v>2883371</v>
      </c>
    </row>
    <row r="135" ht="15.75" customHeight="1">
      <c r="A135" s="10">
        <f>IFERROR(__xludf.DUMMYFUNCTION("""COMPUTED_VALUE"""),43655.66666666667)</f>
        <v>43655.66667</v>
      </c>
      <c r="B135" s="1">
        <f>IFERROR(__xludf.DUMMYFUNCTION("""COMPUTED_VALUE"""),1947.8)</f>
        <v>1947.8</v>
      </c>
      <c r="C135" s="1">
        <f>IFERROR(__xludf.DUMMYFUNCTION("""COMPUTED_VALUE"""),1990.01)</f>
        <v>1990.01</v>
      </c>
      <c r="D135" s="1">
        <f>IFERROR(__xludf.DUMMYFUNCTION("""COMPUTED_VALUE"""),1943.48)</f>
        <v>1943.48</v>
      </c>
      <c r="E135" s="1">
        <f>IFERROR(__xludf.DUMMYFUNCTION("""COMPUTED_VALUE"""),1988.3)</f>
        <v>1988.3</v>
      </c>
      <c r="F135" s="1">
        <f>IFERROR(__xludf.DUMMYFUNCTION("""COMPUTED_VALUE"""),4345698.0)</f>
        <v>4345698</v>
      </c>
    </row>
    <row r="136" ht="15.75" customHeight="1">
      <c r="A136" s="10">
        <f>IFERROR(__xludf.DUMMYFUNCTION("""COMPUTED_VALUE"""),43656.66666666667)</f>
        <v>43656.66667</v>
      </c>
      <c r="B136" s="1">
        <f>IFERROR(__xludf.DUMMYFUNCTION("""COMPUTED_VALUE"""),1996.51)</f>
        <v>1996.51</v>
      </c>
      <c r="C136" s="1">
        <f>IFERROR(__xludf.DUMMYFUNCTION("""COMPUTED_VALUE"""),2024.94)</f>
        <v>2024.94</v>
      </c>
      <c r="D136" s="1">
        <f>IFERROR(__xludf.DUMMYFUNCTION("""COMPUTED_VALUE"""),1995.4)</f>
        <v>1995.4</v>
      </c>
      <c r="E136" s="1">
        <f>IFERROR(__xludf.DUMMYFUNCTION("""COMPUTED_VALUE"""),2017.41)</f>
        <v>2017.41</v>
      </c>
      <c r="F136" s="1">
        <f>IFERROR(__xludf.DUMMYFUNCTION("""COMPUTED_VALUE"""),4931902.0)</f>
        <v>4931902</v>
      </c>
    </row>
    <row r="137" ht="15.75" customHeight="1">
      <c r="A137" s="10">
        <f>IFERROR(__xludf.DUMMYFUNCTION("""COMPUTED_VALUE"""),43657.66666666667)</f>
        <v>43657.66667</v>
      </c>
      <c r="B137" s="1">
        <f>IFERROR(__xludf.DUMMYFUNCTION("""COMPUTED_VALUE"""),2025.62)</f>
        <v>2025.62</v>
      </c>
      <c r="C137" s="1">
        <f>IFERROR(__xludf.DUMMYFUNCTION("""COMPUTED_VALUE"""),2035.8)</f>
        <v>2035.8</v>
      </c>
      <c r="D137" s="1">
        <f>IFERROR(__xludf.DUMMYFUNCTION("""COMPUTED_VALUE"""),1995.3)</f>
        <v>1995.3</v>
      </c>
      <c r="E137" s="1">
        <f>IFERROR(__xludf.DUMMYFUNCTION("""COMPUTED_VALUE"""),2001.07)</f>
        <v>2001.07</v>
      </c>
      <c r="F137" s="1">
        <f>IFERROR(__xludf.DUMMYFUNCTION("""COMPUTED_VALUE"""),4317766.0)</f>
        <v>4317766</v>
      </c>
    </row>
    <row r="138" ht="15.75" customHeight="1">
      <c r="A138" s="10">
        <f>IFERROR(__xludf.DUMMYFUNCTION("""COMPUTED_VALUE"""),43658.66666666667)</f>
        <v>43658.66667</v>
      </c>
      <c r="B138" s="1">
        <f>IFERROR(__xludf.DUMMYFUNCTION("""COMPUTED_VALUE"""),2008.27)</f>
        <v>2008.27</v>
      </c>
      <c r="C138" s="1">
        <f>IFERROR(__xludf.DUMMYFUNCTION("""COMPUTED_VALUE"""),2017.0)</f>
        <v>2017</v>
      </c>
      <c r="D138" s="1">
        <f>IFERROR(__xludf.DUMMYFUNCTION("""COMPUTED_VALUE"""),2003.87)</f>
        <v>2003.87</v>
      </c>
      <c r="E138" s="1">
        <f>IFERROR(__xludf.DUMMYFUNCTION("""COMPUTED_VALUE"""),2011.0)</f>
        <v>2011</v>
      </c>
      <c r="F138" s="1">
        <f>IFERROR(__xludf.DUMMYFUNCTION("""COMPUTED_VALUE"""),2509297.0)</f>
        <v>2509297</v>
      </c>
    </row>
    <row r="139" ht="15.75" customHeight="1">
      <c r="A139" s="10">
        <f>IFERROR(__xludf.DUMMYFUNCTION("""COMPUTED_VALUE"""),43661.66666666667)</f>
        <v>43661.66667</v>
      </c>
      <c r="B139" s="1">
        <f>IFERROR(__xludf.DUMMYFUNCTION("""COMPUTED_VALUE"""),2021.4)</f>
        <v>2021.4</v>
      </c>
      <c r="C139" s="1">
        <f>IFERROR(__xludf.DUMMYFUNCTION("""COMPUTED_VALUE"""),2022.9)</f>
        <v>2022.9</v>
      </c>
      <c r="D139" s="1">
        <f>IFERROR(__xludf.DUMMYFUNCTION("""COMPUTED_VALUE"""),2001.55)</f>
        <v>2001.55</v>
      </c>
      <c r="E139" s="1">
        <f>IFERROR(__xludf.DUMMYFUNCTION("""COMPUTED_VALUE"""),2020.99)</f>
        <v>2020.99</v>
      </c>
      <c r="F139" s="1">
        <f>IFERROR(__xludf.DUMMYFUNCTION("""COMPUTED_VALUE"""),2981343.0)</f>
        <v>2981343</v>
      </c>
    </row>
    <row r="140" ht="15.75" customHeight="1">
      <c r="A140" s="10">
        <f>IFERROR(__xludf.DUMMYFUNCTION("""COMPUTED_VALUE"""),43662.66666666667)</f>
        <v>43662.66667</v>
      </c>
      <c r="B140" s="1">
        <f>IFERROR(__xludf.DUMMYFUNCTION("""COMPUTED_VALUE"""),2010.58)</f>
        <v>2010.58</v>
      </c>
      <c r="C140" s="1">
        <f>IFERROR(__xludf.DUMMYFUNCTION("""COMPUTED_VALUE"""),2026.32)</f>
        <v>2026.32</v>
      </c>
      <c r="D140" s="1">
        <f>IFERROR(__xludf.DUMMYFUNCTION("""COMPUTED_VALUE"""),2001.22)</f>
        <v>2001.22</v>
      </c>
      <c r="E140" s="1">
        <f>IFERROR(__xludf.DUMMYFUNCTION("""COMPUTED_VALUE"""),2009.9)</f>
        <v>2009.9</v>
      </c>
      <c r="F140" s="1">
        <f>IFERROR(__xludf.DUMMYFUNCTION("""COMPUTED_VALUE"""),2618198.0)</f>
        <v>2618198</v>
      </c>
    </row>
    <row r="141" ht="15.75" customHeight="1">
      <c r="A141" s="10">
        <f>IFERROR(__xludf.DUMMYFUNCTION("""COMPUTED_VALUE"""),43663.66666666667)</f>
        <v>43663.66667</v>
      </c>
      <c r="B141" s="1">
        <f>IFERROR(__xludf.DUMMYFUNCTION("""COMPUTED_VALUE"""),2007.05)</f>
        <v>2007.05</v>
      </c>
      <c r="C141" s="1">
        <f>IFERROR(__xludf.DUMMYFUNCTION("""COMPUTED_VALUE"""),2012.0)</f>
        <v>2012</v>
      </c>
      <c r="D141" s="1">
        <f>IFERROR(__xludf.DUMMYFUNCTION("""COMPUTED_VALUE"""),1992.03)</f>
        <v>1992.03</v>
      </c>
      <c r="E141" s="1">
        <f>IFERROR(__xludf.DUMMYFUNCTION("""COMPUTED_VALUE"""),1992.03)</f>
        <v>1992.03</v>
      </c>
      <c r="F141" s="1">
        <f>IFERROR(__xludf.DUMMYFUNCTION("""COMPUTED_VALUE"""),2558809.0)</f>
        <v>2558809</v>
      </c>
    </row>
    <row r="142" ht="15.75" customHeight="1">
      <c r="A142" s="10">
        <f>IFERROR(__xludf.DUMMYFUNCTION("""COMPUTED_VALUE"""),43664.66666666667)</f>
        <v>43664.66667</v>
      </c>
      <c r="B142" s="1">
        <f>IFERROR(__xludf.DUMMYFUNCTION("""COMPUTED_VALUE"""),1980.01)</f>
        <v>1980.01</v>
      </c>
      <c r="C142" s="1">
        <f>IFERROR(__xludf.DUMMYFUNCTION("""COMPUTED_VALUE"""),1987.5)</f>
        <v>1987.5</v>
      </c>
      <c r="D142" s="1">
        <f>IFERROR(__xludf.DUMMYFUNCTION("""COMPUTED_VALUE"""),1951.55)</f>
        <v>1951.55</v>
      </c>
      <c r="E142" s="1">
        <f>IFERROR(__xludf.DUMMYFUNCTION("""COMPUTED_VALUE"""),1977.9)</f>
        <v>1977.9</v>
      </c>
      <c r="F142" s="1">
        <f>IFERROR(__xludf.DUMMYFUNCTION("""COMPUTED_VALUE"""),3504252.0)</f>
        <v>3504252</v>
      </c>
    </row>
    <row r="143" ht="15.75" customHeight="1">
      <c r="A143" s="10">
        <f>IFERROR(__xludf.DUMMYFUNCTION("""COMPUTED_VALUE"""),43665.66666666667)</f>
        <v>43665.66667</v>
      </c>
      <c r="B143" s="1">
        <f>IFERROR(__xludf.DUMMYFUNCTION("""COMPUTED_VALUE"""),1991.21)</f>
        <v>1991.21</v>
      </c>
      <c r="C143" s="1">
        <f>IFERROR(__xludf.DUMMYFUNCTION("""COMPUTED_VALUE"""),1996.0)</f>
        <v>1996</v>
      </c>
      <c r="D143" s="1">
        <f>IFERROR(__xludf.DUMMYFUNCTION("""COMPUTED_VALUE"""),1962.23)</f>
        <v>1962.23</v>
      </c>
      <c r="E143" s="1">
        <f>IFERROR(__xludf.DUMMYFUNCTION("""COMPUTED_VALUE"""),1964.52)</f>
        <v>1964.52</v>
      </c>
      <c r="F143" s="1">
        <f>IFERROR(__xludf.DUMMYFUNCTION("""COMPUTED_VALUE"""),3185612.0)</f>
        <v>3185612</v>
      </c>
    </row>
    <row r="144" ht="15.75" customHeight="1">
      <c r="A144" s="10">
        <f>IFERROR(__xludf.DUMMYFUNCTION("""COMPUTED_VALUE"""),43668.66666666667)</f>
        <v>43668.66667</v>
      </c>
      <c r="B144" s="1">
        <f>IFERROR(__xludf.DUMMYFUNCTION("""COMPUTED_VALUE"""),1971.14)</f>
        <v>1971.14</v>
      </c>
      <c r="C144" s="1">
        <f>IFERROR(__xludf.DUMMYFUNCTION("""COMPUTED_VALUE"""),1989.0)</f>
        <v>1989</v>
      </c>
      <c r="D144" s="1">
        <f>IFERROR(__xludf.DUMMYFUNCTION("""COMPUTED_VALUE"""),1958.26)</f>
        <v>1958.26</v>
      </c>
      <c r="E144" s="1">
        <f>IFERROR(__xludf.DUMMYFUNCTION("""COMPUTED_VALUE"""),1985.63)</f>
        <v>1985.63</v>
      </c>
      <c r="F144" s="1">
        <f>IFERROR(__xludf.DUMMYFUNCTION("""COMPUTED_VALUE"""),2908111.0)</f>
        <v>2908111</v>
      </c>
    </row>
    <row r="145" ht="15.75" customHeight="1">
      <c r="A145" s="10">
        <f>IFERROR(__xludf.DUMMYFUNCTION("""COMPUTED_VALUE"""),43669.66666666667)</f>
        <v>43669.66667</v>
      </c>
      <c r="B145" s="1">
        <f>IFERROR(__xludf.DUMMYFUNCTION("""COMPUTED_VALUE"""),1995.99)</f>
        <v>1995.99</v>
      </c>
      <c r="C145" s="1">
        <f>IFERROR(__xludf.DUMMYFUNCTION("""COMPUTED_VALUE"""),1997.79)</f>
        <v>1997.79</v>
      </c>
      <c r="D145" s="1">
        <f>IFERROR(__xludf.DUMMYFUNCTION("""COMPUTED_VALUE"""),1973.13)</f>
        <v>1973.13</v>
      </c>
      <c r="E145" s="1">
        <f>IFERROR(__xludf.DUMMYFUNCTION("""COMPUTED_VALUE"""),1994.49)</f>
        <v>1994.49</v>
      </c>
      <c r="F145" s="1">
        <f>IFERROR(__xludf.DUMMYFUNCTION("""COMPUTED_VALUE"""),2703480.0)</f>
        <v>2703480</v>
      </c>
    </row>
    <row r="146" ht="15.75" customHeight="1">
      <c r="A146" s="10">
        <f>IFERROR(__xludf.DUMMYFUNCTION("""COMPUTED_VALUE"""),43670.66666666667)</f>
        <v>43670.66667</v>
      </c>
      <c r="B146" s="1">
        <f>IFERROR(__xludf.DUMMYFUNCTION("""COMPUTED_VALUE"""),1969.3)</f>
        <v>1969.3</v>
      </c>
      <c r="C146" s="1">
        <f>IFERROR(__xludf.DUMMYFUNCTION("""COMPUTED_VALUE"""),2001.3)</f>
        <v>2001.3</v>
      </c>
      <c r="D146" s="1">
        <f>IFERROR(__xludf.DUMMYFUNCTION("""COMPUTED_VALUE"""),1965.87)</f>
        <v>1965.87</v>
      </c>
      <c r="E146" s="1">
        <f>IFERROR(__xludf.DUMMYFUNCTION("""COMPUTED_VALUE"""),2000.81)</f>
        <v>2000.81</v>
      </c>
      <c r="F146" s="1">
        <f>IFERROR(__xludf.DUMMYFUNCTION("""COMPUTED_VALUE"""),2631300.0)</f>
        <v>2631300</v>
      </c>
    </row>
    <row r="147" ht="15.75" customHeight="1">
      <c r="A147" s="10">
        <f>IFERROR(__xludf.DUMMYFUNCTION("""COMPUTED_VALUE"""),43671.66666666667)</f>
        <v>43671.66667</v>
      </c>
      <c r="B147" s="1">
        <f>IFERROR(__xludf.DUMMYFUNCTION("""COMPUTED_VALUE"""),2001.0)</f>
        <v>2001</v>
      </c>
      <c r="C147" s="1">
        <f>IFERROR(__xludf.DUMMYFUNCTION("""COMPUTED_VALUE"""),2001.2)</f>
        <v>2001.2</v>
      </c>
      <c r="D147" s="1">
        <f>IFERROR(__xludf.DUMMYFUNCTION("""COMPUTED_VALUE"""),1972.72)</f>
        <v>1972.72</v>
      </c>
      <c r="E147" s="1">
        <f>IFERROR(__xludf.DUMMYFUNCTION("""COMPUTED_VALUE"""),1973.82)</f>
        <v>1973.82</v>
      </c>
      <c r="F147" s="1">
        <f>IFERROR(__xludf.DUMMYFUNCTION("""COMPUTED_VALUE"""),4136461.0)</f>
        <v>4136461</v>
      </c>
    </row>
    <row r="148" ht="15.75" customHeight="1">
      <c r="A148" s="10">
        <f>IFERROR(__xludf.DUMMYFUNCTION("""COMPUTED_VALUE"""),43672.66666666667)</f>
        <v>43672.66667</v>
      </c>
      <c r="B148" s="1">
        <f>IFERROR(__xludf.DUMMYFUNCTION("""COMPUTED_VALUE"""),1942.0)</f>
        <v>1942</v>
      </c>
      <c r="C148" s="1">
        <f>IFERROR(__xludf.DUMMYFUNCTION("""COMPUTED_VALUE"""),1950.9)</f>
        <v>1950.9</v>
      </c>
      <c r="D148" s="1">
        <f>IFERROR(__xludf.DUMMYFUNCTION("""COMPUTED_VALUE"""),1924.51)</f>
        <v>1924.51</v>
      </c>
      <c r="E148" s="1">
        <f>IFERROR(__xludf.DUMMYFUNCTION("""COMPUTED_VALUE"""),1943.05)</f>
        <v>1943.05</v>
      </c>
      <c r="F148" s="1">
        <f>IFERROR(__xludf.DUMMYFUNCTION("""COMPUTED_VALUE"""),4927143.0)</f>
        <v>4927143</v>
      </c>
    </row>
    <row r="149" ht="15.75" customHeight="1">
      <c r="A149" s="10">
        <f>IFERROR(__xludf.DUMMYFUNCTION("""COMPUTED_VALUE"""),43675.66666666667)</f>
        <v>43675.66667</v>
      </c>
      <c r="B149" s="1">
        <f>IFERROR(__xludf.DUMMYFUNCTION("""COMPUTED_VALUE"""),1930.0)</f>
        <v>1930</v>
      </c>
      <c r="C149" s="1">
        <f>IFERROR(__xludf.DUMMYFUNCTION("""COMPUTED_VALUE"""),1932.23)</f>
        <v>1932.23</v>
      </c>
      <c r="D149" s="1">
        <f>IFERROR(__xludf.DUMMYFUNCTION("""COMPUTED_VALUE"""),1890.54)</f>
        <v>1890.54</v>
      </c>
      <c r="E149" s="1">
        <f>IFERROR(__xludf.DUMMYFUNCTION("""COMPUTED_VALUE"""),1912.45)</f>
        <v>1912.45</v>
      </c>
      <c r="F149" s="1">
        <f>IFERROR(__xludf.DUMMYFUNCTION("""COMPUTED_VALUE"""),4493190.0)</f>
        <v>4493190</v>
      </c>
    </row>
    <row r="150" ht="15.75" customHeight="1">
      <c r="A150" s="10">
        <f>IFERROR(__xludf.DUMMYFUNCTION("""COMPUTED_VALUE"""),43676.66666666667)</f>
        <v>43676.66667</v>
      </c>
      <c r="B150" s="1">
        <f>IFERROR(__xludf.DUMMYFUNCTION("""COMPUTED_VALUE"""),1891.12)</f>
        <v>1891.12</v>
      </c>
      <c r="C150" s="1">
        <f>IFERROR(__xludf.DUMMYFUNCTION("""COMPUTED_VALUE"""),1909.89)</f>
        <v>1909.89</v>
      </c>
      <c r="D150" s="1">
        <f>IFERROR(__xludf.DUMMYFUNCTION("""COMPUTED_VALUE"""),1883.48)</f>
        <v>1883.48</v>
      </c>
      <c r="E150" s="1">
        <f>IFERROR(__xludf.DUMMYFUNCTION("""COMPUTED_VALUE"""),1898.53)</f>
        <v>1898.53</v>
      </c>
      <c r="F150" s="1">
        <f>IFERROR(__xludf.DUMMYFUNCTION("""COMPUTED_VALUE"""),2910888.0)</f>
        <v>2910888</v>
      </c>
    </row>
    <row r="151" ht="15.75" customHeight="1">
      <c r="A151" s="10">
        <f>IFERROR(__xludf.DUMMYFUNCTION("""COMPUTED_VALUE"""),43677.66666666667)</f>
        <v>43677.66667</v>
      </c>
      <c r="B151" s="1">
        <f>IFERROR(__xludf.DUMMYFUNCTION("""COMPUTED_VALUE"""),1898.11)</f>
        <v>1898.11</v>
      </c>
      <c r="C151" s="1">
        <f>IFERROR(__xludf.DUMMYFUNCTION("""COMPUTED_VALUE"""),1899.55)</f>
        <v>1899.55</v>
      </c>
      <c r="D151" s="1">
        <f>IFERROR(__xludf.DUMMYFUNCTION("""COMPUTED_VALUE"""),1849.44)</f>
        <v>1849.44</v>
      </c>
      <c r="E151" s="1">
        <f>IFERROR(__xludf.DUMMYFUNCTION("""COMPUTED_VALUE"""),1866.78)</f>
        <v>1866.78</v>
      </c>
      <c r="F151" s="1">
        <f>IFERROR(__xludf.DUMMYFUNCTION("""COMPUTED_VALUE"""),4470727.0)</f>
        <v>4470727</v>
      </c>
    </row>
    <row r="152" ht="15.75" customHeight="1">
      <c r="A152" s="10">
        <f>IFERROR(__xludf.DUMMYFUNCTION("""COMPUTED_VALUE"""),43678.66666666667)</f>
        <v>43678.66667</v>
      </c>
      <c r="B152" s="1">
        <f>IFERROR(__xludf.DUMMYFUNCTION("""COMPUTED_VALUE"""),1871.72)</f>
        <v>1871.72</v>
      </c>
      <c r="C152" s="1">
        <f>IFERROR(__xludf.DUMMYFUNCTION("""COMPUTED_VALUE"""),1897.92)</f>
        <v>1897.92</v>
      </c>
      <c r="D152" s="1">
        <f>IFERROR(__xludf.DUMMYFUNCTION("""COMPUTED_VALUE"""),1844.01)</f>
        <v>1844.01</v>
      </c>
      <c r="E152" s="1">
        <f>IFERROR(__xludf.DUMMYFUNCTION("""COMPUTED_VALUE"""),1855.32)</f>
        <v>1855.32</v>
      </c>
      <c r="F152" s="1">
        <f>IFERROR(__xludf.DUMMYFUNCTION("""COMPUTED_VALUE"""),4713311.0)</f>
        <v>4713311</v>
      </c>
    </row>
    <row r="153" ht="15.75" customHeight="1">
      <c r="A153" s="10">
        <f>IFERROR(__xludf.DUMMYFUNCTION("""COMPUTED_VALUE"""),43679.66666666667)</f>
        <v>43679.66667</v>
      </c>
      <c r="B153" s="1">
        <f>IFERROR(__xludf.DUMMYFUNCTION("""COMPUTED_VALUE"""),1845.07)</f>
        <v>1845.07</v>
      </c>
      <c r="C153" s="1">
        <f>IFERROR(__xludf.DUMMYFUNCTION("""COMPUTED_VALUE"""),1846.36)</f>
        <v>1846.36</v>
      </c>
      <c r="D153" s="1">
        <f>IFERROR(__xludf.DUMMYFUNCTION("""COMPUTED_VALUE"""),1808.02)</f>
        <v>1808.02</v>
      </c>
      <c r="E153" s="1">
        <f>IFERROR(__xludf.DUMMYFUNCTION("""COMPUTED_VALUE"""),1823.24)</f>
        <v>1823.24</v>
      </c>
      <c r="F153" s="1">
        <f>IFERROR(__xludf.DUMMYFUNCTION("""COMPUTED_VALUE"""),4956225.0)</f>
        <v>4956225</v>
      </c>
    </row>
    <row r="154" ht="15.75" customHeight="1">
      <c r="A154" s="10">
        <f>IFERROR(__xludf.DUMMYFUNCTION("""COMPUTED_VALUE"""),43682.66666666667)</f>
        <v>43682.66667</v>
      </c>
      <c r="B154" s="1">
        <f>IFERROR(__xludf.DUMMYFUNCTION("""COMPUTED_VALUE"""),1770.22)</f>
        <v>1770.22</v>
      </c>
      <c r="C154" s="1">
        <f>IFERROR(__xludf.DUMMYFUNCTION("""COMPUTED_VALUE"""),1788.67)</f>
        <v>1788.67</v>
      </c>
      <c r="D154" s="1">
        <f>IFERROR(__xludf.DUMMYFUNCTION("""COMPUTED_VALUE"""),1748.78)</f>
        <v>1748.78</v>
      </c>
      <c r="E154" s="1">
        <f>IFERROR(__xludf.DUMMYFUNCTION("""COMPUTED_VALUE"""),1765.13)</f>
        <v>1765.13</v>
      </c>
      <c r="F154" s="1">
        <f>IFERROR(__xludf.DUMMYFUNCTION("""COMPUTED_VALUE"""),6058212.0)</f>
        <v>6058212</v>
      </c>
    </row>
    <row r="155" ht="15.75" customHeight="1">
      <c r="A155" s="10">
        <f>IFERROR(__xludf.DUMMYFUNCTION("""COMPUTED_VALUE"""),43683.66666666667)</f>
        <v>43683.66667</v>
      </c>
      <c r="B155" s="1">
        <f>IFERROR(__xludf.DUMMYFUNCTION("""COMPUTED_VALUE"""),1792.23)</f>
        <v>1792.23</v>
      </c>
      <c r="C155" s="1">
        <f>IFERROR(__xludf.DUMMYFUNCTION("""COMPUTED_VALUE"""),1793.77)</f>
        <v>1793.77</v>
      </c>
      <c r="D155" s="1">
        <f>IFERROR(__xludf.DUMMYFUNCTION("""COMPUTED_VALUE"""),1753.4)</f>
        <v>1753.4</v>
      </c>
      <c r="E155" s="1">
        <f>IFERROR(__xludf.DUMMYFUNCTION("""COMPUTED_VALUE"""),1787.83)</f>
        <v>1787.83</v>
      </c>
      <c r="F155" s="1">
        <f>IFERROR(__xludf.DUMMYFUNCTION("""COMPUTED_VALUE"""),5070258.0)</f>
        <v>5070258</v>
      </c>
    </row>
    <row r="156" ht="15.75" customHeight="1">
      <c r="A156" s="10">
        <f>IFERROR(__xludf.DUMMYFUNCTION("""COMPUTED_VALUE"""),43684.66666666667)</f>
        <v>43684.66667</v>
      </c>
      <c r="B156" s="1">
        <f>IFERROR(__xludf.DUMMYFUNCTION("""COMPUTED_VALUE"""),1773.99)</f>
        <v>1773.99</v>
      </c>
      <c r="C156" s="1">
        <f>IFERROR(__xludf.DUMMYFUNCTION("""COMPUTED_VALUE"""),1798.93)</f>
        <v>1798.93</v>
      </c>
      <c r="D156" s="1">
        <f>IFERROR(__xludf.DUMMYFUNCTION("""COMPUTED_VALUE"""),1757.0)</f>
        <v>1757</v>
      </c>
      <c r="E156" s="1">
        <f>IFERROR(__xludf.DUMMYFUNCTION("""COMPUTED_VALUE"""),1793.4)</f>
        <v>1793.4</v>
      </c>
      <c r="F156" s="1">
        <f>IFERROR(__xludf.DUMMYFUNCTION("""COMPUTED_VALUE"""),4526884.0)</f>
        <v>4526884</v>
      </c>
    </row>
    <row r="157" ht="15.75" customHeight="1">
      <c r="A157" s="10">
        <f>IFERROR(__xludf.DUMMYFUNCTION("""COMPUTED_VALUE"""),43685.66666666667)</f>
        <v>43685.66667</v>
      </c>
      <c r="B157" s="1">
        <f>IFERROR(__xludf.DUMMYFUNCTION("""COMPUTED_VALUE"""),1806.0)</f>
        <v>1806</v>
      </c>
      <c r="C157" s="1">
        <f>IFERROR(__xludf.DUMMYFUNCTION("""COMPUTED_VALUE"""),1834.26)</f>
        <v>1834.26</v>
      </c>
      <c r="D157" s="1">
        <f>IFERROR(__xludf.DUMMYFUNCTION("""COMPUTED_VALUE"""),1798.11)</f>
        <v>1798.11</v>
      </c>
      <c r="E157" s="1">
        <f>IFERROR(__xludf.DUMMYFUNCTION("""COMPUTED_VALUE"""),1832.89)</f>
        <v>1832.89</v>
      </c>
      <c r="F157" s="1">
        <f>IFERROR(__xludf.DUMMYFUNCTION("""COMPUTED_VALUE"""),3701242.0)</f>
        <v>3701242</v>
      </c>
    </row>
    <row r="158" ht="15.75" customHeight="1">
      <c r="A158" s="10">
        <f>IFERROR(__xludf.DUMMYFUNCTION("""COMPUTED_VALUE"""),43686.66666666667)</f>
        <v>43686.66667</v>
      </c>
      <c r="B158" s="1">
        <f>IFERROR(__xludf.DUMMYFUNCTION("""COMPUTED_VALUE"""),1828.95)</f>
        <v>1828.95</v>
      </c>
      <c r="C158" s="1">
        <f>IFERROR(__xludf.DUMMYFUNCTION("""COMPUTED_VALUE"""),1831.09)</f>
        <v>1831.09</v>
      </c>
      <c r="D158" s="1">
        <f>IFERROR(__xludf.DUMMYFUNCTION("""COMPUTED_VALUE"""),1802.22)</f>
        <v>1802.22</v>
      </c>
      <c r="E158" s="1">
        <f>IFERROR(__xludf.DUMMYFUNCTION("""COMPUTED_VALUE"""),1807.58)</f>
        <v>1807.58</v>
      </c>
      <c r="F158" s="1">
        <f>IFERROR(__xludf.DUMMYFUNCTION("""COMPUTED_VALUE"""),2879770.0)</f>
        <v>2879770</v>
      </c>
    </row>
    <row r="159" ht="15.75" customHeight="1">
      <c r="A159" s="10">
        <f>IFERROR(__xludf.DUMMYFUNCTION("""COMPUTED_VALUE"""),43689.66666666667)</f>
        <v>43689.66667</v>
      </c>
      <c r="B159" s="1">
        <f>IFERROR(__xludf.DUMMYFUNCTION("""COMPUTED_VALUE"""),1795.99)</f>
        <v>1795.99</v>
      </c>
      <c r="C159" s="1">
        <f>IFERROR(__xludf.DUMMYFUNCTION("""COMPUTED_VALUE"""),1800.98)</f>
        <v>1800.98</v>
      </c>
      <c r="D159" s="1">
        <f>IFERROR(__xludf.DUMMYFUNCTION("""COMPUTED_VALUE"""),1777.0)</f>
        <v>1777</v>
      </c>
      <c r="E159" s="1">
        <f>IFERROR(__xludf.DUMMYFUNCTION("""COMPUTED_VALUE"""),1784.92)</f>
        <v>1784.92</v>
      </c>
      <c r="F159" s="1">
        <f>IFERROR(__xludf.DUMMYFUNCTION("""COMPUTED_VALUE"""),2905498.0)</f>
        <v>2905498</v>
      </c>
    </row>
    <row r="160" ht="15.75" customHeight="1">
      <c r="A160" s="10">
        <f>IFERROR(__xludf.DUMMYFUNCTION("""COMPUTED_VALUE"""),43690.66666666667)</f>
        <v>43690.66667</v>
      </c>
      <c r="B160" s="1">
        <f>IFERROR(__xludf.DUMMYFUNCTION("""COMPUTED_VALUE"""),1783.0)</f>
        <v>1783</v>
      </c>
      <c r="C160" s="1">
        <f>IFERROR(__xludf.DUMMYFUNCTION("""COMPUTED_VALUE"""),1831.74)</f>
        <v>1831.74</v>
      </c>
      <c r="D160" s="1">
        <f>IFERROR(__xludf.DUMMYFUNCTION("""COMPUTED_VALUE"""),1780.0)</f>
        <v>1780</v>
      </c>
      <c r="E160" s="1">
        <f>IFERROR(__xludf.DUMMYFUNCTION("""COMPUTED_VALUE"""),1824.34)</f>
        <v>1824.34</v>
      </c>
      <c r="F160" s="1">
        <f>IFERROR(__xludf.DUMMYFUNCTION("""COMPUTED_VALUE"""),4075021.0)</f>
        <v>4075021</v>
      </c>
    </row>
    <row r="161" ht="15.75" customHeight="1">
      <c r="A161" s="10">
        <f>IFERROR(__xludf.DUMMYFUNCTION("""COMPUTED_VALUE"""),43691.66666666667)</f>
        <v>43691.66667</v>
      </c>
      <c r="B161" s="1">
        <f>IFERROR(__xludf.DUMMYFUNCTION("""COMPUTED_VALUE"""),1793.01)</f>
        <v>1793.01</v>
      </c>
      <c r="C161" s="1">
        <f>IFERROR(__xludf.DUMMYFUNCTION("""COMPUTED_VALUE"""),1795.65)</f>
        <v>1795.65</v>
      </c>
      <c r="D161" s="1">
        <f>IFERROR(__xludf.DUMMYFUNCTION("""COMPUTED_VALUE"""),1757.22)</f>
        <v>1757.22</v>
      </c>
      <c r="E161" s="1">
        <f>IFERROR(__xludf.DUMMYFUNCTION("""COMPUTED_VALUE"""),1762.96)</f>
        <v>1762.96</v>
      </c>
      <c r="F161" s="1">
        <f>IFERROR(__xludf.DUMMYFUNCTION("""COMPUTED_VALUE"""),4893649.0)</f>
        <v>4893649</v>
      </c>
    </row>
    <row r="162" ht="15.75" customHeight="1">
      <c r="A162" s="10">
        <f>IFERROR(__xludf.DUMMYFUNCTION("""COMPUTED_VALUE"""),43692.66666666667)</f>
        <v>43692.66667</v>
      </c>
      <c r="B162" s="1">
        <f>IFERROR(__xludf.DUMMYFUNCTION("""COMPUTED_VALUE"""),1781.99)</f>
        <v>1781.99</v>
      </c>
      <c r="C162" s="1">
        <f>IFERROR(__xludf.DUMMYFUNCTION("""COMPUTED_VALUE"""),1788.0)</f>
        <v>1788</v>
      </c>
      <c r="D162" s="1">
        <f>IFERROR(__xludf.DUMMYFUNCTION("""COMPUTED_VALUE"""),1761.96)</f>
        <v>1761.96</v>
      </c>
      <c r="E162" s="1">
        <f>IFERROR(__xludf.DUMMYFUNCTION("""COMPUTED_VALUE"""),1776.12)</f>
        <v>1776.12</v>
      </c>
      <c r="F162" s="1">
        <f>IFERROR(__xludf.DUMMYFUNCTION("""COMPUTED_VALUE"""),3809948.0)</f>
        <v>3809948</v>
      </c>
    </row>
    <row r="163" ht="15.75" customHeight="1">
      <c r="A163" s="10">
        <f>IFERROR(__xludf.DUMMYFUNCTION("""COMPUTED_VALUE"""),43693.66666666667)</f>
        <v>43693.66667</v>
      </c>
      <c r="B163" s="1">
        <f>IFERROR(__xludf.DUMMYFUNCTION("""COMPUTED_VALUE"""),1792.89)</f>
        <v>1792.89</v>
      </c>
      <c r="C163" s="1">
        <f>IFERROR(__xludf.DUMMYFUNCTION("""COMPUTED_VALUE"""),1802.91)</f>
        <v>1802.91</v>
      </c>
      <c r="D163" s="1">
        <f>IFERROR(__xludf.DUMMYFUNCTION("""COMPUTED_VALUE"""),1784.55)</f>
        <v>1784.55</v>
      </c>
      <c r="E163" s="1">
        <f>IFERROR(__xludf.DUMMYFUNCTION("""COMPUTED_VALUE"""),1792.57)</f>
        <v>1792.57</v>
      </c>
      <c r="F163" s="1">
        <f>IFERROR(__xludf.DUMMYFUNCTION("""COMPUTED_VALUE"""),3054240.0)</f>
        <v>3054240</v>
      </c>
    </row>
    <row r="164" ht="15.75" customHeight="1">
      <c r="A164" s="10">
        <f>IFERROR(__xludf.DUMMYFUNCTION("""COMPUTED_VALUE"""),43696.66666666667)</f>
        <v>43696.66667</v>
      </c>
      <c r="B164" s="1">
        <f>IFERROR(__xludf.DUMMYFUNCTION("""COMPUTED_VALUE"""),1818.08)</f>
        <v>1818.08</v>
      </c>
      <c r="C164" s="1">
        <f>IFERROR(__xludf.DUMMYFUNCTION("""COMPUTED_VALUE"""),1826.0)</f>
        <v>1826</v>
      </c>
      <c r="D164" s="1">
        <f>IFERROR(__xludf.DUMMYFUNCTION("""COMPUTED_VALUE"""),1812.61)</f>
        <v>1812.61</v>
      </c>
      <c r="E164" s="1">
        <f>IFERROR(__xludf.DUMMYFUNCTION("""COMPUTED_VALUE"""),1816.12)</f>
        <v>1816.12</v>
      </c>
      <c r="F164" s="1">
        <f>IFERROR(__xludf.DUMMYFUNCTION("""COMPUTED_VALUE"""),2820303.0)</f>
        <v>2820303</v>
      </c>
    </row>
    <row r="165" ht="15.75" customHeight="1">
      <c r="A165" s="10">
        <f>IFERROR(__xludf.DUMMYFUNCTION("""COMPUTED_VALUE"""),43697.66666666667)</f>
        <v>43697.66667</v>
      </c>
      <c r="B165" s="1">
        <f>IFERROR(__xludf.DUMMYFUNCTION("""COMPUTED_VALUE"""),1814.5)</f>
        <v>1814.5</v>
      </c>
      <c r="C165" s="1">
        <f>IFERROR(__xludf.DUMMYFUNCTION("""COMPUTED_VALUE"""),1816.82)</f>
        <v>1816.82</v>
      </c>
      <c r="D165" s="1">
        <f>IFERROR(__xludf.DUMMYFUNCTION("""COMPUTED_VALUE"""),1799.88)</f>
        <v>1799.88</v>
      </c>
      <c r="E165" s="1">
        <f>IFERROR(__xludf.DUMMYFUNCTION("""COMPUTED_VALUE"""),1801.38)</f>
        <v>1801.38</v>
      </c>
      <c r="F165" s="1">
        <f>IFERROR(__xludf.DUMMYFUNCTION("""COMPUTED_VALUE"""),1932835.0)</f>
        <v>1932835</v>
      </c>
    </row>
    <row r="166" ht="15.75" customHeight="1">
      <c r="A166" s="10">
        <f>IFERROR(__xludf.DUMMYFUNCTION("""COMPUTED_VALUE"""),43698.66666666667)</f>
        <v>43698.66667</v>
      </c>
      <c r="B166" s="1">
        <f>IFERROR(__xludf.DUMMYFUNCTION("""COMPUTED_VALUE"""),1819.39)</f>
        <v>1819.39</v>
      </c>
      <c r="C166" s="1">
        <f>IFERROR(__xludf.DUMMYFUNCTION("""COMPUTED_VALUE"""),1829.58)</f>
        <v>1829.58</v>
      </c>
      <c r="D166" s="1">
        <f>IFERROR(__xludf.DUMMYFUNCTION("""COMPUTED_VALUE"""),1815.0)</f>
        <v>1815</v>
      </c>
      <c r="E166" s="1">
        <f>IFERROR(__xludf.DUMMYFUNCTION("""COMPUTED_VALUE"""),1823.54)</f>
        <v>1823.54</v>
      </c>
      <c r="F166" s="1">
        <f>IFERROR(__xludf.DUMMYFUNCTION("""COMPUTED_VALUE"""),2039231.0)</f>
        <v>2039231</v>
      </c>
    </row>
    <row r="167" ht="15.75" customHeight="1">
      <c r="A167" s="10">
        <f>IFERROR(__xludf.DUMMYFUNCTION("""COMPUTED_VALUE"""),43699.66666666667)</f>
        <v>43699.66667</v>
      </c>
      <c r="B167" s="1">
        <f>IFERROR(__xludf.DUMMYFUNCTION("""COMPUTED_VALUE"""),1828.0)</f>
        <v>1828</v>
      </c>
      <c r="C167" s="1">
        <f>IFERROR(__xludf.DUMMYFUNCTION("""COMPUTED_VALUE"""),1829.41)</f>
        <v>1829.41</v>
      </c>
      <c r="D167" s="1">
        <f>IFERROR(__xludf.DUMMYFUNCTION("""COMPUTED_VALUE"""),1800.1)</f>
        <v>1800.1</v>
      </c>
      <c r="E167" s="1">
        <f>IFERROR(__xludf.DUMMYFUNCTION("""COMPUTED_VALUE"""),1805.6)</f>
        <v>1805.6</v>
      </c>
      <c r="F167" s="1">
        <f>IFERROR(__xludf.DUMMYFUNCTION("""COMPUTED_VALUE"""),2658388.0)</f>
        <v>2658388</v>
      </c>
    </row>
    <row r="168" ht="15.75" customHeight="1">
      <c r="A168" s="10">
        <f>IFERROR(__xludf.DUMMYFUNCTION("""COMPUTED_VALUE"""),43700.66666666667)</f>
        <v>43700.66667</v>
      </c>
      <c r="B168" s="1">
        <f>IFERROR(__xludf.DUMMYFUNCTION("""COMPUTED_VALUE"""),1793.03)</f>
        <v>1793.03</v>
      </c>
      <c r="C168" s="1">
        <f>IFERROR(__xludf.DUMMYFUNCTION("""COMPUTED_VALUE"""),1804.9)</f>
        <v>1804.9</v>
      </c>
      <c r="D168" s="1">
        <f>IFERROR(__xludf.DUMMYFUNCTION("""COMPUTED_VALUE"""),1745.23)</f>
        <v>1745.23</v>
      </c>
      <c r="E168" s="1">
        <f>IFERROR(__xludf.DUMMYFUNCTION("""COMPUTED_VALUE"""),1749.62)</f>
        <v>1749.62</v>
      </c>
      <c r="F168" s="1">
        <f>IFERROR(__xludf.DUMMYFUNCTION("""COMPUTED_VALUE"""),5277898.0)</f>
        <v>5277898</v>
      </c>
    </row>
    <row r="169" ht="15.75" customHeight="1">
      <c r="A169" s="10">
        <f>IFERROR(__xludf.DUMMYFUNCTION("""COMPUTED_VALUE"""),43703.66666666667)</f>
        <v>43703.66667</v>
      </c>
      <c r="B169" s="1">
        <f>IFERROR(__xludf.DUMMYFUNCTION("""COMPUTED_VALUE"""),1766.91)</f>
        <v>1766.91</v>
      </c>
      <c r="C169" s="1">
        <f>IFERROR(__xludf.DUMMYFUNCTION("""COMPUTED_VALUE"""),1770.0)</f>
        <v>1770</v>
      </c>
      <c r="D169" s="1">
        <f>IFERROR(__xludf.DUMMYFUNCTION("""COMPUTED_VALUE"""),1743.51)</f>
        <v>1743.51</v>
      </c>
      <c r="E169" s="1">
        <f>IFERROR(__xludf.DUMMYFUNCTION("""COMPUTED_VALUE"""),1768.87)</f>
        <v>1768.87</v>
      </c>
      <c r="F169" s="1">
        <f>IFERROR(__xludf.DUMMYFUNCTION("""COMPUTED_VALUE"""),3085320.0)</f>
        <v>3085320</v>
      </c>
    </row>
    <row r="170" ht="15.75" customHeight="1">
      <c r="A170" s="10">
        <f>IFERROR(__xludf.DUMMYFUNCTION("""COMPUTED_VALUE"""),43704.66666666667)</f>
        <v>43704.66667</v>
      </c>
      <c r="B170" s="1">
        <f>IFERROR(__xludf.DUMMYFUNCTION("""COMPUTED_VALUE"""),1775.73)</f>
        <v>1775.73</v>
      </c>
      <c r="C170" s="1">
        <f>IFERROR(__xludf.DUMMYFUNCTION("""COMPUTED_VALUE"""),1779.4)</f>
        <v>1779.4</v>
      </c>
      <c r="D170" s="1">
        <f>IFERROR(__xludf.DUMMYFUNCTION("""COMPUTED_VALUE"""),1746.68)</f>
        <v>1746.68</v>
      </c>
      <c r="E170" s="1">
        <f>IFERROR(__xludf.DUMMYFUNCTION("""COMPUTED_VALUE"""),1761.83)</f>
        <v>1761.83</v>
      </c>
      <c r="F170" s="1">
        <f>IFERROR(__xludf.DUMMYFUNCTION("""COMPUTED_VALUE"""),3027245.0)</f>
        <v>3027245</v>
      </c>
    </row>
    <row r="171" ht="15.75" customHeight="1">
      <c r="A171" s="10">
        <f>IFERROR(__xludf.DUMMYFUNCTION("""COMPUTED_VALUE"""),43705.66666666667)</f>
        <v>43705.66667</v>
      </c>
      <c r="B171" s="1">
        <f>IFERROR(__xludf.DUMMYFUNCTION("""COMPUTED_VALUE"""),1755.0)</f>
        <v>1755</v>
      </c>
      <c r="C171" s="1">
        <f>IFERROR(__xludf.DUMMYFUNCTION("""COMPUTED_VALUE"""),1767.86)</f>
        <v>1767.86</v>
      </c>
      <c r="D171" s="1">
        <f>IFERROR(__xludf.DUMMYFUNCTION("""COMPUTED_VALUE"""),1744.05)</f>
        <v>1744.05</v>
      </c>
      <c r="E171" s="1">
        <f>IFERROR(__xludf.DUMMYFUNCTION("""COMPUTED_VALUE"""),1764.25)</f>
        <v>1764.25</v>
      </c>
      <c r="F171" s="1">
        <f>IFERROR(__xludf.DUMMYFUNCTION("""COMPUTED_VALUE"""),2421893.0)</f>
        <v>2421893</v>
      </c>
    </row>
    <row r="172" ht="15.75" customHeight="1">
      <c r="A172" s="10">
        <f>IFERROR(__xludf.DUMMYFUNCTION("""COMPUTED_VALUE"""),43706.66666666667)</f>
        <v>43706.66667</v>
      </c>
      <c r="B172" s="1">
        <f>IFERROR(__xludf.DUMMYFUNCTION("""COMPUTED_VALUE"""),1783.0)</f>
        <v>1783</v>
      </c>
      <c r="C172" s="1">
        <f>IFERROR(__xludf.DUMMYFUNCTION("""COMPUTED_VALUE"""),1798.55)</f>
        <v>1798.55</v>
      </c>
      <c r="D172" s="1">
        <f>IFERROR(__xludf.DUMMYFUNCTION("""COMPUTED_VALUE"""),1777.25)</f>
        <v>1777.25</v>
      </c>
      <c r="E172" s="1">
        <f>IFERROR(__xludf.DUMMYFUNCTION("""COMPUTED_VALUE"""),1786.4)</f>
        <v>1786.4</v>
      </c>
      <c r="F172" s="1">
        <f>IFERROR(__xludf.DUMMYFUNCTION("""COMPUTED_VALUE"""),3018012.0)</f>
        <v>3018012</v>
      </c>
    </row>
    <row r="173" ht="15.75" customHeight="1">
      <c r="A173" s="10">
        <f>IFERROR(__xludf.DUMMYFUNCTION("""COMPUTED_VALUE"""),43707.66666666667)</f>
        <v>43707.66667</v>
      </c>
      <c r="B173" s="1">
        <f>IFERROR(__xludf.DUMMYFUNCTION("""COMPUTED_VALUE"""),1797.49)</f>
        <v>1797.49</v>
      </c>
      <c r="C173" s="1">
        <f>IFERROR(__xludf.DUMMYFUNCTION("""COMPUTED_VALUE"""),1799.74)</f>
        <v>1799.74</v>
      </c>
      <c r="D173" s="1">
        <f>IFERROR(__xludf.DUMMYFUNCTION("""COMPUTED_VALUE"""),1764.57)</f>
        <v>1764.57</v>
      </c>
      <c r="E173" s="1">
        <f>IFERROR(__xludf.DUMMYFUNCTION("""COMPUTED_VALUE"""),1776.29)</f>
        <v>1776.29</v>
      </c>
      <c r="F173" s="1">
        <f>IFERROR(__xludf.DUMMYFUNCTION("""COMPUTED_VALUE"""),3064147.0)</f>
        <v>3064147</v>
      </c>
    </row>
    <row r="174" ht="15.75" customHeight="1">
      <c r="A174" s="10">
        <f>IFERROR(__xludf.DUMMYFUNCTION("""COMPUTED_VALUE"""),43711.66666666667)</f>
        <v>43711.66667</v>
      </c>
      <c r="B174" s="1">
        <f>IFERROR(__xludf.DUMMYFUNCTION("""COMPUTED_VALUE"""),1770.0)</f>
        <v>1770</v>
      </c>
      <c r="C174" s="1">
        <f>IFERROR(__xludf.DUMMYFUNCTION("""COMPUTED_VALUE"""),1800.8)</f>
        <v>1800.8</v>
      </c>
      <c r="D174" s="1">
        <f>IFERROR(__xludf.DUMMYFUNCTION("""COMPUTED_VALUE"""),1768.0)</f>
        <v>1768</v>
      </c>
      <c r="E174" s="1">
        <f>IFERROR(__xludf.DUMMYFUNCTION("""COMPUTED_VALUE"""),1789.84)</f>
        <v>1789.84</v>
      </c>
      <c r="F174" s="1">
        <f>IFERROR(__xludf.DUMMYFUNCTION("""COMPUTED_VALUE"""),3546859.0)</f>
        <v>3546859</v>
      </c>
    </row>
    <row r="175" ht="15.75" customHeight="1">
      <c r="A175" s="10">
        <f>IFERROR(__xludf.DUMMYFUNCTION("""COMPUTED_VALUE"""),43712.66666666667)</f>
        <v>43712.66667</v>
      </c>
      <c r="B175" s="1">
        <f>IFERROR(__xludf.DUMMYFUNCTION("""COMPUTED_VALUE"""),1805.0)</f>
        <v>1805</v>
      </c>
      <c r="C175" s="1">
        <f>IFERROR(__xludf.DUMMYFUNCTION("""COMPUTED_VALUE"""),1807.63)</f>
        <v>1807.63</v>
      </c>
      <c r="D175" s="1">
        <f>IFERROR(__xludf.DUMMYFUNCTION("""COMPUTED_VALUE"""),1796.23)</f>
        <v>1796.23</v>
      </c>
      <c r="E175" s="1">
        <f>IFERROR(__xludf.DUMMYFUNCTION("""COMPUTED_VALUE"""),1800.62)</f>
        <v>1800.62</v>
      </c>
      <c r="F175" s="1">
        <f>IFERROR(__xludf.DUMMYFUNCTION("""COMPUTED_VALUE"""),2326228.0)</f>
        <v>2326228</v>
      </c>
    </row>
    <row r="176" ht="15.75" customHeight="1">
      <c r="A176" s="10">
        <f>IFERROR(__xludf.DUMMYFUNCTION("""COMPUTED_VALUE"""),43713.66666666667)</f>
        <v>43713.66667</v>
      </c>
      <c r="B176" s="1">
        <f>IFERROR(__xludf.DUMMYFUNCTION("""COMPUTED_VALUE"""),1821.95)</f>
        <v>1821.95</v>
      </c>
      <c r="C176" s="1">
        <f>IFERROR(__xludf.DUMMYFUNCTION("""COMPUTED_VALUE"""),1842.0)</f>
        <v>1842</v>
      </c>
      <c r="D176" s="1">
        <f>IFERROR(__xludf.DUMMYFUNCTION("""COMPUTED_VALUE"""),1815.58)</f>
        <v>1815.58</v>
      </c>
      <c r="E176" s="1">
        <f>IFERROR(__xludf.DUMMYFUNCTION("""COMPUTED_VALUE"""),1840.72)</f>
        <v>1840.72</v>
      </c>
      <c r="F176" s="1">
        <f>IFERROR(__xludf.DUMMYFUNCTION("""COMPUTED_VALUE"""),3325189.0)</f>
        <v>3325189</v>
      </c>
    </row>
    <row r="177" ht="15.75" customHeight="1">
      <c r="A177" s="10">
        <f>IFERROR(__xludf.DUMMYFUNCTION("""COMPUTED_VALUE"""),43714.66666666667)</f>
        <v>43714.66667</v>
      </c>
      <c r="B177" s="1">
        <f>IFERROR(__xludf.DUMMYFUNCTION("""COMPUTED_VALUE"""),1838.22)</f>
        <v>1838.22</v>
      </c>
      <c r="C177" s="1">
        <f>IFERROR(__xludf.DUMMYFUNCTION("""COMPUTED_VALUE"""),1840.65)</f>
        <v>1840.65</v>
      </c>
      <c r="D177" s="1">
        <f>IFERROR(__xludf.DUMMYFUNCTION("""COMPUTED_VALUE"""),1826.4)</f>
        <v>1826.4</v>
      </c>
      <c r="E177" s="1">
        <f>IFERROR(__xludf.DUMMYFUNCTION("""COMPUTED_VALUE"""),1833.51)</f>
        <v>1833.51</v>
      </c>
      <c r="F177" s="1">
        <f>IFERROR(__xludf.DUMMYFUNCTION("""COMPUTED_VALUE"""),2496933.0)</f>
        <v>2496933</v>
      </c>
    </row>
    <row r="178" ht="15.75" customHeight="1">
      <c r="A178" s="10">
        <f>IFERROR(__xludf.DUMMYFUNCTION("""COMPUTED_VALUE"""),43717.66666666667)</f>
        <v>43717.66667</v>
      </c>
      <c r="B178" s="1">
        <f>IFERROR(__xludf.DUMMYFUNCTION("""COMPUTED_VALUE"""),1841.0)</f>
        <v>1841</v>
      </c>
      <c r="C178" s="1">
        <f>IFERROR(__xludf.DUMMYFUNCTION("""COMPUTED_VALUE"""),1850.0)</f>
        <v>1850</v>
      </c>
      <c r="D178" s="1">
        <f>IFERROR(__xludf.DUMMYFUNCTION("""COMPUTED_VALUE"""),1824.61)</f>
        <v>1824.61</v>
      </c>
      <c r="E178" s="1">
        <f>IFERROR(__xludf.DUMMYFUNCTION("""COMPUTED_VALUE"""),1831.35)</f>
        <v>1831.35</v>
      </c>
      <c r="F178" s="1">
        <f>IFERROR(__xludf.DUMMYFUNCTION("""COMPUTED_VALUE"""),2999515.0)</f>
        <v>2999515</v>
      </c>
    </row>
    <row r="179" ht="15.75" customHeight="1">
      <c r="A179" s="10">
        <f>IFERROR(__xludf.DUMMYFUNCTION("""COMPUTED_VALUE"""),43718.66666666667)</f>
        <v>43718.66667</v>
      </c>
      <c r="B179" s="1">
        <f>IFERROR(__xludf.DUMMYFUNCTION("""COMPUTED_VALUE"""),1822.75)</f>
        <v>1822.75</v>
      </c>
      <c r="C179" s="1">
        <f>IFERROR(__xludf.DUMMYFUNCTION("""COMPUTED_VALUE"""),1825.81)</f>
        <v>1825.81</v>
      </c>
      <c r="D179" s="1">
        <f>IFERROR(__xludf.DUMMYFUNCTION("""COMPUTED_VALUE"""),1805.34)</f>
        <v>1805.34</v>
      </c>
      <c r="E179" s="1">
        <f>IFERROR(__xludf.DUMMYFUNCTION("""COMPUTED_VALUE"""),1820.55)</f>
        <v>1820.55</v>
      </c>
      <c r="F179" s="1">
        <f>IFERROR(__xludf.DUMMYFUNCTION("""COMPUTED_VALUE"""),2613879.0)</f>
        <v>2613879</v>
      </c>
    </row>
    <row r="180" ht="15.75" customHeight="1">
      <c r="A180" s="10">
        <f>IFERROR(__xludf.DUMMYFUNCTION("""COMPUTED_VALUE"""),43719.66666666667)</f>
        <v>43719.66667</v>
      </c>
      <c r="B180" s="1">
        <f>IFERROR(__xludf.DUMMYFUNCTION("""COMPUTED_VALUE"""),1812.14)</f>
        <v>1812.14</v>
      </c>
      <c r="C180" s="1">
        <f>IFERROR(__xludf.DUMMYFUNCTION("""COMPUTED_VALUE"""),1833.42)</f>
        <v>1833.42</v>
      </c>
      <c r="D180" s="1">
        <f>IFERROR(__xludf.DUMMYFUNCTION("""COMPUTED_VALUE"""),1809.08)</f>
        <v>1809.08</v>
      </c>
      <c r="E180" s="1">
        <f>IFERROR(__xludf.DUMMYFUNCTION("""COMPUTED_VALUE"""),1822.99)</f>
        <v>1822.99</v>
      </c>
      <c r="F180" s="1">
        <f>IFERROR(__xludf.DUMMYFUNCTION("""COMPUTED_VALUE"""),2432767.0)</f>
        <v>2432767</v>
      </c>
    </row>
    <row r="181" ht="15.75" customHeight="1">
      <c r="A181" s="10">
        <f>IFERROR(__xludf.DUMMYFUNCTION("""COMPUTED_VALUE"""),43720.66666666667)</f>
        <v>43720.66667</v>
      </c>
      <c r="B181" s="1">
        <f>IFERROR(__xludf.DUMMYFUNCTION("""COMPUTED_VALUE"""),1837.63)</f>
        <v>1837.63</v>
      </c>
      <c r="C181" s="1">
        <f>IFERROR(__xludf.DUMMYFUNCTION("""COMPUTED_VALUE"""),1853.66)</f>
        <v>1853.66</v>
      </c>
      <c r="D181" s="1">
        <f>IFERROR(__xludf.DUMMYFUNCTION("""COMPUTED_VALUE"""),1834.28)</f>
        <v>1834.28</v>
      </c>
      <c r="E181" s="1">
        <f>IFERROR(__xludf.DUMMYFUNCTION("""COMPUTED_VALUE"""),1843.55)</f>
        <v>1843.55</v>
      </c>
      <c r="F181" s="1">
        <f>IFERROR(__xludf.DUMMYFUNCTION("""COMPUTED_VALUE"""),2823505.0)</f>
        <v>2823505</v>
      </c>
    </row>
    <row r="182" ht="15.75" customHeight="1">
      <c r="A182" s="10">
        <f>IFERROR(__xludf.DUMMYFUNCTION("""COMPUTED_VALUE"""),43721.66666666667)</f>
        <v>43721.66667</v>
      </c>
      <c r="B182" s="1">
        <f>IFERROR(__xludf.DUMMYFUNCTION("""COMPUTED_VALUE"""),1842.01)</f>
        <v>1842.01</v>
      </c>
      <c r="C182" s="1">
        <f>IFERROR(__xludf.DUMMYFUNCTION("""COMPUTED_VALUE"""),1846.12)</f>
        <v>1846.12</v>
      </c>
      <c r="D182" s="1">
        <f>IFERROR(__xludf.DUMMYFUNCTION("""COMPUTED_VALUE"""),1835.17)</f>
        <v>1835.17</v>
      </c>
      <c r="E182" s="1">
        <f>IFERROR(__xludf.DUMMYFUNCTION("""COMPUTED_VALUE"""),1839.34)</f>
        <v>1839.34</v>
      </c>
      <c r="F182" s="1">
        <f>IFERROR(__xludf.DUMMYFUNCTION("""COMPUTED_VALUE"""),1971317.0)</f>
        <v>1971317</v>
      </c>
    </row>
    <row r="183" ht="15.75" customHeight="1">
      <c r="A183" s="10">
        <f>IFERROR(__xludf.DUMMYFUNCTION("""COMPUTED_VALUE"""),43724.66666666667)</f>
        <v>43724.66667</v>
      </c>
      <c r="B183" s="1">
        <f>IFERROR(__xludf.DUMMYFUNCTION("""COMPUTED_VALUE"""),1824.02)</f>
        <v>1824.02</v>
      </c>
      <c r="C183" s="1">
        <f>IFERROR(__xludf.DUMMYFUNCTION("""COMPUTED_VALUE"""),1825.69)</f>
        <v>1825.69</v>
      </c>
      <c r="D183" s="1">
        <f>IFERROR(__xludf.DUMMYFUNCTION("""COMPUTED_VALUE"""),1800.2)</f>
        <v>1800.2</v>
      </c>
      <c r="E183" s="1">
        <f>IFERROR(__xludf.DUMMYFUNCTION("""COMPUTED_VALUE"""),1807.84)</f>
        <v>1807.84</v>
      </c>
      <c r="F183" s="1">
        <f>IFERROR(__xludf.DUMMYFUNCTION("""COMPUTED_VALUE"""),3675473.0)</f>
        <v>3675473</v>
      </c>
    </row>
    <row r="184" ht="15.75" customHeight="1">
      <c r="A184" s="10">
        <f>IFERROR(__xludf.DUMMYFUNCTION("""COMPUTED_VALUE"""),43725.66666666667)</f>
        <v>43725.66667</v>
      </c>
      <c r="B184" s="1">
        <f>IFERROR(__xludf.DUMMYFUNCTION("""COMPUTED_VALUE"""),1807.08)</f>
        <v>1807.08</v>
      </c>
      <c r="C184" s="1">
        <f>IFERROR(__xludf.DUMMYFUNCTION("""COMPUTED_VALUE"""),1823.99)</f>
        <v>1823.99</v>
      </c>
      <c r="D184" s="1">
        <f>IFERROR(__xludf.DUMMYFUNCTION("""COMPUTED_VALUE"""),1804.1)</f>
        <v>1804.1</v>
      </c>
      <c r="E184" s="1">
        <f>IFERROR(__xludf.DUMMYFUNCTION("""COMPUTED_VALUE"""),1822.55)</f>
        <v>1822.55</v>
      </c>
      <c r="F184" s="1">
        <f>IFERROR(__xludf.DUMMYFUNCTION("""COMPUTED_VALUE"""),2033058.0)</f>
        <v>2033058</v>
      </c>
    </row>
    <row r="185" ht="15.75" customHeight="1">
      <c r="A185" s="10">
        <f>IFERROR(__xludf.DUMMYFUNCTION("""COMPUTED_VALUE"""),43726.66666666667)</f>
        <v>43726.66667</v>
      </c>
      <c r="B185" s="1">
        <f>IFERROR(__xludf.DUMMYFUNCTION("""COMPUTED_VALUE"""),1817.04)</f>
        <v>1817.04</v>
      </c>
      <c r="C185" s="1">
        <f>IFERROR(__xludf.DUMMYFUNCTION("""COMPUTED_VALUE"""),1822.06)</f>
        <v>1822.06</v>
      </c>
      <c r="D185" s="1">
        <f>IFERROR(__xludf.DUMMYFUNCTION("""COMPUTED_VALUE"""),1795.5)</f>
        <v>1795.5</v>
      </c>
      <c r="E185" s="1">
        <f>IFERROR(__xludf.DUMMYFUNCTION("""COMPUTED_VALUE"""),1817.46)</f>
        <v>1817.46</v>
      </c>
      <c r="F185" s="1">
        <f>IFERROR(__xludf.DUMMYFUNCTION("""COMPUTED_VALUE"""),2536012.0)</f>
        <v>2536012</v>
      </c>
    </row>
    <row r="186" ht="15.75" customHeight="1">
      <c r="A186" s="10">
        <f>IFERROR(__xludf.DUMMYFUNCTION("""COMPUTED_VALUE"""),43727.66666666667)</f>
        <v>43727.66667</v>
      </c>
      <c r="B186" s="1">
        <f>IFERROR(__xludf.DUMMYFUNCTION("""COMPUTED_VALUE"""),1821.02)</f>
        <v>1821.02</v>
      </c>
      <c r="C186" s="1">
        <f>IFERROR(__xludf.DUMMYFUNCTION("""COMPUTED_VALUE"""),1832.57)</f>
        <v>1832.57</v>
      </c>
      <c r="D186" s="1">
        <f>IFERROR(__xludf.DUMMYFUNCTION("""COMPUTED_VALUE"""),1817.9)</f>
        <v>1817.9</v>
      </c>
      <c r="E186" s="1">
        <f>IFERROR(__xludf.DUMMYFUNCTION("""COMPUTED_VALUE"""),1821.5)</f>
        <v>1821.5</v>
      </c>
      <c r="F186" s="1">
        <f>IFERROR(__xludf.DUMMYFUNCTION("""COMPUTED_VALUE"""),2078335.0)</f>
        <v>2078335</v>
      </c>
    </row>
    <row r="187" ht="15.75" customHeight="1">
      <c r="A187" s="10">
        <f>IFERROR(__xludf.DUMMYFUNCTION("""COMPUTED_VALUE"""),43728.66666666667)</f>
        <v>43728.66667</v>
      </c>
      <c r="B187" s="1">
        <f>IFERROR(__xludf.DUMMYFUNCTION("""COMPUTED_VALUE"""),1821.71)</f>
        <v>1821.71</v>
      </c>
      <c r="C187" s="1">
        <f>IFERROR(__xludf.DUMMYFUNCTION("""COMPUTED_VALUE"""),1830.63)</f>
        <v>1830.63</v>
      </c>
      <c r="D187" s="1">
        <f>IFERROR(__xludf.DUMMYFUNCTION("""COMPUTED_VALUE"""),1780.92)</f>
        <v>1780.92</v>
      </c>
      <c r="E187" s="1">
        <f>IFERROR(__xludf.DUMMYFUNCTION("""COMPUTED_VALUE"""),1794.16)</f>
        <v>1794.16</v>
      </c>
      <c r="F187" s="1">
        <f>IFERROR(__xludf.DUMMYFUNCTION("""COMPUTED_VALUE"""),5555839.0)</f>
        <v>5555839</v>
      </c>
    </row>
    <row r="188" ht="15.75" customHeight="1">
      <c r="A188" s="10">
        <f>IFERROR(__xludf.DUMMYFUNCTION("""COMPUTED_VALUE"""),43731.66666666667)</f>
        <v>43731.66667</v>
      </c>
      <c r="B188" s="1">
        <f>IFERROR(__xludf.DUMMYFUNCTION("""COMPUTED_VALUE"""),1777.0)</f>
        <v>1777</v>
      </c>
      <c r="C188" s="1">
        <f>IFERROR(__xludf.DUMMYFUNCTION("""COMPUTED_VALUE"""),1792.7)</f>
        <v>1792.7</v>
      </c>
      <c r="D188" s="1">
        <f>IFERROR(__xludf.DUMMYFUNCTION("""COMPUTED_VALUE"""),1767.32)</f>
        <v>1767.32</v>
      </c>
      <c r="E188" s="1">
        <f>IFERROR(__xludf.DUMMYFUNCTION("""COMPUTED_VALUE"""),1785.3)</f>
        <v>1785.3</v>
      </c>
      <c r="F188" s="1">
        <f>IFERROR(__xludf.DUMMYFUNCTION("""COMPUTED_VALUE"""),3139142.0)</f>
        <v>3139142</v>
      </c>
    </row>
    <row r="189" ht="15.75" customHeight="1">
      <c r="A189" s="10">
        <f>IFERROR(__xludf.DUMMYFUNCTION("""COMPUTED_VALUE"""),43732.66666666667)</f>
        <v>43732.66667</v>
      </c>
      <c r="B189" s="1">
        <f>IFERROR(__xludf.DUMMYFUNCTION("""COMPUTED_VALUE"""),1790.61)</f>
        <v>1790.61</v>
      </c>
      <c r="C189" s="1">
        <f>IFERROR(__xludf.DUMMYFUNCTION("""COMPUTED_VALUE"""),1795.71)</f>
        <v>1795.71</v>
      </c>
      <c r="D189" s="1">
        <f>IFERROR(__xludf.DUMMYFUNCTION("""COMPUTED_VALUE"""),1735.55)</f>
        <v>1735.55</v>
      </c>
      <c r="E189" s="1">
        <f>IFERROR(__xludf.DUMMYFUNCTION("""COMPUTED_VALUE"""),1741.61)</f>
        <v>1741.61</v>
      </c>
      <c r="F189" s="1">
        <f>IFERROR(__xludf.DUMMYFUNCTION("""COMPUTED_VALUE"""),4637901.0)</f>
        <v>4637901</v>
      </c>
    </row>
    <row r="190" ht="15.75" customHeight="1">
      <c r="A190" s="10">
        <f>IFERROR(__xludf.DUMMYFUNCTION("""COMPUTED_VALUE"""),43733.66666666667)</f>
        <v>43733.66667</v>
      </c>
      <c r="B190" s="1">
        <f>IFERROR(__xludf.DUMMYFUNCTION("""COMPUTED_VALUE"""),1747.36)</f>
        <v>1747.36</v>
      </c>
      <c r="C190" s="1">
        <f>IFERROR(__xludf.DUMMYFUNCTION("""COMPUTED_VALUE"""),1773.0)</f>
        <v>1773</v>
      </c>
      <c r="D190" s="1">
        <f>IFERROR(__xludf.DUMMYFUNCTION("""COMPUTED_VALUE"""),1723.0)</f>
        <v>1723</v>
      </c>
      <c r="E190" s="1">
        <f>IFERROR(__xludf.DUMMYFUNCTION("""COMPUTED_VALUE"""),1768.33)</f>
        <v>1768.33</v>
      </c>
      <c r="F190" s="1">
        <f>IFERROR(__xludf.DUMMYFUNCTION("""COMPUTED_VALUE"""),3531098.0)</f>
        <v>3531098</v>
      </c>
    </row>
    <row r="191" ht="15.75" customHeight="1">
      <c r="A191" s="10">
        <f>IFERROR(__xludf.DUMMYFUNCTION("""COMPUTED_VALUE"""),43734.66666666667)</f>
        <v>43734.66667</v>
      </c>
      <c r="B191" s="1">
        <f>IFERROR(__xludf.DUMMYFUNCTION("""COMPUTED_VALUE"""),1762.79)</f>
        <v>1762.79</v>
      </c>
      <c r="C191" s="1">
        <f>IFERROR(__xludf.DUMMYFUNCTION("""COMPUTED_VALUE"""),1763.37)</f>
        <v>1763.37</v>
      </c>
      <c r="D191" s="1">
        <f>IFERROR(__xludf.DUMMYFUNCTION("""COMPUTED_VALUE"""),1731.5)</f>
        <v>1731.5</v>
      </c>
      <c r="E191" s="1">
        <f>IFERROR(__xludf.DUMMYFUNCTION("""COMPUTED_VALUE"""),1739.84)</f>
        <v>1739.84</v>
      </c>
      <c r="F191" s="1">
        <f>IFERROR(__xludf.DUMMYFUNCTION("""COMPUTED_VALUE"""),3571952.0)</f>
        <v>3571952</v>
      </c>
    </row>
    <row r="192" ht="15.75" customHeight="1">
      <c r="A192" s="10">
        <f>IFERROR(__xludf.DUMMYFUNCTION("""COMPUTED_VALUE"""),43735.66666666667)</f>
        <v>43735.66667</v>
      </c>
      <c r="B192" s="1">
        <f>IFERROR(__xludf.DUMMYFUNCTION("""COMPUTED_VALUE"""),1748.0)</f>
        <v>1748</v>
      </c>
      <c r="C192" s="1">
        <f>IFERROR(__xludf.DUMMYFUNCTION("""COMPUTED_VALUE"""),1749.12)</f>
        <v>1749.12</v>
      </c>
      <c r="D192" s="1">
        <f>IFERROR(__xludf.DUMMYFUNCTION("""COMPUTED_VALUE"""),1713.82)</f>
        <v>1713.82</v>
      </c>
      <c r="E192" s="1">
        <f>IFERROR(__xludf.DUMMYFUNCTION("""COMPUTED_VALUE"""),1725.45)</f>
        <v>1725.45</v>
      </c>
      <c r="F192" s="1">
        <f>IFERROR(__xludf.DUMMYFUNCTION("""COMPUTED_VALUE"""),3948029.0)</f>
        <v>3948029</v>
      </c>
    </row>
    <row r="193" ht="15.75" customHeight="1">
      <c r="A193" s="10">
        <f>IFERROR(__xludf.DUMMYFUNCTION("""COMPUTED_VALUE"""),43738.66666666667)</f>
        <v>43738.66667</v>
      </c>
      <c r="B193" s="1">
        <f>IFERROR(__xludf.DUMMYFUNCTION("""COMPUTED_VALUE"""),1726.99)</f>
        <v>1726.99</v>
      </c>
      <c r="C193" s="1">
        <f>IFERROR(__xludf.DUMMYFUNCTION("""COMPUTED_VALUE"""),1737.46)</f>
        <v>1737.46</v>
      </c>
      <c r="D193" s="1">
        <f>IFERROR(__xludf.DUMMYFUNCTION("""COMPUTED_VALUE"""),1709.22)</f>
        <v>1709.22</v>
      </c>
      <c r="E193" s="1">
        <f>IFERROR(__xludf.DUMMYFUNCTION("""COMPUTED_VALUE"""),1735.91)</f>
        <v>1735.91</v>
      </c>
      <c r="F193" s="1">
        <f>IFERROR(__xludf.DUMMYFUNCTION("""COMPUTED_VALUE"""),2760768.0)</f>
        <v>2760768</v>
      </c>
    </row>
    <row r="194" ht="15.75" customHeight="1">
      <c r="A194" s="10">
        <f>IFERROR(__xludf.DUMMYFUNCTION("""COMPUTED_VALUE"""),43739.66666666667)</f>
        <v>43739.66667</v>
      </c>
      <c r="B194" s="1">
        <f>IFERROR(__xludf.DUMMYFUNCTION("""COMPUTED_VALUE"""),1746.0)</f>
        <v>1746</v>
      </c>
      <c r="C194" s="1">
        <f>IFERROR(__xludf.DUMMYFUNCTION("""COMPUTED_VALUE"""),1755.6)</f>
        <v>1755.6</v>
      </c>
      <c r="D194" s="1">
        <f>IFERROR(__xludf.DUMMYFUNCTION("""COMPUTED_VALUE"""),1728.41)</f>
        <v>1728.41</v>
      </c>
      <c r="E194" s="1">
        <f>IFERROR(__xludf.DUMMYFUNCTION("""COMPUTED_VALUE"""),1735.65)</f>
        <v>1735.65</v>
      </c>
      <c r="F194" s="1">
        <f>IFERROR(__xludf.DUMMYFUNCTION("""COMPUTED_VALUE"""),3170460.0)</f>
        <v>3170460</v>
      </c>
    </row>
    <row r="195" ht="15.75" customHeight="1">
      <c r="A195" s="10">
        <f>IFERROR(__xludf.DUMMYFUNCTION("""COMPUTED_VALUE"""),43740.66666666667)</f>
        <v>43740.66667</v>
      </c>
      <c r="B195" s="1">
        <f>IFERROR(__xludf.DUMMYFUNCTION("""COMPUTED_VALUE"""),1727.74)</f>
        <v>1727.74</v>
      </c>
      <c r="C195" s="1">
        <f>IFERROR(__xludf.DUMMYFUNCTION("""COMPUTED_VALUE"""),1728.89)</f>
        <v>1728.89</v>
      </c>
      <c r="D195" s="1">
        <f>IFERROR(__xludf.DUMMYFUNCTION("""COMPUTED_VALUE"""),1705.0)</f>
        <v>1705</v>
      </c>
      <c r="E195" s="1">
        <f>IFERROR(__xludf.DUMMYFUNCTION("""COMPUTED_VALUE"""),1713.23)</f>
        <v>1713.23</v>
      </c>
      <c r="F195" s="1">
        <f>IFERROR(__xludf.DUMMYFUNCTION("""COMPUTED_VALUE"""),3338476.0)</f>
        <v>3338476</v>
      </c>
    </row>
    <row r="196" ht="15.75" customHeight="1">
      <c r="A196" s="10">
        <f>IFERROR(__xludf.DUMMYFUNCTION("""COMPUTED_VALUE"""),43741.66666666667)</f>
        <v>43741.66667</v>
      </c>
      <c r="B196" s="1">
        <f>IFERROR(__xludf.DUMMYFUNCTION("""COMPUTED_VALUE"""),1713.0)</f>
        <v>1713</v>
      </c>
      <c r="C196" s="1">
        <f>IFERROR(__xludf.DUMMYFUNCTION("""COMPUTED_VALUE"""),1725.0)</f>
        <v>1725</v>
      </c>
      <c r="D196" s="1">
        <f>IFERROR(__xludf.DUMMYFUNCTION("""COMPUTED_VALUE"""),1685.06)</f>
        <v>1685.06</v>
      </c>
      <c r="E196" s="1">
        <f>IFERROR(__xludf.DUMMYFUNCTION("""COMPUTED_VALUE"""),1724.42)</f>
        <v>1724.42</v>
      </c>
      <c r="F196" s="1">
        <f>IFERROR(__xludf.DUMMYFUNCTION("""COMPUTED_VALUE"""),3624371.0)</f>
        <v>3624371</v>
      </c>
    </row>
    <row r="197" ht="15.75" customHeight="1">
      <c r="A197" s="10">
        <f>IFERROR(__xludf.DUMMYFUNCTION("""COMPUTED_VALUE"""),43742.66666666667)</f>
        <v>43742.66667</v>
      </c>
      <c r="B197" s="1">
        <f>IFERROR(__xludf.DUMMYFUNCTION("""COMPUTED_VALUE"""),1726.02)</f>
        <v>1726.02</v>
      </c>
      <c r="C197" s="1">
        <f>IFERROR(__xludf.DUMMYFUNCTION("""COMPUTED_VALUE"""),1740.58)</f>
        <v>1740.58</v>
      </c>
      <c r="D197" s="1">
        <f>IFERROR(__xludf.DUMMYFUNCTION("""COMPUTED_VALUE"""),1719.23)</f>
        <v>1719.23</v>
      </c>
      <c r="E197" s="1">
        <f>IFERROR(__xludf.DUMMYFUNCTION("""COMPUTED_VALUE"""),1739.65)</f>
        <v>1739.65</v>
      </c>
      <c r="F197" s="1">
        <f>IFERROR(__xludf.DUMMYFUNCTION("""COMPUTED_VALUE"""),2489277.0)</f>
        <v>2489277</v>
      </c>
    </row>
    <row r="198" ht="15.75" customHeight="1">
      <c r="A198" s="10">
        <f>IFERROR(__xludf.DUMMYFUNCTION("""COMPUTED_VALUE"""),43745.66666666667)</f>
        <v>43745.66667</v>
      </c>
      <c r="B198" s="1">
        <f>IFERROR(__xludf.DUMMYFUNCTION("""COMPUTED_VALUE"""),1731.63)</f>
        <v>1731.63</v>
      </c>
      <c r="C198" s="1">
        <f>IFERROR(__xludf.DUMMYFUNCTION("""COMPUTED_VALUE"""),1747.83)</f>
        <v>1747.83</v>
      </c>
      <c r="D198" s="1">
        <f>IFERROR(__xludf.DUMMYFUNCTION("""COMPUTED_VALUE"""),1723.7)</f>
        <v>1723.7</v>
      </c>
      <c r="E198" s="1">
        <f>IFERROR(__xludf.DUMMYFUNCTION("""COMPUTED_VALUE"""),1732.66)</f>
        <v>1732.66</v>
      </c>
      <c r="F198" s="1">
        <f>IFERROR(__xludf.DUMMYFUNCTION("""COMPUTED_VALUE"""),2187598.0)</f>
        <v>2187598</v>
      </c>
    </row>
    <row r="199" ht="15.75" customHeight="1">
      <c r="A199" s="10">
        <f>IFERROR(__xludf.DUMMYFUNCTION("""COMPUTED_VALUE"""),43746.66666666667)</f>
        <v>43746.66667</v>
      </c>
      <c r="B199" s="1">
        <f>IFERROR(__xludf.DUMMYFUNCTION("""COMPUTED_VALUE"""),1722.49)</f>
        <v>1722.49</v>
      </c>
      <c r="C199" s="1">
        <f>IFERROR(__xludf.DUMMYFUNCTION("""COMPUTED_VALUE"""),1727.0)</f>
        <v>1727</v>
      </c>
      <c r="D199" s="1">
        <f>IFERROR(__xludf.DUMMYFUNCTION("""COMPUTED_VALUE"""),1705.0)</f>
        <v>1705</v>
      </c>
      <c r="E199" s="1">
        <f>IFERROR(__xludf.DUMMYFUNCTION("""COMPUTED_VALUE"""),1705.51)</f>
        <v>1705.51</v>
      </c>
      <c r="F199" s="1">
        <f>IFERROR(__xludf.DUMMYFUNCTION("""COMPUTED_VALUE"""),2626840.0)</f>
        <v>2626840</v>
      </c>
    </row>
    <row r="200" ht="15.75" customHeight="1">
      <c r="A200" s="10">
        <f>IFERROR(__xludf.DUMMYFUNCTION("""COMPUTED_VALUE"""),43747.66666666667)</f>
        <v>43747.66667</v>
      </c>
      <c r="B200" s="1">
        <f>IFERROR(__xludf.DUMMYFUNCTION("""COMPUTED_VALUE"""),1719.61)</f>
        <v>1719.61</v>
      </c>
      <c r="C200" s="1">
        <f>IFERROR(__xludf.DUMMYFUNCTION("""COMPUTED_VALUE"""),1729.95)</f>
        <v>1729.95</v>
      </c>
      <c r="D200" s="1">
        <f>IFERROR(__xludf.DUMMYFUNCTION("""COMPUTED_VALUE"""),1714.36)</f>
        <v>1714.36</v>
      </c>
      <c r="E200" s="1">
        <f>IFERROR(__xludf.DUMMYFUNCTION("""COMPUTED_VALUE"""),1721.99)</f>
        <v>1721.99</v>
      </c>
      <c r="F200" s="1">
        <f>IFERROR(__xludf.DUMMYFUNCTION("""COMPUTED_VALUE"""),2089335.0)</f>
        <v>2089335</v>
      </c>
    </row>
    <row r="201" ht="15.75" customHeight="1">
      <c r="A201" s="10">
        <f>IFERROR(__xludf.DUMMYFUNCTION("""COMPUTED_VALUE"""),43748.66666666667)</f>
        <v>43748.66667</v>
      </c>
      <c r="B201" s="1">
        <f>IFERROR(__xludf.DUMMYFUNCTION("""COMPUTED_VALUE"""),1725.24)</f>
        <v>1725.24</v>
      </c>
      <c r="C201" s="1">
        <f>IFERROR(__xludf.DUMMYFUNCTION("""COMPUTED_VALUE"""),1738.29)</f>
        <v>1738.29</v>
      </c>
      <c r="D201" s="1">
        <f>IFERROR(__xludf.DUMMYFUNCTION("""COMPUTED_VALUE"""),1713.75)</f>
        <v>1713.75</v>
      </c>
      <c r="E201" s="1">
        <f>IFERROR(__xludf.DUMMYFUNCTION("""COMPUTED_VALUE"""),1720.26)</f>
        <v>1720.26</v>
      </c>
      <c r="F201" s="1">
        <f>IFERROR(__xludf.DUMMYFUNCTION("""COMPUTED_VALUE"""),2721531.0)</f>
        <v>2721531</v>
      </c>
    </row>
    <row r="202" ht="15.75" customHeight="1">
      <c r="A202" s="10">
        <f>IFERROR(__xludf.DUMMYFUNCTION("""COMPUTED_VALUE"""),43749.66666666667)</f>
        <v>43749.66667</v>
      </c>
      <c r="B202" s="1">
        <f>IFERROR(__xludf.DUMMYFUNCTION("""COMPUTED_VALUE"""),1742.92)</f>
        <v>1742.92</v>
      </c>
      <c r="C202" s="1">
        <f>IFERROR(__xludf.DUMMYFUNCTION("""COMPUTED_VALUE"""),1745.45)</f>
        <v>1745.45</v>
      </c>
      <c r="D202" s="1">
        <f>IFERROR(__xludf.DUMMYFUNCTION("""COMPUTED_VALUE"""),1729.86)</f>
        <v>1729.86</v>
      </c>
      <c r="E202" s="1">
        <f>IFERROR(__xludf.DUMMYFUNCTION("""COMPUTED_VALUE"""),1731.92)</f>
        <v>1731.92</v>
      </c>
      <c r="F202" s="1">
        <f>IFERROR(__xludf.DUMMYFUNCTION("""COMPUTED_VALUE"""),3279534.0)</f>
        <v>3279534</v>
      </c>
    </row>
    <row r="203" ht="15.75" customHeight="1">
      <c r="A203" s="10">
        <f>IFERROR(__xludf.DUMMYFUNCTION("""COMPUTED_VALUE"""),43752.66666666667)</f>
        <v>43752.66667</v>
      </c>
      <c r="B203" s="1">
        <f>IFERROR(__xludf.DUMMYFUNCTION("""COMPUTED_VALUE"""),1728.91)</f>
        <v>1728.91</v>
      </c>
      <c r="C203" s="1">
        <f>IFERROR(__xludf.DUMMYFUNCTION("""COMPUTED_VALUE"""),1741.89)</f>
        <v>1741.89</v>
      </c>
      <c r="D203" s="1">
        <f>IFERROR(__xludf.DUMMYFUNCTION("""COMPUTED_VALUE"""),1722.0)</f>
        <v>1722</v>
      </c>
      <c r="E203" s="1">
        <f>IFERROR(__xludf.DUMMYFUNCTION("""COMPUTED_VALUE"""),1736.43)</f>
        <v>1736.43</v>
      </c>
      <c r="F203" s="1">
        <f>IFERROR(__xludf.DUMMYFUNCTION("""COMPUTED_VALUE"""),1928898.0)</f>
        <v>1928898</v>
      </c>
    </row>
    <row r="204" ht="15.75" customHeight="1">
      <c r="A204" s="10">
        <f>IFERROR(__xludf.DUMMYFUNCTION("""COMPUTED_VALUE"""),43753.66666666667)</f>
        <v>43753.66667</v>
      </c>
      <c r="B204" s="1">
        <f>IFERROR(__xludf.DUMMYFUNCTION("""COMPUTED_VALUE"""),1742.14)</f>
        <v>1742.14</v>
      </c>
      <c r="C204" s="1">
        <f>IFERROR(__xludf.DUMMYFUNCTION("""COMPUTED_VALUE"""),1776.45)</f>
        <v>1776.45</v>
      </c>
      <c r="D204" s="1">
        <f>IFERROR(__xludf.DUMMYFUNCTION("""COMPUTED_VALUE"""),1740.62)</f>
        <v>1740.62</v>
      </c>
      <c r="E204" s="1">
        <f>IFERROR(__xludf.DUMMYFUNCTION("""COMPUTED_VALUE"""),1767.38)</f>
        <v>1767.38</v>
      </c>
      <c r="F204" s="1">
        <f>IFERROR(__xludf.DUMMYFUNCTION("""COMPUTED_VALUE"""),3129244.0)</f>
        <v>3129244</v>
      </c>
    </row>
    <row r="205" ht="15.75" customHeight="1">
      <c r="A205" s="10">
        <f>IFERROR(__xludf.DUMMYFUNCTION("""COMPUTED_VALUE"""),43754.66666666667)</f>
        <v>43754.66667</v>
      </c>
      <c r="B205" s="1">
        <f>IFERROR(__xludf.DUMMYFUNCTION("""COMPUTED_VALUE"""),1773.33)</f>
        <v>1773.33</v>
      </c>
      <c r="C205" s="1">
        <f>IFERROR(__xludf.DUMMYFUNCTION("""COMPUTED_VALUE"""),1786.24)</f>
        <v>1786.24</v>
      </c>
      <c r="D205" s="1">
        <f>IFERROR(__xludf.DUMMYFUNCTION("""COMPUTED_VALUE"""),1770.52)</f>
        <v>1770.52</v>
      </c>
      <c r="E205" s="1">
        <f>IFERROR(__xludf.DUMMYFUNCTION("""COMPUTED_VALUE"""),1777.43)</f>
        <v>1777.43</v>
      </c>
      <c r="F205" s="1">
        <f>IFERROR(__xludf.DUMMYFUNCTION("""COMPUTED_VALUE"""),2804068.0)</f>
        <v>2804068</v>
      </c>
    </row>
    <row r="206" ht="15.75" customHeight="1">
      <c r="A206" s="10">
        <f>IFERROR(__xludf.DUMMYFUNCTION("""COMPUTED_VALUE"""),43755.66666666667)</f>
        <v>43755.66667</v>
      </c>
      <c r="B206" s="1">
        <f>IFERROR(__xludf.DUMMYFUNCTION("""COMPUTED_VALUE"""),1796.49)</f>
        <v>1796.49</v>
      </c>
      <c r="C206" s="1">
        <f>IFERROR(__xludf.DUMMYFUNCTION("""COMPUTED_VALUE"""),1798.85)</f>
        <v>1798.85</v>
      </c>
      <c r="D206" s="1">
        <f>IFERROR(__xludf.DUMMYFUNCTION("""COMPUTED_VALUE"""),1782.02)</f>
        <v>1782.02</v>
      </c>
      <c r="E206" s="1">
        <f>IFERROR(__xludf.DUMMYFUNCTION("""COMPUTED_VALUE"""),1787.48)</f>
        <v>1787.48</v>
      </c>
      <c r="F206" s="1">
        <f>IFERROR(__xludf.DUMMYFUNCTION("""COMPUTED_VALUE"""),2713773.0)</f>
        <v>2713773</v>
      </c>
    </row>
    <row r="207" ht="15.75" customHeight="1">
      <c r="A207" s="10">
        <f>IFERROR(__xludf.DUMMYFUNCTION("""COMPUTED_VALUE"""),43756.66666666667)</f>
        <v>43756.66667</v>
      </c>
      <c r="B207" s="1">
        <f>IFERROR(__xludf.DUMMYFUNCTION("""COMPUTED_VALUE"""),1787.8)</f>
        <v>1787.8</v>
      </c>
      <c r="C207" s="1">
        <f>IFERROR(__xludf.DUMMYFUNCTION("""COMPUTED_VALUE"""),1793.98)</f>
        <v>1793.98</v>
      </c>
      <c r="D207" s="1">
        <f>IFERROR(__xludf.DUMMYFUNCTION("""COMPUTED_VALUE"""),1749.2)</f>
        <v>1749.2</v>
      </c>
      <c r="E207" s="1">
        <f>IFERROR(__xludf.DUMMYFUNCTION("""COMPUTED_VALUE"""),1757.51)</f>
        <v>1757.51</v>
      </c>
      <c r="F207" s="1">
        <f>IFERROR(__xludf.DUMMYFUNCTION("""COMPUTED_VALUE"""),3366091.0)</f>
        <v>3366091</v>
      </c>
    </row>
    <row r="208" ht="15.75" customHeight="1">
      <c r="A208" s="10">
        <f>IFERROR(__xludf.DUMMYFUNCTION("""COMPUTED_VALUE"""),43759.66666666667)</f>
        <v>43759.66667</v>
      </c>
      <c r="B208" s="1">
        <f>IFERROR(__xludf.DUMMYFUNCTION("""COMPUTED_VALUE"""),1769.66)</f>
        <v>1769.66</v>
      </c>
      <c r="C208" s="1">
        <f>IFERROR(__xludf.DUMMYFUNCTION("""COMPUTED_VALUE"""),1785.88)</f>
        <v>1785.88</v>
      </c>
      <c r="D208" s="1">
        <f>IFERROR(__xludf.DUMMYFUNCTION("""COMPUTED_VALUE"""),1765.0)</f>
        <v>1765</v>
      </c>
      <c r="E208" s="1">
        <f>IFERROR(__xludf.DUMMYFUNCTION("""COMPUTED_VALUE"""),1785.66)</f>
        <v>1785.66</v>
      </c>
      <c r="F208" s="1">
        <f>IFERROR(__xludf.DUMMYFUNCTION("""COMPUTED_VALUE"""),2224902.0)</f>
        <v>2224902</v>
      </c>
    </row>
    <row r="209" ht="15.75" customHeight="1">
      <c r="A209" s="10">
        <f>IFERROR(__xludf.DUMMYFUNCTION("""COMPUTED_VALUE"""),43760.66666666667)</f>
        <v>43760.66667</v>
      </c>
      <c r="B209" s="1">
        <f>IFERROR(__xludf.DUMMYFUNCTION("""COMPUTED_VALUE"""),1788.15)</f>
        <v>1788.15</v>
      </c>
      <c r="C209" s="1">
        <f>IFERROR(__xludf.DUMMYFUNCTION("""COMPUTED_VALUE"""),1789.78)</f>
        <v>1789.78</v>
      </c>
      <c r="D209" s="1">
        <f>IFERROR(__xludf.DUMMYFUNCTION("""COMPUTED_VALUE"""),1762.0)</f>
        <v>1762</v>
      </c>
      <c r="E209" s="1">
        <f>IFERROR(__xludf.DUMMYFUNCTION("""COMPUTED_VALUE"""),1765.73)</f>
        <v>1765.73</v>
      </c>
      <c r="F209" s="1">
        <f>IFERROR(__xludf.DUMMYFUNCTION("""COMPUTED_VALUE"""),2234425.0)</f>
        <v>2234425</v>
      </c>
    </row>
    <row r="210" ht="15.75" customHeight="1">
      <c r="A210" s="10">
        <f>IFERROR(__xludf.DUMMYFUNCTION("""COMPUTED_VALUE"""),43761.66666666667)</f>
        <v>43761.66667</v>
      </c>
      <c r="B210" s="1">
        <f>IFERROR(__xludf.DUMMYFUNCTION("""COMPUTED_VALUE"""),1761.3)</f>
        <v>1761.3</v>
      </c>
      <c r="C210" s="1">
        <f>IFERROR(__xludf.DUMMYFUNCTION("""COMPUTED_VALUE"""),1770.05)</f>
        <v>1770.05</v>
      </c>
      <c r="D210" s="1">
        <f>IFERROR(__xludf.DUMMYFUNCTION("""COMPUTED_VALUE"""),1742.0)</f>
        <v>1742</v>
      </c>
      <c r="E210" s="1">
        <f>IFERROR(__xludf.DUMMYFUNCTION("""COMPUTED_VALUE"""),1762.17)</f>
        <v>1762.17</v>
      </c>
      <c r="F210" s="1">
        <f>IFERROR(__xludf.DUMMYFUNCTION("""COMPUTED_VALUE"""),2190380.0)</f>
        <v>2190380</v>
      </c>
    </row>
    <row r="211" ht="15.75" customHeight="1">
      <c r="A211" s="10">
        <f>IFERROR(__xludf.DUMMYFUNCTION("""COMPUTED_VALUE"""),43762.66666666667)</f>
        <v>43762.66667</v>
      </c>
      <c r="B211" s="1">
        <f>IFERROR(__xludf.DUMMYFUNCTION("""COMPUTED_VALUE"""),1771.09)</f>
        <v>1771.09</v>
      </c>
      <c r="C211" s="1">
        <f>IFERROR(__xludf.DUMMYFUNCTION("""COMPUTED_VALUE"""),1788.34)</f>
        <v>1788.34</v>
      </c>
      <c r="D211" s="1">
        <f>IFERROR(__xludf.DUMMYFUNCTION("""COMPUTED_VALUE"""),1760.27)</f>
        <v>1760.27</v>
      </c>
      <c r="E211" s="1">
        <f>IFERROR(__xludf.DUMMYFUNCTION("""COMPUTED_VALUE"""),1780.78)</f>
        <v>1780.78</v>
      </c>
      <c r="F211" s="1">
        <f>IFERROR(__xludf.DUMMYFUNCTION("""COMPUTED_VALUE"""),5204350.0)</f>
        <v>5204350</v>
      </c>
    </row>
    <row r="212" ht="15.75" customHeight="1">
      <c r="A212" s="10">
        <f>IFERROR(__xludf.DUMMYFUNCTION("""COMPUTED_VALUE"""),43763.66666666667)</f>
        <v>43763.66667</v>
      </c>
      <c r="B212" s="1">
        <f>IFERROR(__xludf.DUMMYFUNCTION("""COMPUTED_VALUE"""),1697.55)</f>
        <v>1697.55</v>
      </c>
      <c r="C212" s="1">
        <f>IFERROR(__xludf.DUMMYFUNCTION("""COMPUTED_VALUE"""),1764.21)</f>
        <v>1764.21</v>
      </c>
      <c r="D212" s="1">
        <f>IFERROR(__xludf.DUMMYFUNCTION("""COMPUTED_VALUE"""),1695.0)</f>
        <v>1695</v>
      </c>
      <c r="E212" s="1">
        <f>IFERROR(__xludf.DUMMYFUNCTION("""COMPUTED_VALUE"""),1761.33)</f>
        <v>1761.33</v>
      </c>
      <c r="F212" s="1">
        <f>IFERROR(__xludf.DUMMYFUNCTION("""COMPUTED_VALUE"""),9626402.0)</f>
        <v>9626402</v>
      </c>
    </row>
    <row r="213" ht="15.75" customHeight="1">
      <c r="A213" s="10">
        <f>IFERROR(__xludf.DUMMYFUNCTION("""COMPUTED_VALUE"""),43766.66666666667)</f>
        <v>43766.66667</v>
      </c>
      <c r="B213" s="1">
        <f>IFERROR(__xludf.DUMMYFUNCTION("""COMPUTED_VALUE"""),1748.06)</f>
        <v>1748.06</v>
      </c>
      <c r="C213" s="1">
        <f>IFERROR(__xludf.DUMMYFUNCTION("""COMPUTED_VALUE"""),1778.7)</f>
        <v>1778.7</v>
      </c>
      <c r="D213" s="1">
        <f>IFERROR(__xludf.DUMMYFUNCTION("""COMPUTED_VALUE"""),1742.5)</f>
        <v>1742.5</v>
      </c>
      <c r="E213" s="1">
        <f>IFERROR(__xludf.DUMMYFUNCTION("""COMPUTED_VALUE"""),1777.08)</f>
        <v>1777.08</v>
      </c>
      <c r="F213" s="1">
        <f>IFERROR(__xludf.DUMMYFUNCTION("""COMPUTED_VALUE"""),3708851.0)</f>
        <v>3708851</v>
      </c>
    </row>
    <row r="214" ht="15.75" customHeight="1">
      <c r="A214" s="10">
        <f>IFERROR(__xludf.DUMMYFUNCTION("""COMPUTED_VALUE"""),43767.66666666667)</f>
        <v>43767.66667</v>
      </c>
      <c r="B214" s="1">
        <f>IFERROR(__xludf.DUMMYFUNCTION("""COMPUTED_VALUE"""),1774.81)</f>
        <v>1774.81</v>
      </c>
      <c r="C214" s="1">
        <f>IFERROR(__xludf.DUMMYFUNCTION("""COMPUTED_VALUE"""),1777.0)</f>
        <v>1777</v>
      </c>
      <c r="D214" s="1">
        <f>IFERROR(__xludf.DUMMYFUNCTION("""COMPUTED_VALUE"""),1755.81)</f>
        <v>1755.81</v>
      </c>
      <c r="E214" s="1">
        <f>IFERROR(__xludf.DUMMYFUNCTION("""COMPUTED_VALUE"""),1762.71)</f>
        <v>1762.71</v>
      </c>
      <c r="F214" s="1">
        <f>IFERROR(__xludf.DUMMYFUNCTION("""COMPUTED_VALUE"""),2276855.0)</f>
        <v>2276855</v>
      </c>
    </row>
    <row r="215" ht="15.75" customHeight="1">
      <c r="A215" s="10">
        <f>IFERROR(__xludf.DUMMYFUNCTION("""COMPUTED_VALUE"""),43768.66666666667)</f>
        <v>43768.66667</v>
      </c>
      <c r="B215" s="1">
        <f>IFERROR(__xludf.DUMMYFUNCTION("""COMPUTED_VALUE"""),1760.24)</f>
        <v>1760.24</v>
      </c>
      <c r="C215" s="1">
        <f>IFERROR(__xludf.DUMMYFUNCTION("""COMPUTED_VALUE"""),1782.38)</f>
        <v>1782.38</v>
      </c>
      <c r="D215" s="1">
        <f>IFERROR(__xludf.DUMMYFUNCTION("""COMPUTED_VALUE"""),1759.12)</f>
        <v>1759.12</v>
      </c>
      <c r="E215" s="1">
        <f>IFERROR(__xludf.DUMMYFUNCTION("""COMPUTED_VALUE"""),1779.99)</f>
        <v>1779.99</v>
      </c>
      <c r="F215" s="1">
        <f>IFERROR(__xludf.DUMMYFUNCTION("""COMPUTED_VALUE"""),2449405.0)</f>
        <v>2449405</v>
      </c>
    </row>
    <row r="216" ht="15.75" customHeight="1">
      <c r="A216" s="10">
        <f>IFERROR(__xludf.DUMMYFUNCTION("""COMPUTED_VALUE"""),43769.66666666667)</f>
        <v>43769.66667</v>
      </c>
      <c r="B216" s="1">
        <f>IFERROR(__xludf.DUMMYFUNCTION("""COMPUTED_VALUE"""),1775.99)</f>
        <v>1775.99</v>
      </c>
      <c r="C216" s="1">
        <f>IFERROR(__xludf.DUMMYFUNCTION("""COMPUTED_VALUE"""),1792.0)</f>
        <v>1792</v>
      </c>
      <c r="D216" s="1">
        <f>IFERROR(__xludf.DUMMYFUNCTION("""COMPUTED_VALUE"""),1771.48)</f>
        <v>1771.48</v>
      </c>
      <c r="E216" s="1">
        <f>IFERROR(__xludf.DUMMYFUNCTION("""COMPUTED_VALUE"""),1776.66)</f>
        <v>1776.66</v>
      </c>
      <c r="F216" s="1">
        <f>IFERROR(__xludf.DUMMYFUNCTION("""COMPUTED_VALUE"""),2781185.0)</f>
        <v>2781185</v>
      </c>
    </row>
    <row r="217" ht="15.75" customHeight="1">
      <c r="A217" s="10">
        <f>IFERROR(__xludf.DUMMYFUNCTION("""COMPUTED_VALUE"""),43770.66666666667)</f>
        <v>43770.66667</v>
      </c>
      <c r="B217" s="1">
        <f>IFERROR(__xludf.DUMMYFUNCTION("""COMPUTED_VALUE"""),1788.01)</f>
        <v>1788.01</v>
      </c>
      <c r="C217" s="1">
        <f>IFERROR(__xludf.DUMMYFUNCTION("""COMPUTED_VALUE"""),1797.45)</f>
        <v>1797.45</v>
      </c>
      <c r="D217" s="1">
        <f>IFERROR(__xludf.DUMMYFUNCTION("""COMPUTED_VALUE"""),1785.21)</f>
        <v>1785.21</v>
      </c>
      <c r="E217" s="1">
        <f>IFERROR(__xludf.DUMMYFUNCTION("""COMPUTED_VALUE"""),1791.44)</f>
        <v>1791.44</v>
      </c>
      <c r="F217" s="1">
        <f>IFERROR(__xludf.DUMMYFUNCTION("""COMPUTED_VALUE"""),2790354.0)</f>
        <v>2790354</v>
      </c>
    </row>
    <row r="218" ht="15.75" customHeight="1">
      <c r="A218" s="10">
        <f>IFERROR(__xludf.DUMMYFUNCTION("""COMPUTED_VALUE"""),43773.66666666667)</f>
        <v>43773.66667</v>
      </c>
      <c r="B218" s="1">
        <f>IFERROR(__xludf.DUMMYFUNCTION("""COMPUTED_VALUE"""),1801.01)</f>
        <v>1801.01</v>
      </c>
      <c r="C218" s="1">
        <f>IFERROR(__xludf.DUMMYFUNCTION("""COMPUTED_VALUE"""),1815.06)</f>
        <v>1815.06</v>
      </c>
      <c r="D218" s="1">
        <f>IFERROR(__xludf.DUMMYFUNCTION("""COMPUTED_VALUE"""),1801.01)</f>
        <v>1801.01</v>
      </c>
      <c r="E218" s="1">
        <f>IFERROR(__xludf.DUMMYFUNCTION("""COMPUTED_VALUE"""),1804.66)</f>
        <v>1804.66</v>
      </c>
      <c r="F218" s="1">
        <f>IFERROR(__xludf.DUMMYFUNCTION("""COMPUTED_VALUE"""),2771922.0)</f>
        <v>2771922</v>
      </c>
    </row>
    <row r="219" ht="15.75" customHeight="1">
      <c r="A219" s="10">
        <f>IFERROR(__xludf.DUMMYFUNCTION("""COMPUTED_VALUE"""),43774.66666666667)</f>
        <v>43774.66667</v>
      </c>
      <c r="B219" s="1">
        <f>IFERROR(__xludf.DUMMYFUNCTION("""COMPUTED_VALUE"""),1809.16)</f>
        <v>1809.16</v>
      </c>
      <c r="C219" s="1">
        <f>IFERROR(__xludf.DUMMYFUNCTION("""COMPUTED_VALUE"""),1810.25)</f>
        <v>1810.25</v>
      </c>
      <c r="D219" s="1">
        <f>IFERROR(__xludf.DUMMYFUNCTION("""COMPUTED_VALUE"""),1794.0)</f>
        <v>1794</v>
      </c>
      <c r="E219" s="1">
        <f>IFERROR(__xludf.DUMMYFUNCTION("""COMPUTED_VALUE"""),1801.71)</f>
        <v>1801.71</v>
      </c>
      <c r="F219" s="1">
        <f>IFERROR(__xludf.DUMMYFUNCTION("""COMPUTED_VALUE"""),1885543.0)</f>
        <v>1885543</v>
      </c>
    </row>
    <row r="220" ht="15.75" customHeight="1">
      <c r="A220" s="10">
        <f>IFERROR(__xludf.DUMMYFUNCTION("""COMPUTED_VALUE"""),43775.66666666667)</f>
        <v>43775.66667</v>
      </c>
      <c r="B220" s="1">
        <f>IFERROR(__xludf.DUMMYFUNCTION("""COMPUTED_VALUE"""),1801.0)</f>
        <v>1801</v>
      </c>
      <c r="C220" s="1">
        <f>IFERROR(__xludf.DUMMYFUNCTION("""COMPUTED_VALUE"""),1802.5)</f>
        <v>1802.5</v>
      </c>
      <c r="D220" s="1">
        <f>IFERROR(__xludf.DUMMYFUNCTION("""COMPUTED_VALUE"""),1788.58)</f>
        <v>1788.58</v>
      </c>
      <c r="E220" s="1">
        <f>IFERROR(__xludf.DUMMYFUNCTION("""COMPUTED_VALUE"""),1795.77)</f>
        <v>1795.77</v>
      </c>
      <c r="F220" s="1">
        <f>IFERROR(__xludf.DUMMYFUNCTION("""COMPUTED_VALUE"""),2029783.0)</f>
        <v>2029783</v>
      </c>
    </row>
    <row r="221" ht="15.75" customHeight="1">
      <c r="A221" s="10">
        <f>IFERROR(__xludf.DUMMYFUNCTION("""COMPUTED_VALUE"""),43776.66666666667)</f>
        <v>43776.66667</v>
      </c>
      <c r="B221" s="1">
        <f>IFERROR(__xludf.DUMMYFUNCTION("""COMPUTED_VALUE"""),1803.76)</f>
        <v>1803.76</v>
      </c>
      <c r="C221" s="1">
        <f>IFERROR(__xludf.DUMMYFUNCTION("""COMPUTED_VALUE"""),1805.9)</f>
        <v>1805.9</v>
      </c>
      <c r="D221" s="1">
        <f>IFERROR(__xludf.DUMMYFUNCTION("""COMPUTED_VALUE"""),1783.48)</f>
        <v>1783.48</v>
      </c>
      <c r="E221" s="1">
        <f>IFERROR(__xludf.DUMMYFUNCTION("""COMPUTED_VALUE"""),1788.2)</f>
        <v>1788.2</v>
      </c>
      <c r="F221" s="1">
        <f>IFERROR(__xludf.DUMMYFUNCTION("""COMPUTED_VALUE"""),2651086.0)</f>
        <v>2651086</v>
      </c>
    </row>
    <row r="222" ht="15.75" customHeight="1">
      <c r="A222" s="10">
        <f>IFERROR(__xludf.DUMMYFUNCTION("""COMPUTED_VALUE"""),43777.66666666667)</f>
        <v>43777.66667</v>
      </c>
      <c r="B222" s="1">
        <f>IFERROR(__xludf.DUMMYFUNCTION("""COMPUTED_VALUE"""),1787.89)</f>
        <v>1787.89</v>
      </c>
      <c r="C222" s="1">
        <f>IFERROR(__xludf.DUMMYFUNCTION("""COMPUTED_VALUE"""),1789.88)</f>
        <v>1789.88</v>
      </c>
      <c r="D222" s="1">
        <f>IFERROR(__xludf.DUMMYFUNCTION("""COMPUTED_VALUE"""),1774.04)</f>
        <v>1774.04</v>
      </c>
      <c r="E222" s="1">
        <f>IFERROR(__xludf.DUMMYFUNCTION("""COMPUTED_VALUE"""),1785.88)</f>
        <v>1785.88</v>
      </c>
      <c r="F222" s="1">
        <f>IFERROR(__xludf.DUMMYFUNCTION("""COMPUTED_VALUE"""),2126198.0)</f>
        <v>2126198</v>
      </c>
    </row>
    <row r="223" ht="15.75" customHeight="1">
      <c r="A223" s="10">
        <f>IFERROR(__xludf.DUMMYFUNCTION("""COMPUTED_VALUE"""),43780.66666666667)</f>
        <v>43780.66667</v>
      </c>
      <c r="B223" s="1">
        <f>IFERROR(__xludf.DUMMYFUNCTION("""COMPUTED_VALUE"""),1778.0)</f>
        <v>1778</v>
      </c>
      <c r="C223" s="1">
        <f>IFERROR(__xludf.DUMMYFUNCTION("""COMPUTED_VALUE"""),1780.0)</f>
        <v>1780</v>
      </c>
      <c r="D223" s="1">
        <f>IFERROR(__xludf.DUMMYFUNCTION("""COMPUTED_VALUE"""),1767.13)</f>
        <v>1767.13</v>
      </c>
      <c r="E223" s="1">
        <f>IFERROR(__xludf.DUMMYFUNCTION("""COMPUTED_VALUE"""),1771.65)</f>
        <v>1771.65</v>
      </c>
      <c r="F223" s="1">
        <f>IFERROR(__xludf.DUMMYFUNCTION("""COMPUTED_VALUE"""),1947810.0)</f>
        <v>1947810</v>
      </c>
    </row>
    <row r="224" ht="15.75" customHeight="1">
      <c r="A224" s="10">
        <f>IFERROR(__xludf.DUMMYFUNCTION("""COMPUTED_VALUE"""),43781.66666666667)</f>
        <v>43781.66667</v>
      </c>
      <c r="B224" s="1">
        <f>IFERROR(__xludf.DUMMYFUNCTION("""COMPUTED_VALUE"""),1774.66)</f>
        <v>1774.66</v>
      </c>
      <c r="C224" s="1">
        <f>IFERROR(__xludf.DUMMYFUNCTION("""COMPUTED_VALUE"""),1786.22)</f>
        <v>1786.22</v>
      </c>
      <c r="D224" s="1">
        <f>IFERROR(__xludf.DUMMYFUNCTION("""COMPUTED_VALUE"""),1771.91)</f>
        <v>1771.91</v>
      </c>
      <c r="E224" s="1">
        <f>IFERROR(__xludf.DUMMYFUNCTION("""COMPUTED_VALUE"""),1778.0)</f>
        <v>1778</v>
      </c>
      <c r="F224" s="1">
        <f>IFERROR(__xludf.DUMMYFUNCTION("""COMPUTED_VALUE"""),2038925.0)</f>
        <v>2038925</v>
      </c>
    </row>
    <row r="225" ht="15.75" customHeight="1">
      <c r="A225" s="10">
        <f>IFERROR(__xludf.DUMMYFUNCTION("""COMPUTED_VALUE"""),43782.66666666667)</f>
        <v>43782.66667</v>
      </c>
      <c r="B225" s="1">
        <f>IFERROR(__xludf.DUMMYFUNCTION("""COMPUTED_VALUE"""),1773.39)</f>
        <v>1773.39</v>
      </c>
      <c r="C225" s="1">
        <f>IFERROR(__xludf.DUMMYFUNCTION("""COMPUTED_VALUE"""),1775.0)</f>
        <v>1775</v>
      </c>
      <c r="D225" s="1">
        <f>IFERROR(__xludf.DUMMYFUNCTION("""COMPUTED_VALUE"""),1747.32)</f>
        <v>1747.32</v>
      </c>
      <c r="E225" s="1">
        <f>IFERROR(__xludf.DUMMYFUNCTION("""COMPUTED_VALUE"""),1753.11)</f>
        <v>1753.11</v>
      </c>
      <c r="F225" s="1">
        <f>IFERROR(__xludf.DUMMYFUNCTION("""COMPUTED_VALUE"""),2926892.0)</f>
        <v>2926892</v>
      </c>
    </row>
    <row r="226" ht="15.75" customHeight="1">
      <c r="A226" s="10">
        <f>IFERROR(__xludf.DUMMYFUNCTION("""COMPUTED_VALUE"""),43783.66666666667)</f>
        <v>43783.66667</v>
      </c>
      <c r="B226" s="1">
        <f>IFERROR(__xludf.DUMMYFUNCTION("""COMPUTED_VALUE"""),1751.43)</f>
        <v>1751.43</v>
      </c>
      <c r="C226" s="1">
        <f>IFERROR(__xludf.DUMMYFUNCTION("""COMPUTED_VALUE"""),1766.59)</f>
        <v>1766.59</v>
      </c>
      <c r="D226" s="1">
        <f>IFERROR(__xludf.DUMMYFUNCTION("""COMPUTED_VALUE"""),1749.56)</f>
        <v>1749.56</v>
      </c>
      <c r="E226" s="1">
        <f>IFERROR(__xludf.DUMMYFUNCTION("""COMPUTED_VALUE"""),1754.6)</f>
        <v>1754.6</v>
      </c>
      <c r="F226" s="1">
        <f>IFERROR(__xludf.DUMMYFUNCTION("""COMPUTED_VALUE"""),2269417.0)</f>
        <v>2269417</v>
      </c>
    </row>
    <row r="227" ht="15.75" customHeight="1">
      <c r="A227" s="10">
        <f>IFERROR(__xludf.DUMMYFUNCTION("""COMPUTED_VALUE"""),43784.66666666667)</f>
        <v>43784.66667</v>
      </c>
      <c r="B227" s="1">
        <f>IFERROR(__xludf.DUMMYFUNCTION("""COMPUTED_VALUE"""),1760.05)</f>
        <v>1760.05</v>
      </c>
      <c r="C227" s="1">
        <f>IFERROR(__xludf.DUMMYFUNCTION("""COMPUTED_VALUE"""),1761.68)</f>
        <v>1761.68</v>
      </c>
      <c r="D227" s="1">
        <f>IFERROR(__xludf.DUMMYFUNCTION("""COMPUTED_VALUE"""),1732.86)</f>
        <v>1732.86</v>
      </c>
      <c r="E227" s="1">
        <f>IFERROR(__xludf.DUMMYFUNCTION("""COMPUTED_VALUE"""),1739.49)</f>
        <v>1739.49</v>
      </c>
      <c r="F227" s="1">
        <f>IFERROR(__xludf.DUMMYFUNCTION("""COMPUTED_VALUE"""),3931141.0)</f>
        <v>3931141</v>
      </c>
    </row>
    <row r="228" ht="15.75" customHeight="1">
      <c r="A228" s="10">
        <f>IFERROR(__xludf.DUMMYFUNCTION("""COMPUTED_VALUE"""),43787.66666666667)</f>
        <v>43787.66667</v>
      </c>
      <c r="B228" s="1">
        <f>IFERROR(__xludf.DUMMYFUNCTION("""COMPUTED_VALUE"""),1738.3)</f>
        <v>1738.3</v>
      </c>
      <c r="C228" s="1">
        <f>IFERROR(__xludf.DUMMYFUNCTION("""COMPUTED_VALUE"""),1753.7)</f>
        <v>1753.7</v>
      </c>
      <c r="D228" s="1">
        <f>IFERROR(__xludf.DUMMYFUNCTION("""COMPUTED_VALUE"""),1722.71)</f>
        <v>1722.71</v>
      </c>
      <c r="E228" s="1">
        <f>IFERROR(__xludf.DUMMYFUNCTION("""COMPUTED_VALUE"""),1752.53)</f>
        <v>1752.53</v>
      </c>
      <c r="F228" s="1">
        <f>IFERROR(__xludf.DUMMYFUNCTION("""COMPUTED_VALUE"""),2841907.0)</f>
        <v>2841907</v>
      </c>
    </row>
    <row r="229" ht="15.75" customHeight="1">
      <c r="A229" s="10">
        <f>IFERROR(__xludf.DUMMYFUNCTION("""COMPUTED_VALUE"""),43788.66666666667)</f>
        <v>43788.66667</v>
      </c>
      <c r="B229" s="1">
        <f>IFERROR(__xludf.DUMMYFUNCTION("""COMPUTED_VALUE"""),1756.99)</f>
        <v>1756.99</v>
      </c>
      <c r="C229" s="1">
        <f>IFERROR(__xludf.DUMMYFUNCTION("""COMPUTED_VALUE"""),1760.68)</f>
        <v>1760.68</v>
      </c>
      <c r="D229" s="1">
        <f>IFERROR(__xludf.DUMMYFUNCTION("""COMPUTED_VALUE"""),1743.03)</f>
        <v>1743.03</v>
      </c>
      <c r="E229" s="1">
        <f>IFERROR(__xludf.DUMMYFUNCTION("""COMPUTED_VALUE"""),1752.79)</f>
        <v>1752.79</v>
      </c>
      <c r="F229" s="1">
        <f>IFERROR(__xludf.DUMMYFUNCTION("""COMPUTED_VALUE"""),2274535.0)</f>
        <v>2274535</v>
      </c>
    </row>
    <row r="230" ht="15.75" customHeight="1">
      <c r="A230" s="10">
        <f>IFERROR(__xludf.DUMMYFUNCTION("""COMPUTED_VALUE"""),43789.66666666667)</f>
        <v>43789.66667</v>
      </c>
      <c r="B230" s="1">
        <f>IFERROR(__xludf.DUMMYFUNCTION("""COMPUTED_VALUE"""),1749.14)</f>
        <v>1749.14</v>
      </c>
      <c r="C230" s="1">
        <f>IFERROR(__xludf.DUMMYFUNCTION("""COMPUTED_VALUE"""),1762.52)</f>
        <v>1762.52</v>
      </c>
      <c r="D230" s="1">
        <f>IFERROR(__xludf.DUMMYFUNCTION("""COMPUTED_VALUE"""),1734.12)</f>
        <v>1734.12</v>
      </c>
      <c r="E230" s="1">
        <f>IFERROR(__xludf.DUMMYFUNCTION("""COMPUTED_VALUE"""),1745.53)</f>
        <v>1745.53</v>
      </c>
      <c r="F230" s="1">
        <f>IFERROR(__xludf.DUMMYFUNCTION("""COMPUTED_VALUE"""),2793759.0)</f>
        <v>2793759</v>
      </c>
    </row>
    <row r="231" ht="15.75" customHeight="1">
      <c r="A231" s="10">
        <f>IFERROR(__xludf.DUMMYFUNCTION("""COMPUTED_VALUE"""),43790.66666666667)</f>
        <v>43790.66667</v>
      </c>
      <c r="B231" s="1">
        <f>IFERROR(__xludf.DUMMYFUNCTION("""COMPUTED_VALUE"""),1743.0)</f>
        <v>1743</v>
      </c>
      <c r="C231" s="1">
        <f>IFERROR(__xludf.DUMMYFUNCTION("""COMPUTED_VALUE"""),1746.87)</f>
        <v>1746.87</v>
      </c>
      <c r="D231" s="1">
        <f>IFERROR(__xludf.DUMMYFUNCTION("""COMPUTED_VALUE"""),1730.36)</f>
        <v>1730.36</v>
      </c>
      <c r="E231" s="1">
        <f>IFERROR(__xludf.DUMMYFUNCTION("""COMPUTED_VALUE"""),1734.71)</f>
        <v>1734.71</v>
      </c>
      <c r="F231" s="1">
        <f>IFERROR(__xludf.DUMMYFUNCTION("""COMPUTED_VALUE"""),2662938.0)</f>
        <v>2662938</v>
      </c>
    </row>
    <row r="232" ht="15.75" customHeight="1">
      <c r="A232" s="10">
        <f>IFERROR(__xludf.DUMMYFUNCTION("""COMPUTED_VALUE"""),43791.66666666667)</f>
        <v>43791.66667</v>
      </c>
      <c r="B232" s="1">
        <f>IFERROR(__xludf.DUMMYFUNCTION("""COMPUTED_VALUE"""),1739.02)</f>
        <v>1739.02</v>
      </c>
      <c r="C232" s="1">
        <f>IFERROR(__xludf.DUMMYFUNCTION("""COMPUTED_VALUE"""),1746.43)</f>
        <v>1746.43</v>
      </c>
      <c r="D232" s="1">
        <f>IFERROR(__xludf.DUMMYFUNCTION("""COMPUTED_VALUE"""),1731.0)</f>
        <v>1731</v>
      </c>
      <c r="E232" s="1">
        <f>IFERROR(__xludf.DUMMYFUNCTION("""COMPUTED_VALUE"""),1745.72)</f>
        <v>1745.72</v>
      </c>
      <c r="F232" s="1">
        <f>IFERROR(__xludf.DUMMYFUNCTION("""COMPUTED_VALUE"""),2479081.0)</f>
        <v>2479081</v>
      </c>
    </row>
    <row r="233" ht="15.75" customHeight="1">
      <c r="A233" s="10">
        <f>IFERROR(__xludf.DUMMYFUNCTION("""COMPUTED_VALUE"""),43794.66666666667)</f>
        <v>43794.66667</v>
      </c>
      <c r="B233" s="1">
        <f>IFERROR(__xludf.DUMMYFUNCTION("""COMPUTED_VALUE"""),1753.25)</f>
        <v>1753.25</v>
      </c>
      <c r="C233" s="1">
        <f>IFERROR(__xludf.DUMMYFUNCTION("""COMPUTED_VALUE"""),1777.42)</f>
        <v>1777.42</v>
      </c>
      <c r="D233" s="1">
        <f>IFERROR(__xludf.DUMMYFUNCTION("""COMPUTED_VALUE"""),1753.24)</f>
        <v>1753.24</v>
      </c>
      <c r="E233" s="1">
        <f>IFERROR(__xludf.DUMMYFUNCTION("""COMPUTED_VALUE"""),1773.84)</f>
        <v>1773.84</v>
      </c>
      <c r="F233" s="1">
        <f>IFERROR(__xludf.DUMMYFUNCTION("""COMPUTED_VALUE"""),3489467.0)</f>
        <v>3489467</v>
      </c>
    </row>
    <row r="234" ht="15.75" customHeight="1">
      <c r="A234" s="10">
        <f>IFERROR(__xludf.DUMMYFUNCTION("""COMPUTED_VALUE"""),43795.66666666667)</f>
        <v>43795.66667</v>
      </c>
      <c r="B234" s="1">
        <f>IFERROR(__xludf.DUMMYFUNCTION("""COMPUTED_VALUE"""),1779.92)</f>
        <v>1779.92</v>
      </c>
      <c r="C234" s="1">
        <f>IFERROR(__xludf.DUMMYFUNCTION("""COMPUTED_VALUE"""),1797.03)</f>
        <v>1797.03</v>
      </c>
      <c r="D234" s="1">
        <f>IFERROR(__xludf.DUMMYFUNCTION("""COMPUTED_VALUE"""),1778.35)</f>
        <v>1778.35</v>
      </c>
      <c r="E234" s="1">
        <f>IFERROR(__xludf.DUMMYFUNCTION("""COMPUTED_VALUE"""),1796.94)</f>
        <v>1796.94</v>
      </c>
      <c r="F234" s="1">
        <f>IFERROR(__xludf.DUMMYFUNCTION("""COMPUTED_VALUE"""),3190428.0)</f>
        <v>3190428</v>
      </c>
    </row>
    <row r="235" ht="15.75" customHeight="1">
      <c r="A235" s="10">
        <f>IFERROR(__xludf.DUMMYFUNCTION("""COMPUTED_VALUE"""),43796.66666666667)</f>
        <v>43796.66667</v>
      </c>
      <c r="B235" s="1">
        <f>IFERROR(__xludf.DUMMYFUNCTION("""COMPUTED_VALUE"""),1801.0)</f>
        <v>1801</v>
      </c>
      <c r="C235" s="1">
        <f>IFERROR(__xludf.DUMMYFUNCTION("""COMPUTED_VALUE"""),1824.5)</f>
        <v>1824.5</v>
      </c>
      <c r="D235" s="1">
        <f>IFERROR(__xludf.DUMMYFUNCTION("""COMPUTED_VALUE"""),1797.31)</f>
        <v>1797.31</v>
      </c>
      <c r="E235" s="1">
        <f>IFERROR(__xludf.DUMMYFUNCTION("""COMPUTED_VALUE"""),1818.51)</f>
        <v>1818.51</v>
      </c>
      <c r="F235" s="1">
        <f>IFERROR(__xludf.DUMMYFUNCTION("""COMPUTED_VALUE"""),3035846.0)</f>
        <v>3035846</v>
      </c>
    </row>
    <row r="236" ht="15.75" customHeight="1">
      <c r="A236" s="10">
        <f>IFERROR(__xludf.DUMMYFUNCTION("""COMPUTED_VALUE"""),43798.54166666667)</f>
        <v>43798.54167</v>
      </c>
      <c r="B236" s="1">
        <f>IFERROR(__xludf.DUMMYFUNCTION("""COMPUTED_VALUE"""),1817.78)</f>
        <v>1817.78</v>
      </c>
      <c r="C236" s="1">
        <f>IFERROR(__xludf.DUMMYFUNCTION("""COMPUTED_VALUE"""),1824.69)</f>
        <v>1824.69</v>
      </c>
      <c r="D236" s="1">
        <f>IFERROR(__xludf.DUMMYFUNCTION("""COMPUTED_VALUE"""),1800.79)</f>
        <v>1800.79</v>
      </c>
      <c r="E236" s="1">
        <f>IFERROR(__xludf.DUMMYFUNCTION("""COMPUTED_VALUE"""),1800.8)</f>
        <v>1800.8</v>
      </c>
      <c r="F236" s="1">
        <f>IFERROR(__xludf.DUMMYFUNCTION("""COMPUTED_VALUE"""),1923440.0)</f>
        <v>1923440</v>
      </c>
    </row>
    <row r="237" ht="15.75" customHeight="1">
      <c r="A237" s="10">
        <f>IFERROR(__xludf.DUMMYFUNCTION("""COMPUTED_VALUE"""),43801.66666666667)</f>
        <v>43801.66667</v>
      </c>
      <c r="B237" s="1">
        <f>IFERROR(__xludf.DUMMYFUNCTION("""COMPUTED_VALUE"""),1804.4)</f>
        <v>1804.4</v>
      </c>
      <c r="C237" s="1">
        <f>IFERROR(__xludf.DUMMYFUNCTION("""COMPUTED_VALUE"""),1805.55)</f>
        <v>1805.55</v>
      </c>
      <c r="D237" s="1">
        <f>IFERROR(__xludf.DUMMYFUNCTION("""COMPUTED_VALUE"""),1762.68)</f>
        <v>1762.68</v>
      </c>
      <c r="E237" s="1">
        <f>IFERROR(__xludf.DUMMYFUNCTION("""COMPUTED_VALUE"""),1781.6)</f>
        <v>1781.6</v>
      </c>
      <c r="F237" s="1">
        <f>IFERROR(__xludf.DUMMYFUNCTION("""COMPUTED_VALUE"""),3931750.0)</f>
        <v>3931750</v>
      </c>
    </row>
    <row r="238" ht="15.75" customHeight="1">
      <c r="A238" s="10">
        <f>IFERROR(__xludf.DUMMYFUNCTION("""COMPUTED_VALUE"""),43802.66666666667)</f>
        <v>43802.66667</v>
      </c>
      <c r="B238" s="1">
        <f>IFERROR(__xludf.DUMMYFUNCTION("""COMPUTED_VALUE"""),1760.0)</f>
        <v>1760</v>
      </c>
      <c r="C238" s="1">
        <f>IFERROR(__xludf.DUMMYFUNCTION("""COMPUTED_VALUE"""),1772.87)</f>
        <v>1772.87</v>
      </c>
      <c r="D238" s="1">
        <f>IFERROR(__xludf.DUMMYFUNCTION("""COMPUTED_VALUE"""),1747.23)</f>
        <v>1747.23</v>
      </c>
      <c r="E238" s="1">
        <f>IFERROR(__xludf.DUMMYFUNCTION("""COMPUTED_VALUE"""),1769.96)</f>
        <v>1769.96</v>
      </c>
      <c r="F238" s="1">
        <f>IFERROR(__xludf.DUMMYFUNCTION("""COMPUTED_VALUE"""),3529582.0)</f>
        <v>3529582</v>
      </c>
    </row>
    <row r="239" ht="15.75" customHeight="1">
      <c r="A239" s="10">
        <f>IFERROR(__xludf.DUMMYFUNCTION("""COMPUTED_VALUE"""),43803.66666666667)</f>
        <v>43803.66667</v>
      </c>
      <c r="B239" s="1">
        <f>IFERROR(__xludf.DUMMYFUNCTION("""COMPUTED_VALUE"""),1774.01)</f>
        <v>1774.01</v>
      </c>
      <c r="C239" s="1">
        <f>IFERROR(__xludf.DUMMYFUNCTION("""COMPUTED_VALUE"""),1789.09)</f>
        <v>1789.09</v>
      </c>
      <c r="D239" s="1">
        <f>IFERROR(__xludf.DUMMYFUNCTION("""COMPUTED_VALUE"""),1760.22)</f>
        <v>1760.22</v>
      </c>
      <c r="E239" s="1">
        <f>IFERROR(__xludf.DUMMYFUNCTION("""COMPUTED_VALUE"""),1760.69)</f>
        <v>1760.69</v>
      </c>
      <c r="F239" s="1">
        <f>IFERROR(__xludf.DUMMYFUNCTION("""COMPUTED_VALUE"""),2680700.0)</f>
        <v>2680700</v>
      </c>
    </row>
    <row r="240" ht="15.75" customHeight="1">
      <c r="A240" s="10">
        <f>IFERROR(__xludf.DUMMYFUNCTION("""COMPUTED_VALUE"""),43804.66666666667)</f>
        <v>43804.66667</v>
      </c>
      <c r="B240" s="1">
        <f>IFERROR(__xludf.DUMMYFUNCTION("""COMPUTED_VALUE"""),1763.5)</f>
        <v>1763.5</v>
      </c>
      <c r="C240" s="1">
        <f>IFERROR(__xludf.DUMMYFUNCTION("""COMPUTED_VALUE"""),1763.5)</f>
        <v>1763.5</v>
      </c>
      <c r="D240" s="1">
        <f>IFERROR(__xludf.DUMMYFUNCTION("""COMPUTED_VALUE"""),1740.0)</f>
        <v>1740</v>
      </c>
      <c r="E240" s="1">
        <f>IFERROR(__xludf.DUMMYFUNCTION("""COMPUTED_VALUE"""),1740.48)</f>
        <v>1740.48</v>
      </c>
      <c r="F240" s="1">
        <f>IFERROR(__xludf.DUMMYFUNCTION("""COMPUTED_VALUE"""),2827852.0)</f>
        <v>2827852</v>
      </c>
    </row>
    <row r="241" ht="15.75" customHeight="1">
      <c r="A241" s="10">
        <f>IFERROR(__xludf.DUMMYFUNCTION("""COMPUTED_VALUE"""),43805.66666666667)</f>
        <v>43805.66667</v>
      </c>
      <c r="B241" s="1">
        <f>IFERROR(__xludf.DUMMYFUNCTION("""COMPUTED_VALUE"""),1751.2)</f>
        <v>1751.2</v>
      </c>
      <c r="C241" s="1">
        <f>IFERROR(__xludf.DUMMYFUNCTION("""COMPUTED_VALUE"""),1754.4)</f>
        <v>1754.4</v>
      </c>
      <c r="D241" s="1">
        <f>IFERROR(__xludf.DUMMYFUNCTION("""COMPUTED_VALUE"""),1740.13)</f>
        <v>1740.13</v>
      </c>
      <c r="E241" s="1">
        <f>IFERROR(__xludf.DUMMYFUNCTION("""COMPUTED_VALUE"""),1751.6)</f>
        <v>1751.6</v>
      </c>
      <c r="F241" s="1">
        <f>IFERROR(__xludf.DUMMYFUNCTION("""COMPUTED_VALUE"""),3119979.0)</f>
        <v>3119979</v>
      </c>
    </row>
    <row r="242" ht="15.75" customHeight="1">
      <c r="A242" s="10">
        <f>IFERROR(__xludf.DUMMYFUNCTION("""COMPUTED_VALUE"""),43808.66666666667)</f>
        <v>43808.66667</v>
      </c>
      <c r="B242" s="1">
        <f>IFERROR(__xludf.DUMMYFUNCTION("""COMPUTED_VALUE"""),1750.66)</f>
        <v>1750.66</v>
      </c>
      <c r="C242" s="1">
        <f>IFERROR(__xludf.DUMMYFUNCTION("""COMPUTED_VALUE"""),1766.89)</f>
        <v>1766.89</v>
      </c>
      <c r="D242" s="1">
        <f>IFERROR(__xludf.DUMMYFUNCTION("""COMPUTED_VALUE"""),1745.61)</f>
        <v>1745.61</v>
      </c>
      <c r="E242" s="1">
        <f>IFERROR(__xludf.DUMMYFUNCTION("""COMPUTED_VALUE"""),1749.51)</f>
        <v>1749.51</v>
      </c>
      <c r="F242" s="1">
        <f>IFERROR(__xludf.DUMMYFUNCTION("""COMPUTED_VALUE"""),2502489.0)</f>
        <v>2502489</v>
      </c>
    </row>
    <row r="243" ht="15.75" customHeight="1">
      <c r="A243" s="10">
        <f>IFERROR(__xludf.DUMMYFUNCTION("""COMPUTED_VALUE"""),43809.66666666667)</f>
        <v>43809.66667</v>
      </c>
      <c r="B243" s="1">
        <f>IFERROR(__xludf.DUMMYFUNCTION("""COMPUTED_VALUE"""),1747.4)</f>
        <v>1747.4</v>
      </c>
      <c r="C243" s="1">
        <f>IFERROR(__xludf.DUMMYFUNCTION("""COMPUTED_VALUE"""),1750.67)</f>
        <v>1750.67</v>
      </c>
      <c r="D243" s="1">
        <f>IFERROR(__xludf.DUMMYFUNCTION("""COMPUTED_VALUE"""),1735.0)</f>
        <v>1735</v>
      </c>
      <c r="E243" s="1">
        <f>IFERROR(__xludf.DUMMYFUNCTION("""COMPUTED_VALUE"""),1739.21)</f>
        <v>1739.21</v>
      </c>
      <c r="F243" s="1">
        <f>IFERROR(__xludf.DUMMYFUNCTION("""COMPUTED_VALUE"""),2515644.0)</f>
        <v>2515644</v>
      </c>
    </row>
    <row r="244" ht="15.75" customHeight="1">
      <c r="A244" s="10">
        <f>IFERROR(__xludf.DUMMYFUNCTION("""COMPUTED_VALUE"""),43810.66666666667)</f>
        <v>43810.66667</v>
      </c>
      <c r="B244" s="1">
        <f>IFERROR(__xludf.DUMMYFUNCTION("""COMPUTED_VALUE"""),1741.67)</f>
        <v>1741.67</v>
      </c>
      <c r="C244" s="1">
        <f>IFERROR(__xludf.DUMMYFUNCTION("""COMPUTED_VALUE"""),1750.0)</f>
        <v>1750</v>
      </c>
      <c r="D244" s="1">
        <f>IFERROR(__xludf.DUMMYFUNCTION("""COMPUTED_VALUE"""),1735.71)</f>
        <v>1735.71</v>
      </c>
      <c r="E244" s="1">
        <f>IFERROR(__xludf.DUMMYFUNCTION("""COMPUTED_VALUE"""),1748.72)</f>
        <v>1748.72</v>
      </c>
      <c r="F244" s="1">
        <f>IFERROR(__xludf.DUMMYFUNCTION("""COMPUTED_VALUE"""),2101318.0)</f>
        <v>2101318</v>
      </c>
    </row>
    <row r="245" ht="15.75" customHeight="1">
      <c r="A245" s="10">
        <f>IFERROR(__xludf.DUMMYFUNCTION("""COMPUTED_VALUE"""),43811.66666666667)</f>
        <v>43811.66667</v>
      </c>
      <c r="B245" s="1">
        <f>IFERROR(__xludf.DUMMYFUNCTION("""COMPUTED_VALUE"""),1750.0)</f>
        <v>1750</v>
      </c>
      <c r="C245" s="1">
        <f>IFERROR(__xludf.DUMMYFUNCTION("""COMPUTED_VALUE"""),1764.0)</f>
        <v>1764</v>
      </c>
      <c r="D245" s="1">
        <f>IFERROR(__xludf.DUMMYFUNCTION("""COMPUTED_VALUE"""),1745.44)</f>
        <v>1745.44</v>
      </c>
      <c r="E245" s="1">
        <f>IFERROR(__xludf.DUMMYFUNCTION("""COMPUTED_VALUE"""),1760.33)</f>
        <v>1760.33</v>
      </c>
      <c r="F245" s="1">
        <f>IFERROR(__xludf.DUMMYFUNCTION("""COMPUTED_VALUE"""),3103949.0)</f>
        <v>3103949</v>
      </c>
    </row>
    <row r="246" ht="15.75" customHeight="1">
      <c r="A246" s="10">
        <f>IFERROR(__xludf.DUMMYFUNCTION("""COMPUTED_VALUE"""),43812.66666666667)</f>
        <v>43812.66667</v>
      </c>
      <c r="B246" s="1">
        <f>IFERROR(__xludf.DUMMYFUNCTION("""COMPUTED_VALUE"""),1765.0)</f>
        <v>1765</v>
      </c>
      <c r="C246" s="1">
        <f>IFERROR(__xludf.DUMMYFUNCTION("""COMPUTED_VALUE"""),1768.99)</f>
        <v>1768.99</v>
      </c>
      <c r="D246" s="1">
        <f>IFERROR(__xludf.DUMMYFUNCTION("""COMPUTED_VALUE"""),1755.0)</f>
        <v>1755</v>
      </c>
      <c r="E246" s="1">
        <f>IFERROR(__xludf.DUMMYFUNCTION("""COMPUTED_VALUE"""),1760.94)</f>
        <v>1760.94</v>
      </c>
      <c r="F246" s="1">
        <f>IFERROR(__xludf.DUMMYFUNCTION("""COMPUTED_VALUE"""),2747909.0)</f>
        <v>2747909</v>
      </c>
    </row>
    <row r="247" ht="15.75" customHeight="1">
      <c r="A247" s="10">
        <f>IFERROR(__xludf.DUMMYFUNCTION("""COMPUTED_VALUE"""),43815.66666666667)</f>
        <v>43815.66667</v>
      </c>
      <c r="B247" s="1">
        <f>IFERROR(__xludf.DUMMYFUNCTION("""COMPUTED_VALUE"""),1767.0)</f>
        <v>1767</v>
      </c>
      <c r="C247" s="1">
        <f>IFERROR(__xludf.DUMMYFUNCTION("""COMPUTED_VALUE"""),1769.5)</f>
        <v>1769.5</v>
      </c>
      <c r="D247" s="1">
        <f>IFERROR(__xludf.DUMMYFUNCTION("""COMPUTED_VALUE"""),1757.05)</f>
        <v>1757.05</v>
      </c>
      <c r="E247" s="1">
        <f>IFERROR(__xludf.DUMMYFUNCTION("""COMPUTED_VALUE"""),1769.21)</f>
        <v>1769.21</v>
      </c>
      <c r="F247" s="1">
        <f>IFERROR(__xludf.DUMMYFUNCTION("""COMPUTED_VALUE"""),3149345.0)</f>
        <v>3149345</v>
      </c>
    </row>
    <row r="248" ht="15.75" customHeight="1">
      <c r="A248" s="10">
        <f>IFERROR(__xludf.DUMMYFUNCTION("""COMPUTED_VALUE"""),43816.66666666667)</f>
        <v>43816.66667</v>
      </c>
      <c r="B248" s="1">
        <f>IFERROR(__xludf.DUMMYFUNCTION("""COMPUTED_VALUE"""),1778.01)</f>
        <v>1778.01</v>
      </c>
      <c r="C248" s="1">
        <f>IFERROR(__xludf.DUMMYFUNCTION("""COMPUTED_VALUE"""),1792.0)</f>
        <v>1792</v>
      </c>
      <c r="D248" s="1">
        <f>IFERROR(__xludf.DUMMYFUNCTION("""COMPUTED_VALUE"""),1777.39)</f>
        <v>1777.39</v>
      </c>
      <c r="E248" s="1">
        <f>IFERROR(__xludf.DUMMYFUNCTION("""COMPUTED_VALUE"""),1790.66)</f>
        <v>1790.66</v>
      </c>
      <c r="F248" s="1">
        <f>IFERROR(__xludf.DUMMYFUNCTION("""COMPUTED_VALUE"""),3646697.0)</f>
        <v>3646697</v>
      </c>
    </row>
    <row r="249" ht="15.75" customHeight="1">
      <c r="A249" s="10">
        <f>IFERROR(__xludf.DUMMYFUNCTION("""COMPUTED_VALUE"""),43817.66666666667)</f>
        <v>43817.66667</v>
      </c>
      <c r="B249" s="1">
        <f>IFERROR(__xludf.DUMMYFUNCTION("""COMPUTED_VALUE"""),1795.02)</f>
        <v>1795.02</v>
      </c>
      <c r="C249" s="1">
        <f>IFERROR(__xludf.DUMMYFUNCTION("""COMPUTED_VALUE"""),1798.2)</f>
        <v>1798.2</v>
      </c>
      <c r="D249" s="1">
        <f>IFERROR(__xludf.DUMMYFUNCTION("""COMPUTED_VALUE"""),1782.36)</f>
        <v>1782.36</v>
      </c>
      <c r="E249" s="1">
        <f>IFERROR(__xludf.DUMMYFUNCTION("""COMPUTED_VALUE"""),1784.03)</f>
        <v>1784.03</v>
      </c>
      <c r="F249" s="1">
        <f>IFERROR(__xludf.DUMMYFUNCTION("""COMPUTED_VALUE"""),3352187.0)</f>
        <v>3352187</v>
      </c>
    </row>
    <row r="250" ht="15.75" customHeight="1">
      <c r="A250" s="10">
        <f>IFERROR(__xludf.DUMMYFUNCTION("""COMPUTED_VALUE"""),43818.66666666667)</f>
        <v>43818.66667</v>
      </c>
      <c r="B250" s="1">
        <f>IFERROR(__xludf.DUMMYFUNCTION("""COMPUTED_VALUE"""),1780.5)</f>
        <v>1780.5</v>
      </c>
      <c r="C250" s="1">
        <f>IFERROR(__xludf.DUMMYFUNCTION("""COMPUTED_VALUE"""),1792.99)</f>
        <v>1792.99</v>
      </c>
      <c r="D250" s="1">
        <f>IFERROR(__xludf.DUMMYFUNCTION("""COMPUTED_VALUE"""),1774.06)</f>
        <v>1774.06</v>
      </c>
      <c r="E250" s="1">
        <f>IFERROR(__xludf.DUMMYFUNCTION("""COMPUTED_VALUE"""),1792.28)</f>
        <v>1792.28</v>
      </c>
      <c r="F250" s="1">
        <f>IFERROR(__xludf.DUMMYFUNCTION("""COMPUTED_VALUE"""),2738320.0)</f>
        <v>2738320</v>
      </c>
    </row>
    <row r="251" ht="15.75" customHeight="1">
      <c r="A251" s="10">
        <f>IFERROR(__xludf.DUMMYFUNCTION("""COMPUTED_VALUE"""),43819.66666666667)</f>
        <v>43819.66667</v>
      </c>
      <c r="B251" s="1">
        <f>IFERROR(__xludf.DUMMYFUNCTION("""COMPUTED_VALUE"""),1799.62)</f>
        <v>1799.62</v>
      </c>
      <c r="C251" s="1">
        <f>IFERROR(__xludf.DUMMYFUNCTION("""COMPUTED_VALUE"""),1802.97)</f>
        <v>1802.97</v>
      </c>
      <c r="D251" s="1">
        <f>IFERROR(__xludf.DUMMYFUNCTION("""COMPUTED_VALUE"""),1782.45)</f>
        <v>1782.45</v>
      </c>
      <c r="E251" s="1">
        <f>IFERROR(__xludf.DUMMYFUNCTION("""COMPUTED_VALUE"""),1786.5)</f>
        <v>1786.5</v>
      </c>
      <c r="F251" s="1">
        <f>IFERROR(__xludf.DUMMYFUNCTION("""COMPUTED_VALUE"""),5152460.0)</f>
        <v>5152460</v>
      </c>
    </row>
    <row r="252" ht="15.75" customHeight="1">
      <c r="A252" s="10">
        <f>IFERROR(__xludf.DUMMYFUNCTION("""COMPUTED_VALUE"""),43822.66666666667)</f>
        <v>43822.66667</v>
      </c>
      <c r="B252" s="1">
        <f>IFERROR(__xludf.DUMMYFUNCTION("""COMPUTED_VALUE"""),1788.26)</f>
        <v>1788.26</v>
      </c>
      <c r="C252" s="1">
        <f>IFERROR(__xludf.DUMMYFUNCTION("""COMPUTED_VALUE"""),1793.0)</f>
        <v>1793</v>
      </c>
      <c r="D252" s="1">
        <f>IFERROR(__xludf.DUMMYFUNCTION("""COMPUTED_VALUE"""),1784.51)</f>
        <v>1784.51</v>
      </c>
      <c r="E252" s="1">
        <f>IFERROR(__xludf.DUMMYFUNCTION("""COMPUTED_VALUE"""),1793.0)</f>
        <v>1793</v>
      </c>
      <c r="F252" s="1">
        <f>IFERROR(__xludf.DUMMYFUNCTION("""COMPUTED_VALUE"""),2137493.0)</f>
        <v>2137493</v>
      </c>
    </row>
    <row r="253" ht="15.75" customHeight="1">
      <c r="A253" s="10">
        <f>IFERROR(__xludf.DUMMYFUNCTION("""COMPUTED_VALUE"""),43823.54166666667)</f>
        <v>43823.54167</v>
      </c>
      <c r="B253" s="1">
        <f>IFERROR(__xludf.DUMMYFUNCTION("""COMPUTED_VALUE"""),1793.81)</f>
        <v>1793.81</v>
      </c>
      <c r="C253" s="1">
        <f>IFERROR(__xludf.DUMMYFUNCTION("""COMPUTED_VALUE"""),1795.57)</f>
        <v>1795.57</v>
      </c>
      <c r="D253" s="1">
        <f>IFERROR(__xludf.DUMMYFUNCTION("""COMPUTED_VALUE"""),1787.58)</f>
        <v>1787.58</v>
      </c>
      <c r="E253" s="1">
        <f>IFERROR(__xludf.DUMMYFUNCTION("""COMPUTED_VALUE"""),1789.21)</f>
        <v>1789.21</v>
      </c>
      <c r="F253" s="1">
        <f>IFERROR(__xludf.DUMMYFUNCTION("""COMPUTED_VALUE"""),881337.0)</f>
        <v>881337</v>
      </c>
    </row>
    <row r="254" ht="15.75" customHeight="1">
      <c r="A254" s="10">
        <f>IFERROR(__xludf.DUMMYFUNCTION("""COMPUTED_VALUE"""),43825.66666666667)</f>
        <v>43825.66667</v>
      </c>
      <c r="B254" s="1">
        <f>IFERROR(__xludf.DUMMYFUNCTION("""COMPUTED_VALUE"""),1801.01)</f>
        <v>1801.01</v>
      </c>
      <c r="C254" s="1">
        <f>IFERROR(__xludf.DUMMYFUNCTION("""COMPUTED_VALUE"""),1870.46)</f>
        <v>1870.46</v>
      </c>
      <c r="D254" s="1">
        <f>IFERROR(__xludf.DUMMYFUNCTION("""COMPUTED_VALUE"""),1799.5)</f>
        <v>1799.5</v>
      </c>
      <c r="E254" s="1">
        <f>IFERROR(__xludf.DUMMYFUNCTION("""COMPUTED_VALUE"""),1868.77)</f>
        <v>1868.77</v>
      </c>
      <c r="F254" s="1">
        <f>IFERROR(__xludf.DUMMYFUNCTION("""COMPUTED_VALUE"""),6024608.0)</f>
        <v>6024608</v>
      </c>
    </row>
    <row r="255" ht="15.75" customHeight="1">
      <c r="A255" s="10">
        <f>IFERROR(__xludf.DUMMYFUNCTION("""COMPUTED_VALUE"""),43826.66666666667)</f>
        <v>43826.66667</v>
      </c>
      <c r="B255" s="1">
        <f>IFERROR(__xludf.DUMMYFUNCTION("""COMPUTED_VALUE"""),1882.92)</f>
        <v>1882.92</v>
      </c>
      <c r="C255" s="1">
        <f>IFERROR(__xludf.DUMMYFUNCTION("""COMPUTED_VALUE"""),1901.4)</f>
        <v>1901.4</v>
      </c>
      <c r="D255" s="1">
        <f>IFERROR(__xludf.DUMMYFUNCTION("""COMPUTED_VALUE"""),1866.01)</f>
        <v>1866.01</v>
      </c>
      <c r="E255" s="1">
        <f>IFERROR(__xludf.DUMMYFUNCTION("""COMPUTED_VALUE"""),1869.8)</f>
        <v>1869.8</v>
      </c>
      <c r="F255" s="1">
        <f>IFERROR(__xludf.DUMMYFUNCTION("""COMPUTED_VALUE"""),6188754.0)</f>
        <v>6188754</v>
      </c>
    </row>
    <row r="256" ht="15.75" customHeight="1">
      <c r="A256" s="10">
        <f>IFERROR(__xludf.DUMMYFUNCTION("""COMPUTED_VALUE"""),43829.66666666667)</f>
        <v>43829.66667</v>
      </c>
      <c r="B256" s="1">
        <f>IFERROR(__xludf.DUMMYFUNCTION("""COMPUTED_VALUE"""),1874.0)</f>
        <v>1874</v>
      </c>
      <c r="C256" s="1">
        <f>IFERROR(__xludf.DUMMYFUNCTION("""COMPUTED_VALUE"""),1884.0)</f>
        <v>1884</v>
      </c>
      <c r="D256" s="1">
        <f>IFERROR(__xludf.DUMMYFUNCTION("""COMPUTED_VALUE"""),1840.62)</f>
        <v>1840.62</v>
      </c>
      <c r="E256" s="1">
        <f>IFERROR(__xludf.DUMMYFUNCTION("""COMPUTED_VALUE"""),1846.89)</f>
        <v>1846.89</v>
      </c>
      <c r="F256" s="1">
        <f>IFERROR(__xludf.DUMMYFUNCTION("""COMPUTED_VALUE"""),3677306.0)</f>
        <v>3677306</v>
      </c>
    </row>
    <row r="257" ht="15.75" customHeight="1">
      <c r="A257" s="10">
        <f>IFERROR(__xludf.DUMMYFUNCTION("""COMPUTED_VALUE"""),43830.66666666667)</f>
        <v>43830.66667</v>
      </c>
      <c r="B257" s="1">
        <f>IFERROR(__xludf.DUMMYFUNCTION("""COMPUTED_VALUE"""),1842.0)</f>
        <v>1842</v>
      </c>
      <c r="C257" s="1">
        <f>IFERROR(__xludf.DUMMYFUNCTION("""COMPUTED_VALUE"""),1853.26)</f>
        <v>1853.26</v>
      </c>
      <c r="D257" s="1">
        <f>IFERROR(__xludf.DUMMYFUNCTION("""COMPUTED_VALUE"""),1832.23)</f>
        <v>1832.23</v>
      </c>
      <c r="E257" s="1">
        <f>IFERROR(__xludf.DUMMYFUNCTION("""COMPUTED_VALUE"""),1847.84)</f>
        <v>1847.84</v>
      </c>
      <c r="F257" s="1">
        <f>IFERROR(__xludf.DUMMYFUNCTION("""COMPUTED_VALUE"""),2510380.0)</f>
        <v>2510380</v>
      </c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6" t="s">
        <v>179</v>
      </c>
      <c r="C2" s="2">
        <v>43831.0</v>
      </c>
      <c r="D2" s="2">
        <v>44059.0</v>
      </c>
    </row>
    <row r="3" ht="15.75" customHeight="1"/>
    <row r="4" ht="15.75" customHeight="1"/>
    <row r="5" ht="15.75" customHeight="1">
      <c r="A5" s="1" t="str">
        <f>IFERROR(__xludf.DUMMYFUNCTION("GOOGLEFINANCE(A2,""all"",C2, D2, 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IFERROR(__xludf.DUMMYFUNCTION("""COMPUTED_VALUE"""),43832.64583333333)</f>
        <v>43832.64583</v>
      </c>
      <c r="B6" s="1">
        <f>IFERROR(__xludf.DUMMYFUNCTION("""COMPUTED_VALUE"""),46.8)</f>
        <v>46.8</v>
      </c>
      <c r="C6" s="1">
        <f>IFERROR(__xludf.DUMMYFUNCTION("""COMPUTED_VALUE"""),48.5)</f>
        <v>48.5</v>
      </c>
      <c r="D6" s="1">
        <f>IFERROR(__xludf.DUMMYFUNCTION("""COMPUTED_VALUE"""),46.4)</f>
        <v>46.4</v>
      </c>
      <c r="E6" s="1">
        <f>IFERROR(__xludf.DUMMYFUNCTION("""COMPUTED_VALUE"""),47.35)</f>
        <v>47.35</v>
      </c>
      <c r="F6" s="1">
        <f>IFERROR(__xludf.DUMMYFUNCTION("""COMPUTED_VALUE"""),1.22242838E8)</f>
        <v>122242838</v>
      </c>
    </row>
    <row r="7" ht="15.75" customHeight="1">
      <c r="A7" s="10">
        <f>IFERROR(__xludf.DUMMYFUNCTION("""COMPUTED_VALUE"""),43833.64583333333)</f>
        <v>43833.64583</v>
      </c>
      <c r="B7" s="1">
        <f>IFERROR(__xludf.DUMMYFUNCTION("""COMPUTED_VALUE"""),47.35)</f>
        <v>47.35</v>
      </c>
      <c r="C7" s="1">
        <f>IFERROR(__xludf.DUMMYFUNCTION("""COMPUTED_VALUE"""),48.25)</f>
        <v>48.25</v>
      </c>
      <c r="D7" s="1">
        <f>IFERROR(__xludf.DUMMYFUNCTION("""COMPUTED_VALUE"""),46.85)</f>
        <v>46.85</v>
      </c>
      <c r="E7" s="1">
        <f>IFERROR(__xludf.DUMMYFUNCTION("""COMPUTED_VALUE"""),47.1)</f>
        <v>47.1</v>
      </c>
      <c r="F7" s="1">
        <f>IFERROR(__xludf.DUMMYFUNCTION("""COMPUTED_VALUE"""),9.4827592E7)</f>
        <v>94827592</v>
      </c>
    </row>
    <row r="8" ht="15.75" customHeight="1">
      <c r="A8" s="10">
        <f>IFERROR(__xludf.DUMMYFUNCTION("""COMPUTED_VALUE"""),43836.64583333333)</f>
        <v>43836.64583</v>
      </c>
      <c r="B8" s="1">
        <f>IFERROR(__xludf.DUMMYFUNCTION("""COMPUTED_VALUE"""),46.75)</f>
        <v>46.75</v>
      </c>
      <c r="C8" s="1">
        <f>IFERROR(__xludf.DUMMYFUNCTION("""COMPUTED_VALUE"""),46.75)</f>
        <v>46.75</v>
      </c>
      <c r="D8" s="1">
        <f>IFERROR(__xludf.DUMMYFUNCTION("""COMPUTED_VALUE"""),45.0)</f>
        <v>45</v>
      </c>
      <c r="E8" s="1">
        <f>IFERROR(__xludf.DUMMYFUNCTION("""COMPUTED_VALUE"""),45.15)</f>
        <v>45.15</v>
      </c>
      <c r="F8" s="1">
        <f>IFERROR(__xludf.DUMMYFUNCTION("""COMPUTED_VALUE"""),1.02880221E8)</f>
        <v>102880221</v>
      </c>
    </row>
    <row r="9" ht="15.75" customHeight="1">
      <c r="A9" s="10">
        <f>IFERROR(__xludf.DUMMYFUNCTION("""COMPUTED_VALUE"""),43837.64583333333)</f>
        <v>43837.64583</v>
      </c>
      <c r="B9" s="1">
        <f>IFERROR(__xludf.DUMMYFUNCTION("""COMPUTED_VALUE"""),45.7)</f>
        <v>45.7</v>
      </c>
      <c r="C9" s="1">
        <f>IFERROR(__xludf.DUMMYFUNCTION("""COMPUTED_VALUE"""),46.4)</f>
        <v>46.4</v>
      </c>
      <c r="D9" s="1">
        <f>IFERROR(__xludf.DUMMYFUNCTION("""COMPUTED_VALUE"""),43.95)</f>
        <v>43.95</v>
      </c>
      <c r="E9" s="1">
        <f>IFERROR(__xludf.DUMMYFUNCTION("""COMPUTED_VALUE"""),45.05)</f>
        <v>45.05</v>
      </c>
      <c r="F9" s="1">
        <f>IFERROR(__xludf.DUMMYFUNCTION("""COMPUTED_VALUE"""),1.11094678E8)</f>
        <v>111094678</v>
      </c>
    </row>
    <row r="10" ht="15.75" customHeight="1">
      <c r="A10" s="10">
        <f>IFERROR(__xludf.DUMMYFUNCTION("""COMPUTED_VALUE"""),43838.64583333333)</f>
        <v>43838.64583</v>
      </c>
      <c r="B10" s="1">
        <f>IFERROR(__xludf.DUMMYFUNCTION("""COMPUTED_VALUE"""),46.25)</f>
        <v>46.25</v>
      </c>
      <c r="C10" s="1">
        <f>IFERROR(__xludf.DUMMYFUNCTION("""COMPUTED_VALUE"""),47.2)</f>
        <v>47.2</v>
      </c>
      <c r="D10" s="1">
        <f>IFERROR(__xludf.DUMMYFUNCTION("""COMPUTED_VALUE"""),45.3)</f>
        <v>45.3</v>
      </c>
      <c r="E10" s="1">
        <f>IFERROR(__xludf.DUMMYFUNCTION("""COMPUTED_VALUE"""),46.05)</f>
        <v>46.05</v>
      </c>
      <c r="F10" s="1">
        <f>IFERROR(__xludf.DUMMYFUNCTION("""COMPUTED_VALUE"""),1.40074287E8)</f>
        <v>140074287</v>
      </c>
    </row>
    <row r="11" ht="15.75" customHeight="1">
      <c r="A11" s="10">
        <f>IFERROR(__xludf.DUMMYFUNCTION("""COMPUTED_VALUE"""),43839.64583333333)</f>
        <v>43839.64583</v>
      </c>
      <c r="B11" s="1">
        <f>IFERROR(__xludf.DUMMYFUNCTION("""COMPUTED_VALUE"""),47.0)</f>
        <v>47</v>
      </c>
      <c r="C11" s="1">
        <f>IFERROR(__xludf.DUMMYFUNCTION("""COMPUTED_VALUE"""),48.5)</f>
        <v>48.5</v>
      </c>
      <c r="D11" s="1">
        <f>IFERROR(__xludf.DUMMYFUNCTION("""COMPUTED_VALUE"""),46.3)</f>
        <v>46.3</v>
      </c>
      <c r="E11" s="1">
        <f>IFERROR(__xludf.DUMMYFUNCTION("""COMPUTED_VALUE"""),47.3)</f>
        <v>47.3</v>
      </c>
      <c r="F11" s="1">
        <f>IFERROR(__xludf.DUMMYFUNCTION("""COMPUTED_VALUE"""),1.52025694E8)</f>
        <v>152025694</v>
      </c>
    </row>
    <row r="12" ht="15.75" customHeight="1">
      <c r="A12" s="10">
        <f>IFERROR(__xludf.DUMMYFUNCTION("""COMPUTED_VALUE"""),43840.64583333333)</f>
        <v>43840.64583</v>
      </c>
      <c r="B12" s="1">
        <f>IFERROR(__xludf.DUMMYFUNCTION("""COMPUTED_VALUE"""),47.95)</f>
        <v>47.95</v>
      </c>
      <c r="C12" s="1">
        <f>IFERROR(__xludf.DUMMYFUNCTION("""COMPUTED_VALUE"""),48.35)</f>
        <v>48.35</v>
      </c>
      <c r="D12" s="1">
        <f>IFERROR(__xludf.DUMMYFUNCTION("""COMPUTED_VALUE"""),43.8)</f>
        <v>43.8</v>
      </c>
      <c r="E12" s="1">
        <f>IFERROR(__xludf.DUMMYFUNCTION("""COMPUTED_VALUE"""),44.75)</f>
        <v>44.75</v>
      </c>
      <c r="F12" s="1">
        <f>IFERROR(__xludf.DUMMYFUNCTION("""COMPUTED_VALUE"""),3.03072426E8)</f>
        <v>303072426</v>
      </c>
    </row>
    <row r="13" ht="15.75" customHeight="1">
      <c r="A13" s="10">
        <f>IFERROR(__xludf.DUMMYFUNCTION("""COMPUTED_VALUE"""),43843.64583333333)</f>
        <v>43843.64583</v>
      </c>
      <c r="B13" s="1">
        <f>IFERROR(__xludf.DUMMYFUNCTION("""COMPUTED_VALUE"""),43.4)</f>
        <v>43.4</v>
      </c>
      <c r="C13" s="1">
        <f>IFERROR(__xludf.DUMMYFUNCTION("""COMPUTED_VALUE"""),43.9)</f>
        <v>43.9</v>
      </c>
      <c r="D13" s="1">
        <f>IFERROR(__xludf.DUMMYFUNCTION("""COMPUTED_VALUE"""),41.05)</f>
        <v>41.05</v>
      </c>
      <c r="E13" s="1">
        <f>IFERROR(__xludf.DUMMYFUNCTION("""COMPUTED_VALUE"""),42.1)</f>
        <v>42.1</v>
      </c>
      <c r="F13" s="1">
        <f>IFERROR(__xludf.DUMMYFUNCTION("""COMPUTED_VALUE"""),1.94734026E8)</f>
        <v>194734026</v>
      </c>
    </row>
    <row r="14" ht="15.75" customHeight="1">
      <c r="A14" s="10">
        <f>IFERROR(__xludf.DUMMYFUNCTION("""COMPUTED_VALUE"""),43844.64583333333)</f>
        <v>43844.64583</v>
      </c>
      <c r="B14" s="1">
        <f>IFERROR(__xludf.DUMMYFUNCTION("""COMPUTED_VALUE"""),41.75)</f>
        <v>41.75</v>
      </c>
      <c r="C14" s="1">
        <f>IFERROR(__xludf.DUMMYFUNCTION("""COMPUTED_VALUE"""),41.75)</f>
        <v>41.75</v>
      </c>
      <c r="D14" s="1">
        <f>IFERROR(__xludf.DUMMYFUNCTION("""COMPUTED_VALUE"""),36.55)</f>
        <v>36.55</v>
      </c>
      <c r="E14" s="1">
        <f>IFERROR(__xludf.DUMMYFUNCTION("""COMPUTED_VALUE"""),38.55)</f>
        <v>38.55</v>
      </c>
      <c r="F14" s="1">
        <f>IFERROR(__xludf.DUMMYFUNCTION("""COMPUTED_VALUE"""),3.14975429E8)</f>
        <v>314975429</v>
      </c>
    </row>
    <row r="15" ht="15.75" customHeight="1">
      <c r="A15" s="10">
        <f>IFERROR(__xludf.DUMMYFUNCTION("""COMPUTED_VALUE"""),43845.64583333333)</f>
        <v>43845.64583</v>
      </c>
      <c r="B15" s="1">
        <f>IFERROR(__xludf.DUMMYFUNCTION("""COMPUTED_VALUE"""),38.45)</f>
        <v>38.45</v>
      </c>
      <c r="C15" s="1">
        <f>IFERROR(__xludf.DUMMYFUNCTION("""COMPUTED_VALUE"""),41.1)</f>
        <v>41.1</v>
      </c>
      <c r="D15" s="1">
        <f>IFERROR(__xludf.DUMMYFUNCTION("""COMPUTED_VALUE"""),36.65)</f>
        <v>36.65</v>
      </c>
      <c r="E15" s="1">
        <f>IFERROR(__xludf.DUMMYFUNCTION("""COMPUTED_VALUE"""),39.75)</f>
        <v>39.75</v>
      </c>
      <c r="F15" s="1">
        <f>IFERROR(__xludf.DUMMYFUNCTION("""COMPUTED_VALUE"""),4.00694734E8)</f>
        <v>400694734</v>
      </c>
    </row>
    <row r="16" ht="15.75" customHeight="1">
      <c r="A16" s="10">
        <f>IFERROR(__xludf.DUMMYFUNCTION("""COMPUTED_VALUE"""),43846.64583333333)</f>
        <v>43846.64583</v>
      </c>
      <c r="B16" s="1">
        <f>IFERROR(__xludf.DUMMYFUNCTION("""COMPUTED_VALUE"""),40.15)</f>
        <v>40.15</v>
      </c>
      <c r="C16" s="1">
        <f>IFERROR(__xludf.DUMMYFUNCTION("""COMPUTED_VALUE"""),40.9)</f>
        <v>40.9</v>
      </c>
      <c r="D16" s="1">
        <f>IFERROR(__xludf.DUMMYFUNCTION("""COMPUTED_VALUE"""),39.75)</f>
        <v>39.75</v>
      </c>
      <c r="E16" s="1">
        <f>IFERROR(__xludf.DUMMYFUNCTION("""COMPUTED_VALUE"""),39.95)</f>
        <v>39.95</v>
      </c>
      <c r="F16" s="1">
        <f>IFERROR(__xludf.DUMMYFUNCTION("""COMPUTED_VALUE"""),1.26354618E8)</f>
        <v>126354618</v>
      </c>
    </row>
    <row r="17" ht="15.75" customHeight="1">
      <c r="A17" s="10">
        <f>IFERROR(__xludf.DUMMYFUNCTION("""COMPUTED_VALUE"""),43847.64583333333)</f>
        <v>43847.64583</v>
      </c>
      <c r="B17" s="1">
        <f>IFERROR(__xludf.DUMMYFUNCTION("""COMPUTED_VALUE"""),37.6)</f>
        <v>37.6</v>
      </c>
      <c r="C17" s="1">
        <f>IFERROR(__xludf.DUMMYFUNCTION("""COMPUTED_VALUE"""),39.55)</f>
        <v>39.55</v>
      </c>
      <c r="D17" s="1">
        <f>IFERROR(__xludf.DUMMYFUNCTION("""COMPUTED_VALUE"""),37.0)</f>
        <v>37</v>
      </c>
      <c r="E17" s="1">
        <f>IFERROR(__xludf.DUMMYFUNCTION("""COMPUTED_VALUE"""),39.25)</f>
        <v>39.25</v>
      </c>
      <c r="F17" s="1">
        <f>IFERROR(__xludf.DUMMYFUNCTION("""COMPUTED_VALUE"""),1.25635833E8)</f>
        <v>125635833</v>
      </c>
    </row>
    <row r="18" ht="15.75" customHeight="1">
      <c r="A18" s="10">
        <f>IFERROR(__xludf.DUMMYFUNCTION("""COMPUTED_VALUE"""),43850.64583333333)</f>
        <v>43850.64583</v>
      </c>
      <c r="B18" s="1">
        <f>IFERROR(__xludf.DUMMYFUNCTION("""COMPUTED_VALUE"""),39.5)</f>
        <v>39.5</v>
      </c>
      <c r="C18" s="1">
        <f>IFERROR(__xludf.DUMMYFUNCTION("""COMPUTED_VALUE"""),40.2)</f>
        <v>40.2</v>
      </c>
      <c r="D18" s="1">
        <f>IFERROR(__xludf.DUMMYFUNCTION("""COMPUTED_VALUE"""),38.45)</f>
        <v>38.45</v>
      </c>
      <c r="E18" s="1">
        <f>IFERROR(__xludf.DUMMYFUNCTION("""COMPUTED_VALUE"""),38.65)</f>
        <v>38.65</v>
      </c>
      <c r="F18" s="1">
        <f>IFERROR(__xludf.DUMMYFUNCTION("""COMPUTED_VALUE"""),8.9703186E7)</f>
        <v>89703186</v>
      </c>
    </row>
    <row r="19" ht="15.75" customHeight="1">
      <c r="A19" s="10">
        <f>IFERROR(__xludf.DUMMYFUNCTION("""COMPUTED_VALUE"""),43851.64583333333)</f>
        <v>43851.64583</v>
      </c>
      <c r="B19" s="1">
        <f>IFERROR(__xludf.DUMMYFUNCTION("""COMPUTED_VALUE"""),38.6)</f>
        <v>38.6</v>
      </c>
      <c r="C19" s="1">
        <f>IFERROR(__xludf.DUMMYFUNCTION("""COMPUTED_VALUE"""),39.2)</f>
        <v>39.2</v>
      </c>
      <c r="D19" s="1">
        <f>IFERROR(__xludf.DUMMYFUNCTION("""COMPUTED_VALUE"""),38.1)</f>
        <v>38.1</v>
      </c>
      <c r="E19" s="1">
        <f>IFERROR(__xludf.DUMMYFUNCTION("""COMPUTED_VALUE"""),38.35)</f>
        <v>38.35</v>
      </c>
      <c r="F19" s="1">
        <f>IFERROR(__xludf.DUMMYFUNCTION("""COMPUTED_VALUE"""),6.7215936E7)</f>
        <v>67215936</v>
      </c>
    </row>
    <row r="20" ht="15.75" customHeight="1">
      <c r="A20" s="10">
        <f>IFERROR(__xludf.DUMMYFUNCTION("""COMPUTED_VALUE"""),43852.64583333333)</f>
        <v>43852.64583</v>
      </c>
      <c r="B20" s="1">
        <f>IFERROR(__xludf.DUMMYFUNCTION("""COMPUTED_VALUE"""),38.7)</f>
        <v>38.7</v>
      </c>
      <c r="C20" s="1">
        <f>IFERROR(__xludf.DUMMYFUNCTION("""COMPUTED_VALUE"""),39.0)</f>
        <v>39</v>
      </c>
      <c r="D20" s="1">
        <f>IFERROR(__xludf.DUMMYFUNCTION("""COMPUTED_VALUE"""),38.0)</f>
        <v>38</v>
      </c>
      <c r="E20" s="1">
        <f>IFERROR(__xludf.DUMMYFUNCTION("""COMPUTED_VALUE"""),38.45)</f>
        <v>38.45</v>
      </c>
      <c r="F20" s="1">
        <f>IFERROR(__xludf.DUMMYFUNCTION("""COMPUTED_VALUE"""),6.2400795E7)</f>
        <v>62400795</v>
      </c>
    </row>
    <row r="21" ht="15.75" customHeight="1">
      <c r="A21" s="10">
        <f>IFERROR(__xludf.DUMMYFUNCTION("""COMPUTED_VALUE"""),43853.64583333333)</f>
        <v>43853.64583</v>
      </c>
      <c r="B21" s="1">
        <f>IFERROR(__xludf.DUMMYFUNCTION("""COMPUTED_VALUE"""),38.55)</f>
        <v>38.55</v>
      </c>
      <c r="C21" s="1">
        <f>IFERROR(__xludf.DUMMYFUNCTION("""COMPUTED_VALUE"""),41.4)</f>
        <v>41.4</v>
      </c>
      <c r="D21" s="1">
        <f>IFERROR(__xludf.DUMMYFUNCTION("""COMPUTED_VALUE"""),38.35)</f>
        <v>38.35</v>
      </c>
      <c r="E21" s="1">
        <f>IFERROR(__xludf.DUMMYFUNCTION("""COMPUTED_VALUE"""),40.95)</f>
        <v>40.95</v>
      </c>
      <c r="F21" s="1">
        <f>IFERROR(__xludf.DUMMYFUNCTION("""COMPUTED_VALUE"""),1.78774952E8)</f>
        <v>178774952</v>
      </c>
    </row>
    <row r="22" ht="15.75" customHeight="1">
      <c r="A22" s="10">
        <f>IFERROR(__xludf.DUMMYFUNCTION("""COMPUTED_VALUE"""),43854.64583333333)</f>
        <v>43854.64583</v>
      </c>
      <c r="B22" s="1">
        <f>IFERROR(__xludf.DUMMYFUNCTION("""COMPUTED_VALUE"""),41.2)</f>
        <v>41.2</v>
      </c>
      <c r="C22" s="1">
        <f>IFERROR(__xludf.DUMMYFUNCTION("""COMPUTED_VALUE"""),45.0)</f>
        <v>45</v>
      </c>
      <c r="D22" s="1">
        <f>IFERROR(__xludf.DUMMYFUNCTION("""COMPUTED_VALUE"""),41.1)</f>
        <v>41.1</v>
      </c>
      <c r="E22" s="1">
        <f>IFERROR(__xludf.DUMMYFUNCTION("""COMPUTED_VALUE"""),42.8)</f>
        <v>42.8</v>
      </c>
      <c r="F22" s="1">
        <f>IFERROR(__xludf.DUMMYFUNCTION("""COMPUTED_VALUE"""),2.898541E8)</f>
        <v>289854100</v>
      </c>
    </row>
    <row r="23" ht="15.75" customHeight="1">
      <c r="A23" s="10">
        <f>IFERROR(__xludf.DUMMYFUNCTION("""COMPUTED_VALUE"""),43857.64583333333)</f>
        <v>43857.64583</v>
      </c>
      <c r="B23" s="1">
        <f>IFERROR(__xludf.DUMMYFUNCTION("""COMPUTED_VALUE"""),42.3)</f>
        <v>42.3</v>
      </c>
      <c r="C23" s="1">
        <f>IFERROR(__xludf.DUMMYFUNCTION("""COMPUTED_VALUE"""),43.45)</f>
        <v>43.45</v>
      </c>
      <c r="D23" s="1">
        <f>IFERROR(__xludf.DUMMYFUNCTION("""COMPUTED_VALUE"""),41.85)</f>
        <v>41.85</v>
      </c>
      <c r="E23" s="1">
        <f>IFERROR(__xludf.DUMMYFUNCTION("""COMPUTED_VALUE"""),42.4)</f>
        <v>42.4</v>
      </c>
      <c r="F23" s="1">
        <f>IFERROR(__xludf.DUMMYFUNCTION("""COMPUTED_VALUE"""),1.34241973E8)</f>
        <v>134241973</v>
      </c>
    </row>
    <row r="24" ht="15.75" customHeight="1">
      <c r="A24" s="10">
        <f>IFERROR(__xludf.DUMMYFUNCTION("""COMPUTED_VALUE"""),43858.64583333333)</f>
        <v>43858.64583</v>
      </c>
      <c r="B24" s="1">
        <f>IFERROR(__xludf.DUMMYFUNCTION("""COMPUTED_VALUE"""),42.5)</f>
        <v>42.5</v>
      </c>
      <c r="C24" s="1">
        <f>IFERROR(__xludf.DUMMYFUNCTION("""COMPUTED_VALUE"""),43.3)</f>
        <v>43.3</v>
      </c>
      <c r="D24" s="1">
        <f>IFERROR(__xludf.DUMMYFUNCTION("""COMPUTED_VALUE"""),41.25)</f>
        <v>41.25</v>
      </c>
      <c r="E24" s="1">
        <f>IFERROR(__xludf.DUMMYFUNCTION("""COMPUTED_VALUE"""),41.65)</f>
        <v>41.65</v>
      </c>
      <c r="F24" s="1">
        <f>IFERROR(__xludf.DUMMYFUNCTION("""COMPUTED_VALUE"""),1.06167368E8)</f>
        <v>106167368</v>
      </c>
    </row>
    <row r="25" ht="15.75" customHeight="1">
      <c r="A25" s="10">
        <f>IFERROR(__xludf.DUMMYFUNCTION("""COMPUTED_VALUE"""),43859.64583333333)</f>
        <v>43859.64583</v>
      </c>
      <c r="B25" s="1">
        <f>IFERROR(__xludf.DUMMYFUNCTION("""COMPUTED_VALUE"""),41.85)</f>
        <v>41.85</v>
      </c>
      <c r="C25" s="1">
        <f>IFERROR(__xludf.DUMMYFUNCTION("""COMPUTED_VALUE"""),42.35)</f>
        <v>42.35</v>
      </c>
      <c r="D25" s="1">
        <f>IFERROR(__xludf.DUMMYFUNCTION("""COMPUTED_VALUE"""),41.0)</f>
        <v>41</v>
      </c>
      <c r="E25" s="1">
        <f>IFERROR(__xludf.DUMMYFUNCTION("""COMPUTED_VALUE"""),41.2)</f>
        <v>41.2</v>
      </c>
      <c r="F25" s="1">
        <f>IFERROR(__xludf.DUMMYFUNCTION("""COMPUTED_VALUE"""),1.41475654E8)</f>
        <v>141475654</v>
      </c>
    </row>
    <row r="26" ht="15.75" customHeight="1">
      <c r="A26" s="10">
        <f>IFERROR(__xludf.DUMMYFUNCTION("""COMPUTED_VALUE"""),43860.64583333333)</f>
        <v>43860.64583</v>
      </c>
      <c r="B26" s="1">
        <f>IFERROR(__xludf.DUMMYFUNCTION("""COMPUTED_VALUE"""),40.8)</f>
        <v>40.8</v>
      </c>
      <c r="C26" s="1">
        <f>IFERROR(__xludf.DUMMYFUNCTION("""COMPUTED_VALUE"""),40.85)</f>
        <v>40.85</v>
      </c>
      <c r="D26" s="1">
        <f>IFERROR(__xludf.DUMMYFUNCTION("""COMPUTED_VALUE"""),38.55)</f>
        <v>38.55</v>
      </c>
      <c r="E26" s="1">
        <f>IFERROR(__xludf.DUMMYFUNCTION("""COMPUTED_VALUE"""),39.05)</f>
        <v>39.05</v>
      </c>
      <c r="F26" s="1">
        <f>IFERROR(__xludf.DUMMYFUNCTION("""COMPUTED_VALUE"""),1.50556233E8)</f>
        <v>150556233</v>
      </c>
    </row>
    <row r="27" ht="15.75" customHeight="1">
      <c r="A27" s="10">
        <f>IFERROR(__xludf.DUMMYFUNCTION("""COMPUTED_VALUE"""),43861.64583333333)</f>
        <v>43861.64583</v>
      </c>
      <c r="B27" s="1">
        <f>IFERROR(__xludf.DUMMYFUNCTION("""COMPUTED_VALUE"""),39.3)</f>
        <v>39.3</v>
      </c>
      <c r="C27" s="1">
        <f>IFERROR(__xludf.DUMMYFUNCTION("""COMPUTED_VALUE"""),40.2)</f>
        <v>40.2</v>
      </c>
      <c r="D27" s="1">
        <f>IFERROR(__xludf.DUMMYFUNCTION("""COMPUTED_VALUE"""),38.7)</f>
        <v>38.7</v>
      </c>
      <c r="E27" s="1">
        <f>IFERROR(__xludf.DUMMYFUNCTION("""COMPUTED_VALUE"""),39.25)</f>
        <v>39.25</v>
      </c>
      <c r="F27" s="1">
        <f>IFERROR(__xludf.DUMMYFUNCTION("""COMPUTED_VALUE"""),1.17636393E8)</f>
        <v>117636393</v>
      </c>
    </row>
    <row r="28" ht="15.75" customHeight="1">
      <c r="A28" s="10">
        <f>IFERROR(__xludf.DUMMYFUNCTION("""COMPUTED_VALUE"""),43862.70833333333)</f>
        <v>43862.70833</v>
      </c>
      <c r="B28" s="1">
        <f>IFERROR(__xludf.DUMMYFUNCTION("""COMPUTED_VALUE"""),39.15)</f>
        <v>39.15</v>
      </c>
      <c r="C28" s="1">
        <f>IFERROR(__xludf.DUMMYFUNCTION("""COMPUTED_VALUE"""),40.2)</f>
        <v>40.2</v>
      </c>
      <c r="D28" s="1">
        <f>IFERROR(__xludf.DUMMYFUNCTION("""COMPUTED_VALUE"""),37.6)</f>
        <v>37.6</v>
      </c>
      <c r="E28" s="1">
        <f>IFERROR(__xludf.DUMMYFUNCTION("""COMPUTED_VALUE"""),37.65)</f>
        <v>37.65</v>
      </c>
      <c r="F28" s="1">
        <f>IFERROR(__xludf.DUMMYFUNCTION("""COMPUTED_VALUE"""),9.9394268E7)</f>
        <v>99394268</v>
      </c>
    </row>
    <row r="29" ht="15.75" customHeight="1">
      <c r="A29" s="10">
        <f>IFERROR(__xludf.DUMMYFUNCTION("""COMPUTED_VALUE"""),43864.64583333333)</f>
        <v>43864.64583</v>
      </c>
      <c r="B29" s="1">
        <f>IFERROR(__xludf.DUMMYFUNCTION("""COMPUTED_VALUE"""),37.95)</f>
        <v>37.95</v>
      </c>
      <c r="C29" s="1">
        <f>IFERROR(__xludf.DUMMYFUNCTION("""COMPUTED_VALUE"""),38.4)</f>
        <v>38.4</v>
      </c>
      <c r="D29" s="1">
        <f>IFERROR(__xludf.DUMMYFUNCTION("""COMPUTED_VALUE"""),35.7)</f>
        <v>35.7</v>
      </c>
      <c r="E29" s="1">
        <f>IFERROR(__xludf.DUMMYFUNCTION("""COMPUTED_VALUE"""),36.0)</f>
        <v>36</v>
      </c>
      <c r="F29" s="1">
        <f>IFERROR(__xludf.DUMMYFUNCTION("""COMPUTED_VALUE"""),1.48030362E8)</f>
        <v>148030362</v>
      </c>
    </row>
    <row r="30" ht="15.75" customHeight="1">
      <c r="A30" s="10">
        <f>IFERROR(__xludf.DUMMYFUNCTION("""COMPUTED_VALUE"""),43865.64583333333)</f>
        <v>43865.64583</v>
      </c>
      <c r="B30" s="1">
        <f>IFERROR(__xludf.DUMMYFUNCTION("""COMPUTED_VALUE"""),36.15)</f>
        <v>36.15</v>
      </c>
      <c r="C30" s="1">
        <f>IFERROR(__xludf.DUMMYFUNCTION("""COMPUTED_VALUE"""),36.4)</f>
        <v>36.4</v>
      </c>
      <c r="D30" s="1">
        <f>IFERROR(__xludf.DUMMYFUNCTION("""COMPUTED_VALUE"""),34.45)</f>
        <v>34.45</v>
      </c>
      <c r="E30" s="1">
        <f>IFERROR(__xludf.DUMMYFUNCTION("""COMPUTED_VALUE"""),34.95)</f>
        <v>34.95</v>
      </c>
      <c r="F30" s="1">
        <f>IFERROR(__xludf.DUMMYFUNCTION("""COMPUTED_VALUE"""),1.38230643E8)</f>
        <v>138230643</v>
      </c>
    </row>
    <row r="31" ht="15.75" customHeight="1">
      <c r="A31" s="10">
        <f>IFERROR(__xludf.DUMMYFUNCTION("""COMPUTED_VALUE"""),43866.64583333333)</f>
        <v>43866.64583</v>
      </c>
      <c r="B31" s="1">
        <f>IFERROR(__xludf.DUMMYFUNCTION("""COMPUTED_VALUE"""),35.1)</f>
        <v>35.1</v>
      </c>
      <c r="C31" s="1">
        <f>IFERROR(__xludf.DUMMYFUNCTION("""COMPUTED_VALUE"""),39.7)</f>
        <v>39.7</v>
      </c>
      <c r="D31" s="1">
        <f>IFERROR(__xludf.DUMMYFUNCTION("""COMPUTED_VALUE"""),34.05)</f>
        <v>34.05</v>
      </c>
      <c r="E31" s="1">
        <f>IFERROR(__xludf.DUMMYFUNCTION("""COMPUTED_VALUE"""),37.6)</f>
        <v>37.6</v>
      </c>
      <c r="F31" s="1">
        <f>IFERROR(__xludf.DUMMYFUNCTION("""COMPUTED_VALUE"""),2.81100614E8)</f>
        <v>281100614</v>
      </c>
    </row>
    <row r="32" ht="15.75" customHeight="1">
      <c r="A32" s="10">
        <f>IFERROR(__xludf.DUMMYFUNCTION("""COMPUTED_VALUE"""),43867.64583333333)</f>
        <v>43867.64583</v>
      </c>
      <c r="B32" s="1">
        <f>IFERROR(__xludf.DUMMYFUNCTION("""COMPUTED_VALUE"""),37.9)</f>
        <v>37.9</v>
      </c>
      <c r="C32" s="1">
        <f>IFERROR(__xludf.DUMMYFUNCTION("""COMPUTED_VALUE"""),39.5)</f>
        <v>39.5</v>
      </c>
      <c r="D32" s="1">
        <f>IFERROR(__xludf.DUMMYFUNCTION("""COMPUTED_VALUE"""),37.8)</f>
        <v>37.8</v>
      </c>
      <c r="E32" s="1">
        <f>IFERROR(__xludf.DUMMYFUNCTION("""COMPUTED_VALUE"""),38.55)</f>
        <v>38.55</v>
      </c>
      <c r="F32" s="1">
        <f>IFERROR(__xludf.DUMMYFUNCTION("""COMPUTED_VALUE"""),1.35268292E8)</f>
        <v>135268292</v>
      </c>
    </row>
    <row r="33" ht="15.75" customHeight="1">
      <c r="A33" s="10">
        <f>IFERROR(__xludf.DUMMYFUNCTION("""COMPUTED_VALUE"""),43868.64583333333)</f>
        <v>43868.64583</v>
      </c>
      <c r="B33" s="1">
        <f>IFERROR(__xludf.DUMMYFUNCTION("""COMPUTED_VALUE"""),38.8)</f>
        <v>38.8</v>
      </c>
      <c r="C33" s="1">
        <f>IFERROR(__xludf.DUMMYFUNCTION("""COMPUTED_VALUE"""),39.95)</f>
        <v>39.95</v>
      </c>
      <c r="D33" s="1">
        <f>IFERROR(__xludf.DUMMYFUNCTION("""COMPUTED_VALUE"""),38.15)</f>
        <v>38.15</v>
      </c>
      <c r="E33" s="1">
        <f>IFERROR(__xludf.DUMMYFUNCTION("""COMPUTED_VALUE"""),38.7)</f>
        <v>38.7</v>
      </c>
      <c r="F33" s="1">
        <f>IFERROR(__xludf.DUMMYFUNCTION("""COMPUTED_VALUE"""),1.27163152E8)</f>
        <v>127163152</v>
      </c>
    </row>
    <row r="34" ht="15.75" customHeight="1">
      <c r="A34" s="10">
        <f>IFERROR(__xludf.DUMMYFUNCTION("""COMPUTED_VALUE"""),43871.64583333333)</f>
        <v>43871.64583</v>
      </c>
      <c r="B34" s="1">
        <f>IFERROR(__xludf.DUMMYFUNCTION("""COMPUTED_VALUE"""),40.0)</f>
        <v>40</v>
      </c>
      <c r="C34" s="1">
        <f>IFERROR(__xludf.DUMMYFUNCTION("""COMPUTED_VALUE"""),40.75)</f>
        <v>40.75</v>
      </c>
      <c r="D34" s="1">
        <f>IFERROR(__xludf.DUMMYFUNCTION("""COMPUTED_VALUE"""),37.1)</f>
        <v>37.1</v>
      </c>
      <c r="E34" s="1">
        <f>IFERROR(__xludf.DUMMYFUNCTION("""COMPUTED_VALUE"""),37.55)</f>
        <v>37.55</v>
      </c>
      <c r="F34" s="1">
        <f>IFERROR(__xludf.DUMMYFUNCTION("""COMPUTED_VALUE"""),1.42245961E8)</f>
        <v>142245961</v>
      </c>
    </row>
    <row r="35" ht="15.75" customHeight="1">
      <c r="A35" s="10">
        <f>IFERROR(__xludf.DUMMYFUNCTION("""COMPUTED_VALUE"""),43872.64583333333)</f>
        <v>43872.64583</v>
      </c>
      <c r="B35" s="1">
        <f>IFERROR(__xludf.DUMMYFUNCTION("""COMPUTED_VALUE"""),37.75)</f>
        <v>37.75</v>
      </c>
      <c r="C35" s="1">
        <f>IFERROR(__xludf.DUMMYFUNCTION("""COMPUTED_VALUE"""),38.1)</f>
        <v>38.1</v>
      </c>
      <c r="D35" s="1">
        <f>IFERROR(__xludf.DUMMYFUNCTION("""COMPUTED_VALUE"""),36.7)</f>
        <v>36.7</v>
      </c>
      <c r="E35" s="1">
        <f>IFERROR(__xludf.DUMMYFUNCTION("""COMPUTED_VALUE"""),36.85)</f>
        <v>36.85</v>
      </c>
      <c r="F35" s="1">
        <f>IFERROR(__xludf.DUMMYFUNCTION("""COMPUTED_VALUE"""),9.6791648E7)</f>
        <v>96791648</v>
      </c>
    </row>
    <row r="36" ht="15.75" customHeight="1">
      <c r="A36" s="10">
        <f>IFERROR(__xludf.DUMMYFUNCTION("""COMPUTED_VALUE"""),43873.64583333333)</f>
        <v>43873.64583</v>
      </c>
      <c r="B36" s="1">
        <f>IFERROR(__xludf.DUMMYFUNCTION("""COMPUTED_VALUE"""),36.75)</f>
        <v>36.75</v>
      </c>
      <c r="C36" s="1">
        <f>IFERROR(__xludf.DUMMYFUNCTION("""COMPUTED_VALUE"""),36.75)</f>
        <v>36.75</v>
      </c>
      <c r="D36" s="1">
        <f>IFERROR(__xludf.DUMMYFUNCTION("""COMPUTED_VALUE"""),35.05)</f>
        <v>35.05</v>
      </c>
      <c r="E36" s="1">
        <f>IFERROR(__xludf.DUMMYFUNCTION("""COMPUTED_VALUE"""),35.2)</f>
        <v>35.2</v>
      </c>
      <c r="F36" s="1">
        <f>IFERROR(__xludf.DUMMYFUNCTION("""COMPUTED_VALUE"""),1.01372754E8)</f>
        <v>101372754</v>
      </c>
    </row>
    <row r="37" ht="15.75" customHeight="1">
      <c r="A37" s="10">
        <f>IFERROR(__xludf.DUMMYFUNCTION("""COMPUTED_VALUE"""),43874.64583333333)</f>
        <v>43874.64583</v>
      </c>
      <c r="B37" s="1">
        <f>IFERROR(__xludf.DUMMYFUNCTION("""COMPUTED_VALUE"""),36.95)</f>
        <v>36.95</v>
      </c>
      <c r="C37" s="1">
        <f>IFERROR(__xludf.DUMMYFUNCTION("""COMPUTED_VALUE"""),38.0)</f>
        <v>38</v>
      </c>
      <c r="D37" s="1">
        <f>IFERROR(__xludf.DUMMYFUNCTION("""COMPUTED_VALUE"""),36.0)</f>
        <v>36</v>
      </c>
      <c r="E37" s="1">
        <f>IFERROR(__xludf.DUMMYFUNCTION("""COMPUTED_VALUE"""),37.2)</f>
        <v>37.2</v>
      </c>
      <c r="F37" s="1">
        <f>IFERROR(__xludf.DUMMYFUNCTION("""COMPUTED_VALUE"""),1.68339964E8)</f>
        <v>168339964</v>
      </c>
    </row>
    <row r="38" ht="15.75" customHeight="1">
      <c r="A38" s="10">
        <f>IFERROR(__xludf.DUMMYFUNCTION("""COMPUTED_VALUE"""),43875.64583333333)</f>
        <v>43875.64583</v>
      </c>
      <c r="B38" s="1">
        <f>IFERROR(__xludf.DUMMYFUNCTION("""COMPUTED_VALUE"""),37.5)</f>
        <v>37.5</v>
      </c>
      <c r="C38" s="1">
        <f>IFERROR(__xludf.DUMMYFUNCTION("""COMPUTED_VALUE"""),40.2)</f>
        <v>40.2</v>
      </c>
      <c r="D38" s="1">
        <f>IFERROR(__xludf.DUMMYFUNCTION("""COMPUTED_VALUE"""),37.5)</f>
        <v>37.5</v>
      </c>
      <c r="E38" s="1">
        <f>IFERROR(__xludf.DUMMYFUNCTION("""COMPUTED_VALUE"""),38.9)</f>
        <v>38.9</v>
      </c>
      <c r="F38" s="1">
        <f>IFERROR(__xludf.DUMMYFUNCTION("""COMPUTED_VALUE"""),1.87898337E8)</f>
        <v>187898337</v>
      </c>
    </row>
    <row r="39" ht="15.75" customHeight="1">
      <c r="A39" s="10">
        <f>IFERROR(__xludf.DUMMYFUNCTION("""COMPUTED_VALUE"""),43878.64583333333)</f>
        <v>43878.64583</v>
      </c>
      <c r="B39" s="1">
        <f>IFERROR(__xludf.DUMMYFUNCTION("""COMPUTED_VALUE"""),39.5)</f>
        <v>39.5</v>
      </c>
      <c r="C39" s="1">
        <f>IFERROR(__xludf.DUMMYFUNCTION("""COMPUTED_VALUE"""),40.1)</f>
        <v>40.1</v>
      </c>
      <c r="D39" s="1">
        <f>IFERROR(__xludf.DUMMYFUNCTION("""COMPUTED_VALUE"""),36.6)</f>
        <v>36.6</v>
      </c>
      <c r="E39" s="1">
        <f>IFERROR(__xludf.DUMMYFUNCTION("""COMPUTED_VALUE"""),37.15)</f>
        <v>37.15</v>
      </c>
      <c r="F39" s="1">
        <f>IFERROR(__xludf.DUMMYFUNCTION("""COMPUTED_VALUE"""),1.16075992E8)</f>
        <v>116075992</v>
      </c>
    </row>
    <row r="40" ht="15.75" customHeight="1">
      <c r="A40" s="10">
        <f>IFERROR(__xludf.DUMMYFUNCTION("""COMPUTED_VALUE"""),43879.64583333333)</f>
        <v>43879.64583</v>
      </c>
      <c r="B40" s="1">
        <f>IFERROR(__xludf.DUMMYFUNCTION("""COMPUTED_VALUE"""),37.35)</f>
        <v>37.35</v>
      </c>
      <c r="C40" s="1">
        <f>IFERROR(__xludf.DUMMYFUNCTION("""COMPUTED_VALUE"""),37.5)</f>
        <v>37.5</v>
      </c>
      <c r="D40" s="1">
        <f>IFERROR(__xludf.DUMMYFUNCTION("""COMPUTED_VALUE"""),33.65)</f>
        <v>33.65</v>
      </c>
      <c r="E40" s="1">
        <f>IFERROR(__xludf.DUMMYFUNCTION("""COMPUTED_VALUE"""),35.05)</f>
        <v>35.05</v>
      </c>
      <c r="F40" s="1">
        <f>IFERROR(__xludf.DUMMYFUNCTION("""COMPUTED_VALUE"""),2.29070225E8)</f>
        <v>229070225</v>
      </c>
    </row>
    <row r="41" ht="15.75" customHeight="1">
      <c r="A41" s="10">
        <f>IFERROR(__xludf.DUMMYFUNCTION("""COMPUTED_VALUE"""),43880.64583333333)</f>
        <v>43880.64583</v>
      </c>
      <c r="B41" s="1">
        <f>IFERROR(__xludf.DUMMYFUNCTION("""COMPUTED_VALUE"""),34.0)</f>
        <v>34</v>
      </c>
      <c r="C41" s="1">
        <f>IFERROR(__xludf.DUMMYFUNCTION("""COMPUTED_VALUE"""),36.2)</f>
        <v>36.2</v>
      </c>
      <c r="D41" s="1">
        <f>IFERROR(__xludf.DUMMYFUNCTION("""COMPUTED_VALUE"""),33.6)</f>
        <v>33.6</v>
      </c>
      <c r="E41" s="1">
        <f>IFERROR(__xludf.DUMMYFUNCTION("""COMPUTED_VALUE"""),35.3)</f>
        <v>35.3</v>
      </c>
      <c r="F41" s="1">
        <f>IFERROR(__xludf.DUMMYFUNCTION("""COMPUTED_VALUE"""),1.27701131E8)</f>
        <v>127701131</v>
      </c>
    </row>
    <row r="42" ht="15.75" customHeight="1">
      <c r="A42" s="10">
        <f>IFERROR(__xludf.DUMMYFUNCTION("""COMPUTED_VALUE"""),43881.64583333333)</f>
        <v>43881.64583</v>
      </c>
      <c r="B42" s="1">
        <f>IFERROR(__xludf.DUMMYFUNCTION("""COMPUTED_VALUE"""),35.3)</f>
        <v>35.3</v>
      </c>
      <c r="C42" s="1">
        <f>IFERROR(__xludf.DUMMYFUNCTION("""COMPUTED_VALUE"""),36.5)</f>
        <v>36.5</v>
      </c>
      <c r="D42" s="1">
        <f>IFERROR(__xludf.DUMMYFUNCTION("""COMPUTED_VALUE"""),34.65)</f>
        <v>34.65</v>
      </c>
      <c r="E42" s="1">
        <f>IFERROR(__xludf.DUMMYFUNCTION("""COMPUTED_VALUE"""),35.45)</f>
        <v>35.45</v>
      </c>
      <c r="F42" s="1">
        <f>IFERROR(__xludf.DUMMYFUNCTION("""COMPUTED_VALUE"""),1.19436898E8)</f>
        <v>119436898</v>
      </c>
    </row>
    <row r="43" ht="15.75" customHeight="1">
      <c r="A43" s="10">
        <f>IFERROR(__xludf.DUMMYFUNCTION("""COMPUTED_VALUE"""),43885.64583333333)</f>
        <v>43885.64583</v>
      </c>
      <c r="B43" s="1">
        <f>IFERROR(__xludf.DUMMYFUNCTION("""COMPUTED_VALUE"""),35.5)</f>
        <v>35.5</v>
      </c>
      <c r="C43" s="1">
        <f>IFERROR(__xludf.DUMMYFUNCTION("""COMPUTED_VALUE"""),35.9)</f>
        <v>35.9</v>
      </c>
      <c r="D43" s="1">
        <f>IFERROR(__xludf.DUMMYFUNCTION("""COMPUTED_VALUE"""),34.15)</f>
        <v>34.15</v>
      </c>
      <c r="E43" s="1">
        <f>IFERROR(__xludf.DUMMYFUNCTION("""COMPUTED_VALUE"""),34.95)</f>
        <v>34.95</v>
      </c>
      <c r="F43" s="1">
        <f>IFERROR(__xludf.DUMMYFUNCTION("""COMPUTED_VALUE"""),1.05851722E8)</f>
        <v>105851722</v>
      </c>
    </row>
    <row r="44" ht="15.75" customHeight="1">
      <c r="A44" s="10">
        <f>IFERROR(__xludf.DUMMYFUNCTION("""COMPUTED_VALUE"""),43886.64583333333)</f>
        <v>43886.64583</v>
      </c>
      <c r="B44" s="1">
        <f>IFERROR(__xludf.DUMMYFUNCTION("""COMPUTED_VALUE"""),35.25)</f>
        <v>35.25</v>
      </c>
      <c r="C44" s="1">
        <f>IFERROR(__xludf.DUMMYFUNCTION("""COMPUTED_VALUE"""),36.0)</f>
        <v>36</v>
      </c>
      <c r="D44" s="1">
        <f>IFERROR(__xludf.DUMMYFUNCTION("""COMPUTED_VALUE"""),34.75)</f>
        <v>34.75</v>
      </c>
      <c r="E44" s="1">
        <f>IFERROR(__xludf.DUMMYFUNCTION("""COMPUTED_VALUE"""),35.15)</f>
        <v>35.15</v>
      </c>
      <c r="F44" s="1">
        <f>IFERROR(__xludf.DUMMYFUNCTION("""COMPUTED_VALUE"""),8.8184594E7)</f>
        <v>88184594</v>
      </c>
    </row>
    <row r="45" ht="15.75" customHeight="1">
      <c r="A45" s="10">
        <f>IFERROR(__xludf.DUMMYFUNCTION("""COMPUTED_VALUE"""),43887.64583333333)</f>
        <v>43887.64583</v>
      </c>
      <c r="B45" s="1">
        <f>IFERROR(__xludf.DUMMYFUNCTION("""COMPUTED_VALUE"""),34.9)</f>
        <v>34.9</v>
      </c>
      <c r="C45" s="1">
        <f>IFERROR(__xludf.DUMMYFUNCTION("""COMPUTED_VALUE"""),37.05)</f>
        <v>37.05</v>
      </c>
      <c r="D45" s="1">
        <f>IFERROR(__xludf.DUMMYFUNCTION("""COMPUTED_VALUE"""),34.45)</f>
        <v>34.45</v>
      </c>
      <c r="E45" s="1">
        <f>IFERROR(__xludf.DUMMYFUNCTION("""COMPUTED_VALUE"""),36.55)</f>
        <v>36.55</v>
      </c>
      <c r="F45" s="1">
        <f>IFERROR(__xludf.DUMMYFUNCTION("""COMPUTED_VALUE"""),1.49229469E8)</f>
        <v>149229469</v>
      </c>
    </row>
    <row r="46" ht="15.75" customHeight="1">
      <c r="A46" s="10">
        <f>IFERROR(__xludf.DUMMYFUNCTION("""COMPUTED_VALUE"""),43888.64583333333)</f>
        <v>43888.64583</v>
      </c>
      <c r="B46" s="1">
        <f>IFERROR(__xludf.DUMMYFUNCTION("""COMPUTED_VALUE"""),37.3)</f>
        <v>37.3</v>
      </c>
      <c r="C46" s="1">
        <f>IFERROR(__xludf.DUMMYFUNCTION("""COMPUTED_VALUE"""),37.95)</f>
        <v>37.95</v>
      </c>
      <c r="D46" s="1">
        <f>IFERROR(__xludf.DUMMYFUNCTION("""COMPUTED_VALUE"""),36.0)</f>
        <v>36</v>
      </c>
      <c r="E46" s="1">
        <f>IFERROR(__xludf.DUMMYFUNCTION("""COMPUTED_VALUE"""),36.8)</f>
        <v>36.8</v>
      </c>
      <c r="F46" s="1">
        <f>IFERROR(__xludf.DUMMYFUNCTION("""COMPUTED_VALUE"""),1.6431537E8)</f>
        <v>164315370</v>
      </c>
    </row>
    <row r="47" ht="15.75" customHeight="1">
      <c r="A47" s="10">
        <f>IFERROR(__xludf.DUMMYFUNCTION("""COMPUTED_VALUE"""),43889.64583333333)</f>
        <v>43889.64583</v>
      </c>
      <c r="B47" s="1">
        <f>IFERROR(__xludf.DUMMYFUNCTION("""COMPUTED_VALUE"""),35.15)</f>
        <v>35.15</v>
      </c>
      <c r="C47" s="1">
        <f>IFERROR(__xludf.DUMMYFUNCTION("""COMPUTED_VALUE"""),35.85)</f>
        <v>35.85</v>
      </c>
      <c r="D47" s="1">
        <f>IFERROR(__xludf.DUMMYFUNCTION("""COMPUTED_VALUE"""),34.3)</f>
        <v>34.3</v>
      </c>
      <c r="E47" s="1">
        <f>IFERROR(__xludf.DUMMYFUNCTION("""COMPUTED_VALUE"""),34.6)</f>
        <v>34.6</v>
      </c>
      <c r="F47" s="1">
        <f>IFERROR(__xludf.DUMMYFUNCTION("""COMPUTED_VALUE"""),1.41720001E8)</f>
        <v>141720001</v>
      </c>
    </row>
    <row r="48" ht="15.75" customHeight="1">
      <c r="A48" s="10">
        <f>IFERROR(__xludf.DUMMYFUNCTION("""COMPUTED_VALUE"""),43892.64583333333)</f>
        <v>43892.64583</v>
      </c>
      <c r="B48" s="1">
        <f>IFERROR(__xludf.DUMMYFUNCTION("""COMPUTED_VALUE"""),35.2)</f>
        <v>35.2</v>
      </c>
      <c r="C48" s="1">
        <f>IFERROR(__xludf.DUMMYFUNCTION("""COMPUTED_VALUE"""),35.55)</f>
        <v>35.55</v>
      </c>
      <c r="D48" s="1">
        <f>IFERROR(__xludf.DUMMYFUNCTION("""COMPUTED_VALUE"""),29.8)</f>
        <v>29.8</v>
      </c>
      <c r="E48" s="1">
        <f>IFERROR(__xludf.DUMMYFUNCTION("""COMPUTED_VALUE"""),31.55)</f>
        <v>31.55</v>
      </c>
      <c r="F48" s="1">
        <f>IFERROR(__xludf.DUMMYFUNCTION("""COMPUTED_VALUE"""),1.27750922E8)</f>
        <v>127750922</v>
      </c>
    </row>
    <row r="49" ht="15.75" customHeight="1">
      <c r="A49" s="10">
        <f>IFERROR(__xludf.DUMMYFUNCTION("""COMPUTED_VALUE"""),43893.64583333333)</f>
        <v>43893.64583</v>
      </c>
      <c r="B49" s="1">
        <f>IFERROR(__xludf.DUMMYFUNCTION("""COMPUTED_VALUE"""),32.45)</f>
        <v>32.45</v>
      </c>
      <c r="C49" s="1">
        <f>IFERROR(__xludf.DUMMYFUNCTION("""COMPUTED_VALUE"""),33.3)</f>
        <v>33.3</v>
      </c>
      <c r="D49" s="1">
        <f>IFERROR(__xludf.DUMMYFUNCTION("""COMPUTED_VALUE"""),30.5)</f>
        <v>30.5</v>
      </c>
      <c r="E49" s="1">
        <f>IFERROR(__xludf.DUMMYFUNCTION("""COMPUTED_VALUE"""),31.2)</f>
        <v>31.2</v>
      </c>
      <c r="F49" s="1">
        <f>IFERROR(__xludf.DUMMYFUNCTION("""COMPUTED_VALUE"""),1.64268356E8)</f>
        <v>164268356</v>
      </c>
    </row>
    <row r="50" ht="15.75" customHeight="1">
      <c r="A50" s="10">
        <f>IFERROR(__xludf.DUMMYFUNCTION("""COMPUTED_VALUE"""),43894.64583333333)</f>
        <v>43894.64583</v>
      </c>
      <c r="B50" s="1">
        <f>IFERROR(__xludf.DUMMYFUNCTION("""COMPUTED_VALUE"""),31.5)</f>
        <v>31.5</v>
      </c>
      <c r="C50" s="1">
        <f>IFERROR(__xludf.DUMMYFUNCTION("""COMPUTED_VALUE"""),31.7)</f>
        <v>31.7</v>
      </c>
      <c r="D50" s="1">
        <f>IFERROR(__xludf.DUMMYFUNCTION("""COMPUTED_VALUE"""),28.7)</f>
        <v>28.7</v>
      </c>
      <c r="E50" s="1">
        <f>IFERROR(__xludf.DUMMYFUNCTION("""COMPUTED_VALUE"""),29.3)</f>
        <v>29.3</v>
      </c>
      <c r="F50" s="1">
        <f>IFERROR(__xludf.DUMMYFUNCTION("""COMPUTED_VALUE"""),2.02851281E8)</f>
        <v>202851281</v>
      </c>
    </row>
    <row r="51" ht="15.75" customHeight="1">
      <c r="A51" s="10">
        <f>IFERROR(__xludf.DUMMYFUNCTION("""COMPUTED_VALUE"""),43895.64583333333)</f>
        <v>43895.64583</v>
      </c>
      <c r="B51" s="1">
        <f>IFERROR(__xludf.DUMMYFUNCTION("""COMPUTED_VALUE"""),29.4)</f>
        <v>29.4</v>
      </c>
      <c r="C51" s="1">
        <f>IFERROR(__xludf.DUMMYFUNCTION("""COMPUTED_VALUE"""),37.85)</f>
        <v>37.85</v>
      </c>
      <c r="D51" s="1">
        <f>IFERROR(__xludf.DUMMYFUNCTION("""COMPUTED_VALUE"""),28.0)</f>
        <v>28</v>
      </c>
      <c r="E51" s="1">
        <f>IFERROR(__xludf.DUMMYFUNCTION("""COMPUTED_VALUE"""),36.8)</f>
        <v>36.8</v>
      </c>
      <c r="F51" s="1">
        <f>IFERROR(__xludf.DUMMYFUNCTION("""COMPUTED_VALUE"""),7.8470331E8)</f>
        <v>784703310</v>
      </c>
    </row>
    <row r="52" ht="15.75" customHeight="1">
      <c r="A52" s="10">
        <f>IFERROR(__xludf.DUMMYFUNCTION("""COMPUTED_VALUE"""),43896.64583333333)</f>
        <v>43896.64583</v>
      </c>
      <c r="B52" s="1">
        <f>IFERROR(__xludf.DUMMYFUNCTION("""COMPUTED_VALUE"""),33.15)</f>
        <v>33.15</v>
      </c>
      <c r="C52" s="1">
        <f>IFERROR(__xludf.DUMMYFUNCTION("""COMPUTED_VALUE"""),33.15)</f>
        <v>33.15</v>
      </c>
      <c r="D52" s="1">
        <f>IFERROR(__xludf.DUMMYFUNCTION("""COMPUTED_VALUE"""),5.65)</f>
        <v>5.65</v>
      </c>
      <c r="E52" s="1">
        <f>IFERROR(__xludf.DUMMYFUNCTION("""COMPUTED_VALUE"""),16.15)</f>
        <v>16.15</v>
      </c>
      <c r="F52" s="1">
        <f>IFERROR(__xludf.DUMMYFUNCTION("""COMPUTED_VALUE"""),1.91175895E8)</f>
        <v>191175895</v>
      </c>
    </row>
    <row r="53" ht="15.75" customHeight="1">
      <c r="A53" s="10">
        <f>IFERROR(__xludf.DUMMYFUNCTION("""COMPUTED_VALUE"""),43899.64583333333)</f>
        <v>43899.64583</v>
      </c>
      <c r="B53" s="1">
        <f>IFERROR(__xludf.DUMMYFUNCTION("""COMPUTED_VALUE"""),17.0)</f>
        <v>17</v>
      </c>
      <c r="C53" s="1">
        <f>IFERROR(__xludf.DUMMYFUNCTION("""COMPUTED_VALUE"""),22.8)</f>
        <v>22.8</v>
      </c>
      <c r="D53" s="1">
        <f>IFERROR(__xludf.DUMMYFUNCTION("""COMPUTED_VALUE"""),16.2)</f>
        <v>16.2</v>
      </c>
      <c r="E53" s="1">
        <f>IFERROR(__xludf.DUMMYFUNCTION("""COMPUTED_VALUE"""),21.25)</f>
        <v>21.25</v>
      </c>
      <c r="F53" s="1">
        <f>IFERROR(__xludf.DUMMYFUNCTION("""COMPUTED_VALUE"""),7.27571816E8)</f>
        <v>727571816</v>
      </c>
    </row>
    <row r="54" ht="15.75" customHeight="1">
      <c r="A54" s="10">
        <f>IFERROR(__xludf.DUMMYFUNCTION("""COMPUTED_VALUE"""),43901.64583333333)</f>
        <v>43901.64583</v>
      </c>
      <c r="B54" s="1">
        <f>IFERROR(__xludf.DUMMYFUNCTION("""COMPUTED_VALUE"""),23.35)</f>
        <v>23.35</v>
      </c>
      <c r="C54" s="1">
        <f>IFERROR(__xludf.DUMMYFUNCTION("""COMPUTED_VALUE"""),29.6)</f>
        <v>29.6</v>
      </c>
      <c r="D54" s="1">
        <f>IFERROR(__xludf.DUMMYFUNCTION("""COMPUTED_VALUE"""),23.35)</f>
        <v>23.35</v>
      </c>
      <c r="E54" s="1">
        <f>IFERROR(__xludf.DUMMYFUNCTION("""COMPUTED_VALUE"""),28.8)</f>
        <v>28.8</v>
      </c>
      <c r="F54" s="1">
        <f>IFERROR(__xludf.DUMMYFUNCTION("""COMPUTED_VALUE"""),4.13676527E8)</f>
        <v>413676527</v>
      </c>
    </row>
    <row r="55" ht="15.75" customHeight="1">
      <c r="A55" s="10">
        <f>IFERROR(__xludf.DUMMYFUNCTION("""COMPUTED_VALUE"""),43902.64583333333)</f>
        <v>43902.64583</v>
      </c>
      <c r="B55" s="1">
        <f>IFERROR(__xludf.DUMMYFUNCTION("""COMPUTED_VALUE"""),28.7)</f>
        <v>28.7</v>
      </c>
      <c r="C55" s="1">
        <f>IFERROR(__xludf.DUMMYFUNCTION("""COMPUTED_VALUE"""),28.7)</f>
        <v>28.7</v>
      </c>
      <c r="D55" s="1">
        <f>IFERROR(__xludf.DUMMYFUNCTION("""COMPUTED_VALUE"""),17.45)</f>
        <v>17.45</v>
      </c>
      <c r="E55" s="1">
        <f>IFERROR(__xludf.DUMMYFUNCTION("""COMPUTED_VALUE"""),25.05)</f>
        <v>25.05</v>
      </c>
      <c r="F55" s="1">
        <f>IFERROR(__xludf.DUMMYFUNCTION("""COMPUTED_VALUE"""),3.37812521E8)</f>
        <v>337812521</v>
      </c>
    </row>
    <row r="56" ht="15.75" customHeight="1">
      <c r="A56" s="10">
        <f>IFERROR(__xludf.DUMMYFUNCTION("""COMPUTED_VALUE"""),43903.64583333333)</f>
        <v>43903.64583</v>
      </c>
      <c r="B56" s="1">
        <f>IFERROR(__xludf.DUMMYFUNCTION("""COMPUTED_VALUE"""),22.55)</f>
        <v>22.55</v>
      </c>
      <c r="C56" s="1">
        <f>IFERROR(__xludf.DUMMYFUNCTION("""COMPUTED_VALUE"""),27.7)</f>
        <v>27.7</v>
      </c>
      <c r="D56" s="1">
        <f>IFERROR(__xludf.DUMMYFUNCTION("""COMPUTED_VALUE"""),21.35)</f>
        <v>21.35</v>
      </c>
      <c r="E56" s="1">
        <f>IFERROR(__xludf.DUMMYFUNCTION("""COMPUTED_VALUE"""),25.55)</f>
        <v>25.55</v>
      </c>
      <c r="F56" s="1">
        <f>IFERROR(__xludf.DUMMYFUNCTION("""COMPUTED_VALUE"""),2.76663954E8)</f>
        <v>276663954</v>
      </c>
    </row>
    <row r="57" ht="15.75" customHeight="1">
      <c r="A57" s="10">
        <f>IFERROR(__xludf.DUMMYFUNCTION("""COMPUTED_VALUE"""),43906.64583333333)</f>
        <v>43906.64583</v>
      </c>
      <c r="B57" s="1">
        <f>IFERROR(__xludf.DUMMYFUNCTION("""COMPUTED_VALUE"""),26.7)</f>
        <v>26.7</v>
      </c>
      <c r="C57" s="1">
        <f>IFERROR(__xludf.DUMMYFUNCTION("""COMPUTED_VALUE"""),40.4)</f>
        <v>40.4</v>
      </c>
      <c r="D57" s="1">
        <f>IFERROR(__xludf.DUMMYFUNCTION("""COMPUTED_VALUE"""),26.05)</f>
        <v>26.05</v>
      </c>
      <c r="E57" s="1">
        <f>IFERROR(__xludf.DUMMYFUNCTION("""COMPUTED_VALUE"""),37.1)</f>
        <v>37.1</v>
      </c>
      <c r="F57" s="1">
        <f>IFERROR(__xludf.DUMMYFUNCTION("""COMPUTED_VALUE"""),1.66521851E8)</f>
        <v>166521851</v>
      </c>
    </row>
    <row r="58" ht="15.75" customHeight="1">
      <c r="A58" s="10">
        <f>IFERROR(__xludf.DUMMYFUNCTION("""COMPUTED_VALUE"""),43907.64583333333)</f>
        <v>43907.64583</v>
      </c>
      <c r="B58" s="1">
        <f>IFERROR(__xludf.DUMMYFUNCTION("""COMPUTED_VALUE"""),40.8)</f>
        <v>40.8</v>
      </c>
      <c r="C58" s="1">
        <f>IFERROR(__xludf.DUMMYFUNCTION("""COMPUTED_VALUE"""),64.9)</f>
        <v>64.9</v>
      </c>
      <c r="D58" s="1">
        <f>IFERROR(__xludf.DUMMYFUNCTION("""COMPUTED_VALUE"""),40.8)</f>
        <v>40.8</v>
      </c>
      <c r="E58" s="1">
        <f>IFERROR(__xludf.DUMMYFUNCTION("""COMPUTED_VALUE"""),58.65)</f>
        <v>58.65</v>
      </c>
      <c r="F58" s="1">
        <f>IFERROR(__xludf.DUMMYFUNCTION("""COMPUTED_VALUE"""),2.23463025E8)</f>
        <v>223463025</v>
      </c>
    </row>
    <row r="59" ht="15.75" customHeight="1">
      <c r="A59" s="10">
        <f>IFERROR(__xludf.DUMMYFUNCTION("""COMPUTED_VALUE"""),43908.64583333333)</f>
        <v>43908.64583</v>
      </c>
      <c r="B59" s="1">
        <f>IFERROR(__xludf.DUMMYFUNCTION("""COMPUTED_VALUE"""),64.5)</f>
        <v>64.5</v>
      </c>
      <c r="C59" s="1">
        <f>IFERROR(__xludf.DUMMYFUNCTION("""COMPUTED_VALUE"""),87.3)</f>
        <v>87.3</v>
      </c>
      <c r="D59" s="1">
        <f>IFERROR(__xludf.DUMMYFUNCTION("""COMPUTED_VALUE"""),49.9)</f>
        <v>49.9</v>
      </c>
      <c r="E59" s="1">
        <f>IFERROR(__xludf.DUMMYFUNCTION("""COMPUTED_VALUE"""),60.45)</f>
        <v>60.45</v>
      </c>
      <c r="F59" s="1">
        <f>IFERROR(__xludf.DUMMYFUNCTION("""COMPUTED_VALUE"""),3.64152383E8)</f>
        <v>364152383</v>
      </c>
    </row>
    <row r="60" ht="15.75" customHeight="1">
      <c r="A60" s="10">
        <f>IFERROR(__xludf.DUMMYFUNCTION("""COMPUTED_VALUE"""),43909.64583333333)</f>
        <v>43909.64583</v>
      </c>
      <c r="B60" s="1">
        <f>IFERROR(__xludf.DUMMYFUNCTION("""COMPUTED_VALUE"""),61.65)</f>
        <v>61.65</v>
      </c>
      <c r="C60" s="1">
        <f>IFERROR(__xludf.DUMMYFUNCTION("""COMPUTED_VALUE"""),61.8)</f>
        <v>61.8</v>
      </c>
      <c r="D60" s="1">
        <f>IFERROR(__xludf.DUMMYFUNCTION("""COMPUTED_VALUE"""),42.8)</f>
        <v>42.8</v>
      </c>
      <c r="E60" s="1">
        <f>IFERROR(__xludf.DUMMYFUNCTION("""COMPUTED_VALUE"""),53.85)</f>
        <v>53.85</v>
      </c>
      <c r="F60" s="1">
        <f>IFERROR(__xludf.DUMMYFUNCTION("""COMPUTED_VALUE"""),1.47327988E8)</f>
        <v>147327988</v>
      </c>
    </row>
    <row r="61" ht="15.75" customHeight="1">
      <c r="A61" s="10">
        <f>IFERROR(__xludf.DUMMYFUNCTION("""COMPUTED_VALUE"""),43910.64583333333)</f>
        <v>43910.64583</v>
      </c>
      <c r="B61" s="1">
        <f>IFERROR(__xludf.DUMMYFUNCTION("""COMPUTED_VALUE"""),59.2)</f>
        <v>59.2</v>
      </c>
      <c r="C61" s="1">
        <f>IFERROR(__xludf.DUMMYFUNCTION("""COMPUTED_VALUE"""),67.3)</f>
        <v>67.3</v>
      </c>
      <c r="D61" s="1">
        <f>IFERROR(__xludf.DUMMYFUNCTION("""COMPUTED_VALUE"""),41.25)</f>
        <v>41.25</v>
      </c>
      <c r="E61" s="1">
        <f>IFERROR(__xludf.DUMMYFUNCTION("""COMPUTED_VALUE"""),45.85)</f>
        <v>45.85</v>
      </c>
      <c r="F61" s="1">
        <f>IFERROR(__xludf.DUMMYFUNCTION("""COMPUTED_VALUE"""),1.18192981E8)</f>
        <v>118192981</v>
      </c>
    </row>
    <row r="62" ht="15.75" customHeight="1">
      <c r="A62" s="10">
        <f>IFERROR(__xludf.DUMMYFUNCTION("""COMPUTED_VALUE"""),43913.64583333333)</f>
        <v>43913.64583</v>
      </c>
      <c r="B62" s="1">
        <f>IFERROR(__xludf.DUMMYFUNCTION("""COMPUTED_VALUE"""),41.3)</f>
        <v>41.3</v>
      </c>
      <c r="C62" s="1">
        <f>IFERROR(__xludf.DUMMYFUNCTION("""COMPUTED_VALUE"""),49.5)</f>
        <v>49.5</v>
      </c>
      <c r="D62" s="1">
        <f>IFERROR(__xludf.DUMMYFUNCTION("""COMPUTED_VALUE"""),39.25)</f>
        <v>39.25</v>
      </c>
      <c r="E62" s="1">
        <f>IFERROR(__xludf.DUMMYFUNCTION("""COMPUTED_VALUE"""),39.75)</f>
        <v>39.75</v>
      </c>
      <c r="F62" s="1">
        <f>IFERROR(__xludf.DUMMYFUNCTION("""COMPUTED_VALUE"""),9.3894255E7)</f>
        <v>93894255</v>
      </c>
    </row>
    <row r="63" ht="15.75" customHeight="1">
      <c r="A63" s="10">
        <f>IFERROR(__xludf.DUMMYFUNCTION("""COMPUTED_VALUE"""),43914.64583333333)</f>
        <v>43914.64583</v>
      </c>
      <c r="B63" s="1">
        <f>IFERROR(__xludf.DUMMYFUNCTION("""COMPUTED_VALUE"""),43.65)</f>
        <v>43.65</v>
      </c>
      <c r="C63" s="1">
        <f>IFERROR(__xludf.DUMMYFUNCTION("""COMPUTED_VALUE"""),43.7)</f>
        <v>43.7</v>
      </c>
      <c r="D63" s="1">
        <f>IFERROR(__xludf.DUMMYFUNCTION("""COMPUTED_VALUE"""),34.55)</f>
        <v>34.55</v>
      </c>
      <c r="E63" s="1">
        <f>IFERROR(__xludf.DUMMYFUNCTION("""COMPUTED_VALUE"""),35.0)</f>
        <v>35</v>
      </c>
      <c r="F63" s="1">
        <f>IFERROR(__xludf.DUMMYFUNCTION("""COMPUTED_VALUE"""),7.9664287E7)</f>
        <v>79664287</v>
      </c>
    </row>
    <row r="64" ht="15.75" customHeight="1">
      <c r="A64" s="10">
        <f>IFERROR(__xludf.DUMMYFUNCTION("""COMPUTED_VALUE"""),43915.64583333333)</f>
        <v>43915.64583</v>
      </c>
      <c r="B64" s="1">
        <f>IFERROR(__xludf.DUMMYFUNCTION("""COMPUTED_VALUE"""),35.3)</f>
        <v>35.3</v>
      </c>
      <c r="C64" s="1">
        <f>IFERROR(__xludf.DUMMYFUNCTION("""COMPUTED_VALUE"""),35.5)</f>
        <v>35.5</v>
      </c>
      <c r="D64" s="1">
        <f>IFERROR(__xludf.DUMMYFUNCTION("""COMPUTED_VALUE"""),28.5)</f>
        <v>28.5</v>
      </c>
      <c r="E64" s="1">
        <f>IFERROR(__xludf.DUMMYFUNCTION("""COMPUTED_VALUE"""),29.6)</f>
        <v>29.6</v>
      </c>
      <c r="F64" s="1">
        <f>IFERROR(__xludf.DUMMYFUNCTION("""COMPUTED_VALUE"""),9.5160537E7)</f>
        <v>95160537</v>
      </c>
    </row>
    <row r="65" ht="15.75" customHeight="1">
      <c r="A65" s="10">
        <f>IFERROR(__xludf.DUMMYFUNCTION("""COMPUTED_VALUE"""),43916.64583333333)</f>
        <v>43916.64583</v>
      </c>
      <c r="B65" s="1">
        <f>IFERROR(__xludf.DUMMYFUNCTION("""COMPUTED_VALUE"""),29.35)</f>
        <v>29.35</v>
      </c>
      <c r="C65" s="1">
        <f>IFERROR(__xludf.DUMMYFUNCTION("""COMPUTED_VALUE"""),31.0)</f>
        <v>31</v>
      </c>
      <c r="D65" s="1">
        <f>IFERROR(__xludf.DUMMYFUNCTION("""COMPUTED_VALUE"""),25.2)</f>
        <v>25.2</v>
      </c>
      <c r="E65" s="1">
        <f>IFERROR(__xludf.DUMMYFUNCTION("""COMPUTED_VALUE"""),26.6)</f>
        <v>26.6</v>
      </c>
      <c r="F65" s="1">
        <f>IFERROR(__xludf.DUMMYFUNCTION("""COMPUTED_VALUE"""),1.1957553E8)</f>
        <v>119575530</v>
      </c>
    </row>
    <row r="66" ht="15.75" customHeight="1">
      <c r="A66" s="10">
        <f>IFERROR(__xludf.DUMMYFUNCTION("""COMPUTED_VALUE"""),43917.64583333333)</f>
        <v>43917.64583</v>
      </c>
      <c r="B66" s="1">
        <f>IFERROR(__xludf.DUMMYFUNCTION("""COMPUTED_VALUE"""),29.05)</f>
        <v>29.05</v>
      </c>
      <c r="C66" s="1">
        <f>IFERROR(__xludf.DUMMYFUNCTION("""COMPUTED_VALUE"""),33.25)</f>
        <v>33.25</v>
      </c>
      <c r="D66" s="1">
        <f>IFERROR(__xludf.DUMMYFUNCTION("""COMPUTED_VALUE"""),26.0)</f>
        <v>26</v>
      </c>
      <c r="E66" s="1">
        <f>IFERROR(__xludf.DUMMYFUNCTION("""COMPUTED_VALUE"""),26.35)</f>
        <v>26.35</v>
      </c>
      <c r="F66" s="1">
        <f>IFERROR(__xludf.DUMMYFUNCTION("""COMPUTED_VALUE"""),1.18572207E8)</f>
        <v>118572207</v>
      </c>
    </row>
    <row r="67" ht="15.75" customHeight="1">
      <c r="A67" s="10">
        <f>IFERROR(__xludf.DUMMYFUNCTION("""COMPUTED_VALUE"""),43920.64583333333)</f>
        <v>43920.64583</v>
      </c>
      <c r="B67" s="1">
        <f>IFERROR(__xludf.DUMMYFUNCTION("""COMPUTED_VALUE"""),27.65)</f>
        <v>27.65</v>
      </c>
      <c r="C67" s="1">
        <f>IFERROR(__xludf.DUMMYFUNCTION("""COMPUTED_VALUE"""),27.7)</f>
        <v>27.7</v>
      </c>
      <c r="D67" s="1">
        <f>IFERROR(__xludf.DUMMYFUNCTION("""COMPUTED_VALUE"""),24.55)</f>
        <v>24.55</v>
      </c>
      <c r="E67" s="1">
        <f>IFERROR(__xludf.DUMMYFUNCTION("""COMPUTED_VALUE"""),24.9)</f>
        <v>24.9</v>
      </c>
      <c r="F67" s="1">
        <f>IFERROR(__xludf.DUMMYFUNCTION("""COMPUTED_VALUE"""),5.4983098E7)</f>
        <v>54983098</v>
      </c>
    </row>
    <row r="68" ht="15.75" customHeight="1">
      <c r="A68" s="10">
        <f>IFERROR(__xludf.DUMMYFUNCTION("""COMPUTED_VALUE"""),43921.64583333333)</f>
        <v>43921.64583</v>
      </c>
      <c r="B68" s="1">
        <f>IFERROR(__xludf.DUMMYFUNCTION("""COMPUTED_VALUE"""),25.55)</f>
        <v>25.55</v>
      </c>
      <c r="C68" s="1">
        <f>IFERROR(__xludf.DUMMYFUNCTION("""COMPUTED_VALUE"""),25.55)</f>
        <v>25.55</v>
      </c>
      <c r="D68" s="1">
        <f>IFERROR(__xludf.DUMMYFUNCTION("""COMPUTED_VALUE"""),22.05)</f>
        <v>22.05</v>
      </c>
      <c r="E68" s="1">
        <f>IFERROR(__xludf.DUMMYFUNCTION("""COMPUTED_VALUE"""),22.45)</f>
        <v>22.45</v>
      </c>
      <c r="F68" s="1">
        <f>IFERROR(__xludf.DUMMYFUNCTION("""COMPUTED_VALUE"""),7.5272601E7)</f>
        <v>75272601</v>
      </c>
    </row>
    <row r="69" ht="15.75" customHeight="1">
      <c r="A69" s="10">
        <f>IFERROR(__xludf.DUMMYFUNCTION("""COMPUTED_VALUE"""),43922.64583333333)</f>
        <v>43922.64583</v>
      </c>
      <c r="B69" s="1">
        <f>IFERROR(__xludf.DUMMYFUNCTION("""COMPUTED_VALUE"""),22.0)</f>
        <v>22</v>
      </c>
      <c r="C69" s="1">
        <f>IFERROR(__xludf.DUMMYFUNCTION("""COMPUTED_VALUE"""),24.65)</f>
        <v>24.65</v>
      </c>
      <c r="D69" s="1">
        <f>IFERROR(__xludf.DUMMYFUNCTION("""COMPUTED_VALUE"""),20.25)</f>
        <v>20.25</v>
      </c>
      <c r="E69" s="1">
        <f>IFERROR(__xludf.DUMMYFUNCTION("""COMPUTED_VALUE"""),23.95)</f>
        <v>23.95</v>
      </c>
      <c r="F69" s="1">
        <f>IFERROR(__xludf.DUMMYFUNCTION("""COMPUTED_VALUE"""),9.0387201E7)</f>
        <v>90387201</v>
      </c>
    </row>
    <row r="70" ht="15.75" customHeight="1">
      <c r="A70" s="10">
        <f>IFERROR(__xludf.DUMMYFUNCTION("""COMPUTED_VALUE"""),43924.64583333333)</f>
        <v>43924.64583</v>
      </c>
      <c r="B70" s="1">
        <f>IFERROR(__xludf.DUMMYFUNCTION("""COMPUTED_VALUE"""),24.5)</f>
        <v>24.5</v>
      </c>
      <c r="C70" s="1">
        <f>IFERROR(__xludf.DUMMYFUNCTION("""COMPUTED_VALUE"""),24.95)</f>
        <v>24.95</v>
      </c>
      <c r="D70" s="1">
        <f>IFERROR(__xludf.DUMMYFUNCTION("""COMPUTED_VALUE"""),22.8)</f>
        <v>22.8</v>
      </c>
      <c r="E70" s="1">
        <f>IFERROR(__xludf.DUMMYFUNCTION("""COMPUTED_VALUE"""),24.1)</f>
        <v>24.1</v>
      </c>
      <c r="F70" s="1">
        <f>IFERROR(__xludf.DUMMYFUNCTION("""COMPUTED_VALUE"""),4.532698E7)</f>
        <v>45326980</v>
      </c>
    </row>
    <row r="71" ht="15.75" customHeight="1">
      <c r="A71" s="10">
        <f>IFERROR(__xludf.DUMMYFUNCTION("""COMPUTED_VALUE"""),43928.64583333333)</f>
        <v>43928.64583</v>
      </c>
      <c r="B71" s="1">
        <f>IFERROR(__xludf.DUMMYFUNCTION("""COMPUTED_VALUE"""),25.4)</f>
        <v>25.4</v>
      </c>
      <c r="C71" s="1">
        <f>IFERROR(__xludf.DUMMYFUNCTION("""COMPUTED_VALUE"""),25.4)</f>
        <v>25.4</v>
      </c>
      <c r="D71" s="1">
        <f>IFERROR(__xludf.DUMMYFUNCTION("""COMPUTED_VALUE"""),23.8)</f>
        <v>23.8</v>
      </c>
      <c r="E71" s="1">
        <f>IFERROR(__xludf.DUMMYFUNCTION("""COMPUTED_VALUE"""),24.55)</f>
        <v>24.55</v>
      </c>
      <c r="F71" s="1">
        <f>IFERROR(__xludf.DUMMYFUNCTION("""COMPUTED_VALUE"""),3.507197E7)</f>
        <v>35071970</v>
      </c>
    </row>
    <row r="72" ht="15.75" customHeight="1">
      <c r="A72" s="10">
        <f>IFERROR(__xludf.DUMMYFUNCTION("""COMPUTED_VALUE"""),43929.64583333333)</f>
        <v>43929.64583</v>
      </c>
      <c r="B72" s="1">
        <f>IFERROR(__xludf.DUMMYFUNCTION("""COMPUTED_VALUE"""),24.5)</f>
        <v>24.5</v>
      </c>
      <c r="C72" s="1">
        <f>IFERROR(__xludf.DUMMYFUNCTION("""COMPUTED_VALUE"""),25.5)</f>
        <v>25.5</v>
      </c>
      <c r="D72" s="1">
        <f>IFERROR(__xludf.DUMMYFUNCTION("""COMPUTED_VALUE"""),23.3)</f>
        <v>23.3</v>
      </c>
      <c r="E72" s="1">
        <f>IFERROR(__xludf.DUMMYFUNCTION("""COMPUTED_VALUE"""),24.75)</f>
        <v>24.75</v>
      </c>
      <c r="F72" s="1">
        <f>IFERROR(__xludf.DUMMYFUNCTION("""COMPUTED_VALUE"""),3.7250348E7)</f>
        <v>37250348</v>
      </c>
    </row>
    <row r="73" ht="15.75" customHeight="1">
      <c r="A73" s="10">
        <f>IFERROR(__xludf.DUMMYFUNCTION("""COMPUTED_VALUE"""),43930.64583333333)</f>
        <v>43930.64583</v>
      </c>
      <c r="B73" s="1">
        <f>IFERROR(__xludf.DUMMYFUNCTION("""COMPUTED_VALUE"""),25.0)</f>
        <v>25</v>
      </c>
      <c r="C73" s="1">
        <f>IFERROR(__xludf.DUMMYFUNCTION("""COMPUTED_VALUE"""),25.3)</f>
        <v>25.3</v>
      </c>
      <c r="D73" s="1">
        <f>IFERROR(__xludf.DUMMYFUNCTION("""COMPUTED_VALUE"""),24.5)</f>
        <v>24.5</v>
      </c>
      <c r="E73" s="1">
        <f>IFERROR(__xludf.DUMMYFUNCTION("""COMPUTED_VALUE"""),24.9)</f>
        <v>24.9</v>
      </c>
      <c r="F73" s="1">
        <f>IFERROR(__xludf.DUMMYFUNCTION("""COMPUTED_VALUE"""),2.6334529E7)</f>
        <v>26334529</v>
      </c>
    </row>
    <row r="74" ht="15.75" customHeight="1">
      <c r="A74" s="10">
        <f>IFERROR(__xludf.DUMMYFUNCTION("""COMPUTED_VALUE"""),43934.64583333333)</f>
        <v>43934.64583</v>
      </c>
      <c r="B74" s="1">
        <f>IFERROR(__xludf.DUMMYFUNCTION("""COMPUTED_VALUE"""),25.0)</f>
        <v>25</v>
      </c>
      <c r="C74" s="1">
        <f>IFERROR(__xludf.DUMMYFUNCTION("""COMPUTED_VALUE"""),25.0)</f>
        <v>25</v>
      </c>
      <c r="D74" s="1">
        <f>IFERROR(__xludf.DUMMYFUNCTION("""COMPUTED_VALUE"""),23.55)</f>
        <v>23.55</v>
      </c>
      <c r="E74" s="1">
        <f>IFERROR(__xludf.DUMMYFUNCTION("""COMPUTED_VALUE"""),24.1)</f>
        <v>24.1</v>
      </c>
      <c r="F74" s="1">
        <f>IFERROR(__xludf.DUMMYFUNCTION("""COMPUTED_VALUE"""),2.6107072E7)</f>
        <v>26107072</v>
      </c>
    </row>
    <row r="75" ht="15.75" customHeight="1">
      <c r="A75" s="10">
        <f>IFERROR(__xludf.DUMMYFUNCTION("""COMPUTED_VALUE"""),43936.64583333333)</f>
        <v>43936.64583</v>
      </c>
      <c r="B75" s="1">
        <f>IFERROR(__xludf.DUMMYFUNCTION("""COMPUTED_VALUE"""),24.1)</f>
        <v>24.1</v>
      </c>
      <c r="C75" s="1">
        <f>IFERROR(__xludf.DUMMYFUNCTION("""COMPUTED_VALUE"""),25.95)</f>
        <v>25.95</v>
      </c>
      <c r="D75" s="1">
        <f>IFERROR(__xludf.DUMMYFUNCTION("""COMPUTED_VALUE"""),23.85)</f>
        <v>23.85</v>
      </c>
      <c r="E75" s="1">
        <f>IFERROR(__xludf.DUMMYFUNCTION("""COMPUTED_VALUE"""),24.5)</f>
        <v>24.5</v>
      </c>
      <c r="F75" s="1">
        <f>IFERROR(__xludf.DUMMYFUNCTION("""COMPUTED_VALUE"""),3.96194E7)</f>
        <v>39619400</v>
      </c>
    </row>
    <row r="76" ht="15.75" customHeight="1">
      <c r="A76" s="10">
        <f>IFERROR(__xludf.DUMMYFUNCTION("""COMPUTED_VALUE"""),43937.64583333333)</f>
        <v>43937.64583</v>
      </c>
      <c r="B76" s="1">
        <f>IFERROR(__xludf.DUMMYFUNCTION("""COMPUTED_VALUE"""),24.3)</f>
        <v>24.3</v>
      </c>
      <c r="C76" s="1">
        <f>IFERROR(__xludf.DUMMYFUNCTION("""COMPUTED_VALUE"""),24.95)</f>
        <v>24.95</v>
      </c>
      <c r="D76" s="1">
        <f>IFERROR(__xludf.DUMMYFUNCTION("""COMPUTED_VALUE"""),24.05)</f>
        <v>24.05</v>
      </c>
      <c r="E76" s="1">
        <f>IFERROR(__xludf.DUMMYFUNCTION("""COMPUTED_VALUE"""),24.6)</f>
        <v>24.6</v>
      </c>
      <c r="F76" s="1">
        <f>IFERROR(__xludf.DUMMYFUNCTION("""COMPUTED_VALUE"""),1.8765964E7)</f>
        <v>18765964</v>
      </c>
    </row>
    <row r="77" ht="15.75" customHeight="1">
      <c r="A77" s="10">
        <f>IFERROR(__xludf.DUMMYFUNCTION("""COMPUTED_VALUE"""),43938.64583333333)</f>
        <v>43938.64583</v>
      </c>
      <c r="B77" s="1">
        <f>IFERROR(__xludf.DUMMYFUNCTION("""COMPUTED_VALUE"""),25.1)</f>
        <v>25.1</v>
      </c>
      <c r="C77" s="1">
        <f>IFERROR(__xludf.DUMMYFUNCTION("""COMPUTED_VALUE"""),25.5)</f>
        <v>25.5</v>
      </c>
      <c r="D77" s="1">
        <f>IFERROR(__xludf.DUMMYFUNCTION("""COMPUTED_VALUE"""),24.7)</f>
        <v>24.7</v>
      </c>
      <c r="E77" s="1">
        <f>IFERROR(__xludf.DUMMYFUNCTION("""COMPUTED_VALUE"""),25.1)</f>
        <v>25.1</v>
      </c>
      <c r="F77" s="1">
        <f>IFERROR(__xludf.DUMMYFUNCTION("""COMPUTED_VALUE"""),2.6605391E7)</f>
        <v>26605391</v>
      </c>
    </row>
    <row r="78" ht="15.75" customHeight="1">
      <c r="A78" s="10">
        <f>IFERROR(__xludf.DUMMYFUNCTION("""COMPUTED_VALUE"""),43941.64583333333)</f>
        <v>43941.64583</v>
      </c>
      <c r="B78" s="1">
        <f>IFERROR(__xludf.DUMMYFUNCTION("""COMPUTED_VALUE"""),25.6)</f>
        <v>25.6</v>
      </c>
      <c r="C78" s="1">
        <f>IFERROR(__xludf.DUMMYFUNCTION("""COMPUTED_VALUE"""),30.1)</f>
        <v>30.1</v>
      </c>
      <c r="D78" s="1">
        <f>IFERROR(__xludf.DUMMYFUNCTION("""COMPUTED_VALUE"""),25.1)</f>
        <v>25.1</v>
      </c>
      <c r="E78" s="1">
        <f>IFERROR(__xludf.DUMMYFUNCTION("""COMPUTED_VALUE"""),29.45)</f>
        <v>29.45</v>
      </c>
      <c r="F78" s="1">
        <f>IFERROR(__xludf.DUMMYFUNCTION("""COMPUTED_VALUE"""),1.14977373E8)</f>
        <v>114977373</v>
      </c>
    </row>
    <row r="79" ht="15.75" customHeight="1">
      <c r="A79" s="10">
        <f>IFERROR(__xludf.DUMMYFUNCTION("""COMPUTED_VALUE"""),43942.64583333333)</f>
        <v>43942.64583</v>
      </c>
      <c r="B79" s="1">
        <f>IFERROR(__xludf.DUMMYFUNCTION("""COMPUTED_VALUE"""),29.4)</f>
        <v>29.4</v>
      </c>
      <c r="C79" s="1">
        <f>IFERROR(__xludf.DUMMYFUNCTION("""COMPUTED_VALUE"""),30.45)</f>
        <v>30.45</v>
      </c>
      <c r="D79" s="1">
        <f>IFERROR(__xludf.DUMMYFUNCTION("""COMPUTED_VALUE"""),27.55)</f>
        <v>27.55</v>
      </c>
      <c r="E79" s="1">
        <f>IFERROR(__xludf.DUMMYFUNCTION("""COMPUTED_VALUE"""),29.65)</f>
        <v>29.65</v>
      </c>
      <c r="F79" s="1">
        <f>IFERROR(__xludf.DUMMYFUNCTION("""COMPUTED_VALUE"""),7.6224557E7)</f>
        <v>76224557</v>
      </c>
    </row>
    <row r="80" ht="15.75" customHeight="1">
      <c r="A80" s="10">
        <f>IFERROR(__xludf.DUMMYFUNCTION("""COMPUTED_VALUE"""),43943.64583333333)</f>
        <v>43943.64583</v>
      </c>
      <c r="B80" s="1">
        <f>IFERROR(__xludf.DUMMYFUNCTION("""COMPUTED_VALUE"""),29.0)</f>
        <v>29</v>
      </c>
      <c r="C80" s="1">
        <f>IFERROR(__xludf.DUMMYFUNCTION("""COMPUTED_VALUE"""),30.3)</f>
        <v>30.3</v>
      </c>
      <c r="D80" s="1">
        <f>IFERROR(__xludf.DUMMYFUNCTION("""COMPUTED_VALUE"""),28.8)</f>
        <v>28.8</v>
      </c>
      <c r="E80" s="1">
        <f>IFERROR(__xludf.DUMMYFUNCTION("""COMPUTED_VALUE"""),29.6)</f>
        <v>29.6</v>
      </c>
      <c r="F80" s="1">
        <f>IFERROR(__xludf.DUMMYFUNCTION("""COMPUTED_VALUE"""),3.5026262E7)</f>
        <v>35026262</v>
      </c>
    </row>
    <row r="81" ht="15.75" customHeight="1">
      <c r="A81" s="10">
        <f>IFERROR(__xludf.DUMMYFUNCTION("""COMPUTED_VALUE"""),43944.64583333333)</f>
        <v>43944.64583</v>
      </c>
      <c r="B81" s="1">
        <f>IFERROR(__xludf.DUMMYFUNCTION("""COMPUTED_VALUE"""),29.6)</f>
        <v>29.6</v>
      </c>
      <c r="C81" s="1">
        <f>IFERROR(__xludf.DUMMYFUNCTION("""COMPUTED_VALUE"""),29.9)</f>
        <v>29.9</v>
      </c>
      <c r="D81" s="1">
        <f>IFERROR(__xludf.DUMMYFUNCTION("""COMPUTED_VALUE"""),27.85)</f>
        <v>27.85</v>
      </c>
      <c r="E81" s="1">
        <f>IFERROR(__xludf.DUMMYFUNCTION("""COMPUTED_VALUE"""),28.3)</f>
        <v>28.3</v>
      </c>
      <c r="F81" s="1">
        <f>IFERROR(__xludf.DUMMYFUNCTION("""COMPUTED_VALUE"""),3.3488476E7)</f>
        <v>33488476</v>
      </c>
    </row>
    <row r="82" ht="15.75" customHeight="1">
      <c r="A82" s="10">
        <f>IFERROR(__xludf.DUMMYFUNCTION("""COMPUTED_VALUE"""),43945.64583333333)</f>
        <v>43945.64583</v>
      </c>
      <c r="B82" s="1">
        <f>IFERROR(__xludf.DUMMYFUNCTION("""COMPUTED_VALUE"""),28.05)</f>
        <v>28.05</v>
      </c>
      <c r="C82" s="1">
        <f>IFERROR(__xludf.DUMMYFUNCTION("""COMPUTED_VALUE"""),28.15)</f>
        <v>28.15</v>
      </c>
      <c r="D82" s="1">
        <f>IFERROR(__xludf.DUMMYFUNCTION("""COMPUTED_VALUE"""),26.3)</f>
        <v>26.3</v>
      </c>
      <c r="E82" s="1">
        <f>IFERROR(__xludf.DUMMYFUNCTION("""COMPUTED_VALUE"""),26.6)</f>
        <v>26.6</v>
      </c>
      <c r="F82" s="1">
        <f>IFERROR(__xludf.DUMMYFUNCTION("""COMPUTED_VALUE"""),3.4135568E7)</f>
        <v>34135568</v>
      </c>
    </row>
    <row r="83" ht="15.75" customHeight="1">
      <c r="A83" s="10">
        <f>IFERROR(__xludf.DUMMYFUNCTION("""COMPUTED_VALUE"""),43948.64583333333)</f>
        <v>43948.64583</v>
      </c>
      <c r="B83" s="1">
        <f>IFERROR(__xludf.DUMMYFUNCTION("""COMPUTED_VALUE"""),26.8)</f>
        <v>26.8</v>
      </c>
      <c r="C83" s="1">
        <f>IFERROR(__xludf.DUMMYFUNCTION("""COMPUTED_VALUE"""),27.7)</f>
        <v>27.7</v>
      </c>
      <c r="D83" s="1">
        <f>IFERROR(__xludf.DUMMYFUNCTION("""COMPUTED_VALUE"""),25.9)</f>
        <v>25.9</v>
      </c>
      <c r="E83" s="1">
        <f>IFERROR(__xludf.DUMMYFUNCTION("""COMPUTED_VALUE"""),27.05)</f>
        <v>27.05</v>
      </c>
      <c r="F83" s="1">
        <f>IFERROR(__xludf.DUMMYFUNCTION("""COMPUTED_VALUE"""),3.2510645E7)</f>
        <v>32510645</v>
      </c>
    </row>
    <row r="84" ht="15.75" customHeight="1">
      <c r="A84" s="10">
        <f>IFERROR(__xludf.DUMMYFUNCTION("""COMPUTED_VALUE"""),43949.64583333333)</f>
        <v>43949.64583</v>
      </c>
      <c r="B84" s="1">
        <f>IFERROR(__xludf.DUMMYFUNCTION("""COMPUTED_VALUE"""),27.25)</f>
        <v>27.25</v>
      </c>
      <c r="C84" s="1">
        <f>IFERROR(__xludf.DUMMYFUNCTION("""COMPUTED_VALUE"""),27.8)</f>
        <v>27.8</v>
      </c>
      <c r="D84" s="1">
        <f>IFERROR(__xludf.DUMMYFUNCTION("""COMPUTED_VALUE"""),26.85)</f>
        <v>26.85</v>
      </c>
      <c r="E84" s="1">
        <f>IFERROR(__xludf.DUMMYFUNCTION("""COMPUTED_VALUE"""),27.25)</f>
        <v>27.25</v>
      </c>
      <c r="F84" s="1">
        <f>IFERROR(__xludf.DUMMYFUNCTION("""COMPUTED_VALUE"""),1.8704468E7)</f>
        <v>18704468</v>
      </c>
    </row>
    <row r="85" ht="15.75" customHeight="1">
      <c r="A85" s="10">
        <f>IFERROR(__xludf.DUMMYFUNCTION("""COMPUTED_VALUE"""),43950.64583333333)</f>
        <v>43950.64583</v>
      </c>
      <c r="B85" s="1">
        <f>IFERROR(__xludf.DUMMYFUNCTION("""COMPUTED_VALUE"""),27.0)</f>
        <v>27</v>
      </c>
      <c r="C85" s="1">
        <f>IFERROR(__xludf.DUMMYFUNCTION("""COMPUTED_VALUE"""),29.35)</f>
        <v>29.35</v>
      </c>
      <c r="D85" s="1">
        <f>IFERROR(__xludf.DUMMYFUNCTION("""COMPUTED_VALUE"""),26.6)</f>
        <v>26.6</v>
      </c>
      <c r="E85" s="1">
        <f>IFERROR(__xludf.DUMMYFUNCTION("""COMPUTED_VALUE"""),28.05)</f>
        <v>28.05</v>
      </c>
      <c r="F85" s="1">
        <f>IFERROR(__xludf.DUMMYFUNCTION("""COMPUTED_VALUE"""),4.2492004E7)</f>
        <v>42492004</v>
      </c>
    </row>
    <row r="86" ht="15.75" customHeight="1">
      <c r="A86" s="10">
        <f>IFERROR(__xludf.DUMMYFUNCTION("""COMPUTED_VALUE"""),43951.64583333333)</f>
        <v>43951.64583</v>
      </c>
      <c r="B86" s="1">
        <f>IFERROR(__xludf.DUMMYFUNCTION("""COMPUTED_VALUE"""),28.7)</f>
        <v>28.7</v>
      </c>
      <c r="C86" s="1">
        <f>IFERROR(__xludf.DUMMYFUNCTION("""COMPUTED_VALUE"""),28.95)</f>
        <v>28.95</v>
      </c>
      <c r="D86" s="1">
        <f>IFERROR(__xludf.DUMMYFUNCTION("""COMPUTED_VALUE"""),27.7)</f>
        <v>27.7</v>
      </c>
      <c r="E86" s="1">
        <f>IFERROR(__xludf.DUMMYFUNCTION("""COMPUTED_VALUE"""),27.9)</f>
        <v>27.9</v>
      </c>
      <c r="F86" s="1">
        <f>IFERROR(__xludf.DUMMYFUNCTION("""COMPUTED_VALUE"""),3.2094929E7)</f>
        <v>32094929</v>
      </c>
    </row>
    <row r="87" ht="15.75" customHeight="1">
      <c r="A87" s="10">
        <f>IFERROR(__xludf.DUMMYFUNCTION("""COMPUTED_VALUE"""),43955.64583333333)</f>
        <v>43955.64583</v>
      </c>
      <c r="B87" s="1">
        <f>IFERROR(__xludf.DUMMYFUNCTION("""COMPUTED_VALUE"""),27.5)</f>
        <v>27.5</v>
      </c>
      <c r="C87" s="1">
        <f>IFERROR(__xludf.DUMMYFUNCTION("""COMPUTED_VALUE"""),27.65)</f>
        <v>27.65</v>
      </c>
      <c r="D87" s="1">
        <f>IFERROR(__xludf.DUMMYFUNCTION("""COMPUTED_VALUE"""),26.6)</f>
        <v>26.6</v>
      </c>
      <c r="E87" s="1">
        <f>IFERROR(__xludf.DUMMYFUNCTION("""COMPUTED_VALUE"""),27.05)</f>
        <v>27.05</v>
      </c>
      <c r="F87" s="1">
        <f>IFERROR(__xludf.DUMMYFUNCTION("""COMPUTED_VALUE"""),2.274311E7)</f>
        <v>22743110</v>
      </c>
    </row>
    <row r="88" ht="15.75" customHeight="1">
      <c r="A88" s="10">
        <f>IFERROR(__xludf.DUMMYFUNCTION("""COMPUTED_VALUE"""),43956.64583333333)</f>
        <v>43956.64583</v>
      </c>
      <c r="B88" s="1">
        <f>IFERROR(__xludf.DUMMYFUNCTION("""COMPUTED_VALUE"""),27.4)</f>
        <v>27.4</v>
      </c>
      <c r="C88" s="1">
        <f>IFERROR(__xludf.DUMMYFUNCTION("""COMPUTED_VALUE"""),27.65)</f>
        <v>27.65</v>
      </c>
      <c r="D88" s="1">
        <f>IFERROR(__xludf.DUMMYFUNCTION("""COMPUTED_VALUE"""),26.5)</f>
        <v>26.5</v>
      </c>
      <c r="E88" s="1">
        <f>IFERROR(__xludf.DUMMYFUNCTION("""COMPUTED_VALUE"""),26.6)</f>
        <v>26.6</v>
      </c>
      <c r="F88" s="1">
        <f>IFERROR(__xludf.DUMMYFUNCTION("""COMPUTED_VALUE"""),1.6870245E7)</f>
        <v>16870245</v>
      </c>
    </row>
    <row r="89" ht="15.75" customHeight="1">
      <c r="A89" s="10">
        <f>IFERROR(__xludf.DUMMYFUNCTION("""COMPUTED_VALUE"""),43957.64583333333)</f>
        <v>43957.64583</v>
      </c>
      <c r="B89" s="1">
        <f>IFERROR(__xludf.DUMMYFUNCTION("""COMPUTED_VALUE"""),26.4)</f>
        <v>26.4</v>
      </c>
      <c r="C89" s="1">
        <f>IFERROR(__xludf.DUMMYFUNCTION("""COMPUTED_VALUE"""),26.75)</f>
        <v>26.75</v>
      </c>
      <c r="D89" s="1">
        <f>IFERROR(__xludf.DUMMYFUNCTION("""COMPUTED_VALUE"""),25.0)</f>
        <v>25</v>
      </c>
      <c r="E89" s="1">
        <f>IFERROR(__xludf.DUMMYFUNCTION("""COMPUTED_VALUE"""),26.3)</f>
        <v>26.3</v>
      </c>
      <c r="F89" s="1">
        <f>IFERROR(__xludf.DUMMYFUNCTION("""COMPUTED_VALUE"""),2.2891215E7)</f>
        <v>22891215</v>
      </c>
    </row>
    <row r="90" ht="15.75" customHeight="1">
      <c r="A90" s="10">
        <f>IFERROR(__xludf.DUMMYFUNCTION("""COMPUTED_VALUE"""),43958.64583333333)</f>
        <v>43958.64583</v>
      </c>
      <c r="B90" s="1">
        <f>IFERROR(__xludf.DUMMYFUNCTION("""COMPUTED_VALUE"""),25.75)</f>
        <v>25.75</v>
      </c>
      <c r="C90" s="1">
        <f>IFERROR(__xludf.DUMMYFUNCTION("""COMPUTED_VALUE"""),31.55)</f>
        <v>31.55</v>
      </c>
      <c r="D90" s="1">
        <f>IFERROR(__xludf.DUMMYFUNCTION("""COMPUTED_VALUE"""),25.55)</f>
        <v>25.55</v>
      </c>
      <c r="E90" s="1">
        <f>IFERROR(__xludf.DUMMYFUNCTION("""COMPUTED_VALUE"""),28.1)</f>
        <v>28.1</v>
      </c>
      <c r="F90" s="1">
        <f>IFERROR(__xludf.DUMMYFUNCTION("""COMPUTED_VALUE"""),9.9686585E7)</f>
        <v>99686585</v>
      </c>
    </row>
    <row r="91" ht="15.75" customHeight="1">
      <c r="A91" s="10">
        <f>IFERROR(__xludf.DUMMYFUNCTION("""COMPUTED_VALUE"""),43959.64583333333)</f>
        <v>43959.64583</v>
      </c>
      <c r="B91" s="1">
        <f>IFERROR(__xludf.DUMMYFUNCTION("""COMPUTED_VALUE"""),28.1)</f>
        <v>28.1</v>
      </c>
      <c r="C91" s="1">
        <f>IFERROR(__xludf.DUMMYFUNCTION("""COMPUTED_VALUE"""),28.8)</f>
        <v>28.8</v>
      </c>
      <c r="D91" s="1">
        <f>IFERROR(__xludf.DUMMYFUNCTION("""COMPUTED_VALUE"""),26.65)</f>
        <v>26.65</v>
      </c>
      <c r="E91" s="1">
        <f>IFERROR(__xludf.DUMMYFUNCTION("""COMPUTED_VALUE"""),27.05)</f>
        <v>27.05</v>
      </c>
      <c r="F91" s="1">
        <f>IFERROR(__xludf.DUMMYFUNCTION("""COMPUTED_VALUE"""),2.8714694E7)</f>
        <v>28714694</v>
      </c>
    </row>
    <row r="92" ht="15.75" customHeight="1">
      <c r="A92" s="10">
        <f>IFERROR(__xludf.DUMMYFUNCTION("""COMPUTED_VALUE"""),43962.64583333333)</f>
        <v>43962.64583</v>
      </c>
      <c r="B92" s="1">
        <f>IFERROR(__xludf.DUMMYFUNCTION("""COMPUTED_VALUE"""),27.25)</f>
        <v>27.25</v>
      </c>
      <c r="C92" s="1">
        <f>IFERROR(__xludf.DUMMYFUNCTION("""COMPUTED_VALUE"""),28.05)</f>
        <v>28.05</v>
      </c>
      <c r="D92" s="1">
        <f>IFERROR(__xludf.DUMMYFUNCTION("""COMPUTED_VALUE"""),26.7)</f>
        <v>26.7</v>
      </c>
      <c r="E92" s="1">
        <f>IFERROR(__xludf.DUMMYFUNCTION("""COMPUTED_VALUE"""),27.8)</f>
        <v>27.8</v>
      </c>
      <c r="F92" s="1">
        <f>IFERROR(__xludf.DUMMYFUNCTION("""COMPUTED_VALUE"""),2.9809727E7)</f>
        <v>29809727</v>
      </c>
    </row>
    <row r="93" ht="15.75" customHeight="1">
      <c r="A93" s="10">
        <f>IFERROR(__xludf.DUMMYFUNCTION("""COMPUTED_VALUE"""),43963.64583333333)</f>
        <v>43963.64583</v>
      </c>
      <c r="B93" s="1">
        <f>IFERROR(__xludf.DUMMYFUNCTION("""COMPUTED_VALUE"""),27.7)</f>
        <v>27.7</v>
      </c>
      <c r="C93" s="1">
        <f>IFERROR(__xludf.DUMMYFUNCTION("""COMPUTED_VALUE"""),28.4)</f>
        <v>28.4</v>
      </c>
      <c r="D93" s="1">
        <f>IFERROR(__xludf.DUMMYFUNCTION("""COMPUTED_VALUE"""),26.85)</f>
        <v>26.85</v>
      </c>
      <c r="E93" s="1">
        <f>IFERROR(__xludf.DUMMYFUNCTION("""COMPUTED_VALUE"""),27.95)</f>
        <v>27.95</v>
      </c>
      <c r="F93" s="1">
        <f>IFERROR(__xludf.DUMMYFUNCTION("""COMPUTED_VALUE"""),2.1395834E7)</f>
        <v>21395834</v>
      </c>
    </row>
    <row r="94" ht="15.75" customHeight="1">
      <c r="A94" s="10">
        <f>IFERROR(__xludf.DUMMYFUNCTION("""COMPUTED_VALUE"""),43964.64583333333)</f>
        <v>43964.64583</v>
      </c>
      <c r="B94" s="1">
        <f>IFERROR(__xludf.DUMMYFUNCTION("""COMPUTED_VALUE"""),29.0)</f>
        <v>29</v>
      </c>
      <c r="C94" s="1">
        <f>IFERROR(__xludf.DUMMYFUNCTION("""COMPUTED_VALUE"""),29.45)</f>
        <v>29.45</v>
      </c>
      <c r="D94" s="1">
        <f>IFERROR(__xludf.DUMMYFUNCTION("""COMPUTED_VALUE"""),28.1)</f>
        <v>28.1</v>
      </c>
      <c r="E94" s="1">
        <f>IFERROR(__xludf.DUMMYFUNCTION("""COMPUTED_VALUE"""),28.65)</f>
        <v>28.65</v>
      </c>
      <c r="F94" s="1">
        <f>IFERROR(__xludf.DUMMYFUNCTION("""COMPUTED_VALUE"""),2.5829898E7)</f>
        <v>25829898</v>
      </c>
    </row>
    <row r="95" ht="15.75" customHeight="1">
      <c r="A95" s="10">
        <f>IFERROR(__xludf.DUMMYFUNCTION("""COMPUTED_VALUE"""),43965.64583333333)</f>
        <v>43965.64583</v>
      </c>
      <c r="B95" s="1">
        <f>IFERROR(__xludf.DUMMYFUNCTION("""COMPUTED_VALUE"""),28.4)</f>
        <v>28.4</v>
      </c>
      <c r="C95" s="1">
        <f>IFERROR(__xludf.DUMMYFUNCTION("""COMPUTED_VALUE"""),28.8)</f>
        <v>28.8</v>
      </c>
      <c r="D95" s="1">
        <f>IFERROR(__xludf.DUMMYFUNCTION("""COMPUTED_VALUE"""),27.9)</f>
        <v>27.9</v>
      </c>
      <c r="E95" s="1">
        <f>IFERROR(__xludf.DUMMYFUNCTION("""COMPUTED_VALUE"""),28.2)</f>
        <v>28.2</v>
      </c>
      <c r="F95" s="1">
        <f>IFERROR(__xludf.DUMMYFUNCTION("""COMPUTED_VALUE"""),1.3377407E7)</f>
        <v>13377407</v>
      </c>
    </row>
    <row r="96" ht="15.75" customHeight="1">
      <c r="A96" s="10">
        <f>IFERROR(__xludf.DUMMYFUNCTION("""COMPUTED_VALUE"""),43966.64583333333)</f>
        <v>43966.64583</v>
      </c>
      <c r="B96" s="1">
        <f>IFERROR(__xludf.DUMMYFUNCTION("""COMPUTED_VALUE"""),28.2)</f>
        <v>28.2</v>
      </c>
      <c r="C96" s="1">
        <f>IFERROR(__xludf.DUMMYFUNCTION("""COMPUTED_VALUE"""),29.0)</f>
        <v>29</v>
      </c>
      <c r="D96" s="1">
        <f>IFERROR(__xludf.DUMMYFUNCTION("""COMPUTED_VALUE"""),27.3)</f>
        <v>27.3</v>
      </c>
      <c r="E96" s="1">
        <f>IFERROR(__xludf.DUMMYFUNCTION("""COMPUTED_VALUE"""),28.7)</f>
        <v>28.7</v>
      </c>
      <c r="F96" s="1">
        <f>IFERROR(__xludf.DUMMYFUNCTION("""COMPUTED_VALUE"""),2.3447394E7)</f>
        <v>23447394</v>
      </c>
    </row>
    <row r="97" ht="15.75" customHeight="1">
      <c r="A97" s="10">
        <f>IFERROR(__xludf.DUMMYFUNCTION("""COMPUTED_VALUE"""),43969.64583333333)</f>
        <v>43969.64583</v>
      </c>
      <c r="B97" s="1">
        <f>IFERROR(__xludf.DUMMYFUNCTION("""COMPUTED_VALUE"""),28.65)</f>
        <v>28.65</v>
      </c>
      <c r="C97" s="1">
        <f>IFERROR(__xludf.DUMMYFUNCTION("""COMPUTED_VALUE"""),28.65)</f>
        <v>28.65</v>
      </c>
      <c r="D97" s="1">
        <f>IFERROR(__xludf.DUMMYFUNCTION("""COMPUTED_VALUE"""),26.8)</f>
        <v>26.8</v>
      </c>
      <c r="E97" s="1">
        <f>IFERROR(__xludf.DUMMYFUNCTION("""COMPUTED_VALUE"""),27.55)</f>
        <v>27.55</v>
      </c>
      <c r="F97" s="1">
        <f>IFERROR(__xludf.DUMMYFUNCTION("""COMPUTED_VALUE"""),2.0466695E7)</f>
        <v>20466695</v>
      </c>
    </row>
    <row r="98" ht="15.75" customHeight="1">
      <c r="A98" s="10">
        <f>IFERROR(__xludf.DUMMYFUNCTION("""COMPUTED_VALUE"""),43970.64583333333)</f>
        <v>43970.64583</v>
      </c>
      <c r="B98" s="1">
        <f>IFERROR(__xludf.DUMMYFUNCTION("""COMPUTED_VALUE"""),27.7)</f>
        <v>27.7</v>
      </c>
      <c r="C98" s="1">
        <f>IFERROR(__xludf.DUMMYFUNCTION("""COMPUTED_VALUE"""),28.0)</f>
        <v>28</v>
      </c>
      <c r="D98" s="1">
        <f>IFERROR(__xludf.DUMMYFUNCTION("""COMPUTED_VALUE"""),27.1)</f>
        <v>27.1</v>
      </c>
      <c r="E98" s="1">
        <f>IFERROR(__xludf.DUMMYFUNCTION("""COMPUTED_VALUE"""),27.4)</f>
        <v>27.4</v>
      </c>
      <c r="F98" s="1">
        <f>IFERROR(__xludf.DUMMYFUNCTION("""COMPUTED_VALUE"""),1.6161651E7)</f>
        <v>16161651</v>
      </c>
    </row>
    <row r="99" ht="15.75" customHeight="1">
      <c r="A99" s="10">
        <f>IFERROR(__xludf.DUMMYFUNCTION("""COMPUTED_VALUE"""),43971.64583333333)</f>
        <v>43971.64583</v>
      </c>
      <c r="B99" s="1">
        <f>IFERROR(__xludf.DUMMYFUNCTION("""COMPUTED_VALUE"""),27.15)</f>
        <v>27.15</v>
      </c>
      <c r="C99" s="1">
        <f>IFERROR(__xludf.DUMMYFUNCTION("""COMPUTED_VALUE"""),27.6)</f>
        <v>27.6</v>
      </c>
      <c r="D99" s="1">
        <f>IFERROR(__xludf.DUMMYFUNCTION("""COMPUTED_VALUE"""),27.1)</f>
        <v>27.1</v>
      </c>
      <c r="E99" s="1">
        <f>IFERROR(__xludf.DUMMYFUNCTION("""COMPUTED_VALUE"""),27.15)</f>
        <v>27.15</v>
      </c>
      <c r="F99" s="1">
        <f>IFERROR(__xludf.DUMMYFUNCTION("""COMPUTED_VALUE"""),9932936.0)</f>
        <v>9932936</v>
      </c>
    </row>
    <row r="100" ht="15.75" customHeight="1">
      <c r="A100" s="10">
        <f>IFERROR(__xludf.DUMMYFUNCTION("""COMPUTED_VALUE"""),43972.64583333333)</f>
        <v>43972.64583</v>
      </c>
      <c r="B100" s="1">
        <f>IFERROR(__xludf.DUMMYFUNCTION("""COMPUTED_VALUE"""),27.2)</f>
        <v>27.2</v>
      </c>
      <c r="C100" s="1">
        <f>IFERROR(__xludf.DUMMYFUNCTION("""COMPUTED_VALUE"""),27.6)</f>
        <v>27.6</v>
      </c>
      <c r="D100" s="1">
        <f>IFERROR(__xludf.DUMMYFUNCTION("""COMPUTED_VALUE"""),26.8)</f>
        <v>26.8</v>
      </c>
      <c r="E100" s="1">
        <f>IFERROR(__xludf.DUMMYFUNCTION("""COMPUTED_VALUE"""),26.9)</f>
        <v>26.9</v>
      </c>
      <c r="F100" s="1">
        <f>IFERROR(__xludf.DUMMYFUNCTION("""COMPUTED_VALUE"""),1.2109506E7)</f>
        <v>12109506</v>
      </c>
    </row>
    <row r="101" ht="15.75" customHeight="1">
      <c r="A101" s="10">
        <f>IFERROR(__xludf.DUMMYFUNCTION("""COMPUTED_VALUE"""),43973.64583333333)</f>
        <v>43973.64583</v>
      </c>
      <c r="B101" s="1">
        <f>IFERROR(__xludf.DUMMYFUNCTION("""COMPUTED_VALUE"""),26.95)</f>
        <v>26.95</v>
      </c>
      <c r="C101" s="1">
        <f>IFERROR(__xludf.DUMMYFUNCTION("""COMPUTED_VALUE"""),27.0)</f>
        <v>27</v>
      </c>
      <c r="D101" s="1">
        <f>IFERROR(__xludf.DUMMYFUNCTION("""COMPUTED_VALUE"""),26.0)</f>
        <v>26</v>
      </c>
      <c r="E101" s="1">
        <f>IFERROR(__xludf.DUMMYFUNCTION("""COMPUTED_VALUE"""),26.55)</f>
        <v>26.55</v>
      </c>
      <c r="F101" s="1">
        <f>IFERROR(__xludf.DUMMYFUNCTION("""COMPUTED_VALUE"""),1.4604827E7)</f>
        <v>14604827</v>
      </c>
    </row>
    <row r="102" ht="15.75" customHeight="1">
      <c r="A102" s="10">
        <f>IFERROR(__xludf.DUMMYFUNCTION("""COMPUTED_VALUE"""),43977.64583333333)</f>
        <v>43977.64583</v>
      </c>
      <c r="B102" s="1">
        <f>IFERROR(__xludf.DUMMYFUNCTION("""COMPUTED_VALUE"""),26.95)</f>
        <v>26.95</v>
      </c>
      <c r="C102" s="1">
        <f>IFERROR(__xludf.DUMMYFUNCTION("""COMPUTED_VALUE"""),28.15)</f>
        <v>28.15</v>
      </c>
      <c r="D102" s="1">
        <f>IFERROR(__xludf.DUMMYFUNCTION("""COMPUTED_VALUE"""),26.35)</f>
        <v>26.35</v>
      </c>
      <c r="E102" s="1">
        <f>IFERROR(__xludf.DUMMYFUNCTION("""COMPUTED_VALUE"""),27.4)</f>
        <v>27.4</v>
      </c>
      <c r="F102" s="1">
        <f>IFERROR(__xludf.DUMMYFUNCTION("""COMPUTED_VALUE"""),1.9431968E7)</f>
        <v>19431968</v>
      </c>
    </row>
    <row r="103" ht="15.75" customHeight="1">
      <c r="A103" s="10">
        <f>IFERROR(__xludf.DUMMYFUNCTION("""COMPUTED_VALUE"""),43978.64583333333)</f>
        <v>43978.64583</v>
      </c>
      <c r="B103" s="1">
        <f>IFERROR(__xludf.DUMMYFUNCTION("""COMPUTED_VALUE"""),27.45)</f>
        <v>27.45</v>
      </c>
      <c r="C103" s="1">
        <f>IFERROR(__xludf.DUMMYFUNCTION("""COMPUTED_VALUE"""),27.9)</f>
        <v>27.9</v>
      </c>
      <c r="D103" s="1">
        <f>IFERROR(__xludf.DUMMYFUNCTION("""COMPUTED_VALUE"""),27.35)</f>
        <v>27.35</v>
      </c>
      <c r="E103" s="1">
        <f>IFERROR(__xludf.DUMMYFUNCTION("""COMPUTED_VALUE"""),27.6)</f>
        <v>27.6</v>
      </c>
      <c r="F103" s="1">
        <f>IFERROR(__xludf.DUMMYFUNCTION("""COMPUTED_VALUE"""),1.2273293E7)</f>
        <v>12273293</v>
      </c>
    </row>
    <row r="104" ht="15.75" customHeight="1">
      <c r="A104" s="10">
        <f>IFERROR(__xludf.DUMMYFUNCTION("""COMPUTED_VALUE"""),43979.64583333333)</f>
        <v>43979.64583</v>
      </c>
      <c r="B104" s="1">
        <f>IFERROR(__xludf.DUMMYFUNCTION("""COMPUTED_VALUE"""),27.85)</f>
        <v>27.85</v>
      </c>
      <c r="C104" s="1">
        <f>IFERROR(__xludf.DUMMYFUNCTION("""COMPUTED_VALUE"""),28.8)</f>
        <v>28.8</v>
      </c>
      <c r="D104" s="1">
        <f>IFERROR(__xludf.DUMMYFUNCTION("""COMPUTED_VALUE"""),26.85)</f>
        <v>26.85</v>
      </c>
      <c r="E104" s="1">
        <f>IFERROR(__xludf.DUMMYFUNCTION("""COMPUTED_VALUE"""),27.0)</f>
        <v>27</v>
      </c>
      <c r="F104" s="1">
        <f>IFERROR(__xludf.DUMMYFUNCTION("""COMPUTED_VALUE"""),2.7673481E7)</f>
        <v>27673481</v>
      </c>
    </row>
    <row r="105" ht="15.75" customHeight="1">
      <c r="A105" s="10">
        <f>IFERROR(__xludf.DUMMYFUNCTION("""COMPUTED_VALUE"""),43980.64583333333)</f>
        <v>43980.64583</v>
      </c>
      <c r="B105" s="1">
        <f>IFERROR(__xludf.DUMMYFUNCTION("""COMPUTED_VALUE"""),26.5)</f>
        <v>26.5</v>
      </c>
      <c r="C105" s="1">
        <f>IFERROR(__xludf.DUMMYFUNCTION("""COMPUTED_VALUE"""),27.4)</f>
        <v>27.4</v>
      </c>
      <c r="D105" s="1">
        <f>IFERROR(__xludf.DUMMYFUNCTION("""COMPUTED_VALUE"""),26.5)</f>
        <v>26.5</v>
      </c>
      <c r="E105" s="1">
        <f>IFERROR(__xludf.DUMMYFUNCTION("""COMPUTED_VALUE"""),26.85)</f>
        <v>26.85</v>
      </c>
      <c r="F105" s="1">
        <f>IFERROR(__xludf.DUMMYFUNCTION("""COMPUTED_VALUE"""),1.5150164E7)</f>
        <v>15150164</v>
      </c>
    </row>
    <row r="106" ht="15.75" customHeight="1">
      <c r="A106" s="10">
        <f>IFERROR(__xludf.DUMMYFUNCTION("""COMPUTED_VALUE"""),43983.64583333333)</f>
        <v>43983.64583</v>
      </c>
      <c r="B106" s="1">
        <f>IFERROR(__xludf.DUMMYFUNCTION("""COMPUTED_VALUE"""),27.55)</f>
        <v>27.55</v>
      </c>
      <c r="C106" s="1">
        <f>IFERROR(__xludf.DUMMYFUNCTION("""COMPUTED_VALUE"""),27.6)</f>
        <v>27.6</v>
      </c>
      <c r="D106" s="1">
        <f>IFERROR(__xludf.DUMMYFUNCTION("""COMPUTED_VALUE"""),27.0)</f>
        <v>27</v>
      </c>
      <c r="E106" s="1">
        <f>IFERROR(__xludf.DUMMYFUNCTION("""COMPUTED_VALUE"""),27.15)</f>
        <v>27.15</v>
      </c>
      <c r="F106" s="1">
        <f>IFERROR(__xludf.DUMMYFUNCTION("""COMPUTED_VALUE"""),1.11752E7)</f>
        <v>11175200</v>
      </c>
    </row>
    <row r="107" ht="15.75" customHeight="1">
      <c r="A107" s="10">
        <f>IFERROR(__xludf.DUMMYFUNCTION("""COMPUTED_VALUE"""),43984.64583333333)</f>
        <v>43984.64583</v>
      </c>
      <c r="B107" s="1">
        <f>IFERROR(__xludf.DUMMYFUNCTION("""COMPUTED_VALUE"""),27.25)</f>
        <v>27.25</v>
      </c>
      <c r="C107" s="1">
        <f>IFERROR(__xludf.DUMMYFUNCTION("""COMPUTED_VALUE"""),27.4)</f>
        <v>27.4</v>
      </c>
      <c r="D107" s="1">
        <f>IFERROR(__xludf.DUMMYFUNCTION("""COMPUTED_VALUE"""),27.05)</f>
        <v>27.05</v>
      </c>
      <c r="E107" s="1">
        <f>IFERROR(__xludf.DUMMYFUNCTION("""COMPUTED_VALUE"""),27.15)</f>
        <v>27.15</v>
      </c>
      <c r="F107" s="1">
        <f>IFERROR(__xludf.DUMMYFUNCTION("""COMPUTED_VALUE"""),1.0006691E7)</f>
        <v>10006691</v>
      </c>
    </row>
    <row r="108" ht="15.75" customHeight="1">
      <c r="A108" s="10">
        <f>IFERROR(__xludf.DUMMYFUNCTION("""COMPUTED_VALUE"""),43985.64583333333)</f>
        <v>43985.64583</v>
      </c>
      <c r="B108" s="1">
        <f>IFERROR(__xludf.DUMMYFUNCTION("""COMPUTED_VALUE"""),27.6)</f>
        <v>27.6</v>
      </c>
      <c r="C108" s="1">
        <f>IFERROR(__xludf.DUMMYFUNCTION("""COMPUTED_VALUE"""),29.4)</f>
        <v>29.4</v>
      </c>
      <c r="D108" s="1">
        <f>IFERROR(__xludf.DUMMYFUNCTION("""COMPUTED_VALUE"""),27.25)</f>
        <v>27.25</v>
      </c>
      <c r="E108" s="1">
        <f>IFERROR(__xludf.DUMMYFUNCTION("""COMPUTED_VALUE"""),27.95)</f>
        <v>27.95</v>
      </c>
      <c r="F108" s="1">
        <f>IFERROR(__xludf.DUMMYFUNCTION("""COMPUTED_VALUE"""),3.1713741E7)</f>
        <v>31713741</v>
      </c>
    </row>
    <row r="109" ht="15.75" customHeight="1">
      <c r="A109" s="10">
        <f>IFERROR(__xludf.DUMMYFUNCTION("""COMPUTED_VALUE"""),43986.64583333333)</f>
        <v>43986.64583</v>
      </c>
      <c r="B109" s="1">
        <f>IFERROR(__xludf.DUMMYFUNCTION("""COMPUTED_VALUE"""),28.0)</f>
        <v>28</v>
      </c>
      <c r="C109" s="1">
        <f>IFERROR(__xludf.DUMMYFUNCTION("""COMPUTED_VALUE"""),28.7)</f>
        <v>28.7</v>
      </c>
      <c r="D109" s="1">
        <f>IFERROR(__xludf.DUMMYFUNCTION("""COMPUTED_VALUE"""),27.8)</f>
        <v>27.8</v>
      </c>
      <c r="E109" s="1">
        <f>IFERROR(__xludf.DUMMYFUNCTION("""COMPUTED_VALUE"""),27.95)</f>
        <v>27.95</v>
      </c>
      <c r="F109" s="1">
        <f>IFERROR(__xludf.DUMMYFUNCTION("""COMPUTED_VALUE"""),1.2148979E7)</f>
        <v>12148979</v>
      </c>
    </row>
    <row r="110" ht="15.75" customHeight="1">
      <c r="A110" s="10">
        <f>IFERROR(__xludf.DUMMYFUNCTION("""COMPUTED_VALUE"""),43987.64583333333)</f>
        <v>43987.64583</v>
      </c>
      <c r="B110" s="1">
        <f>IFERROR(__xludf.DUMMYFUNCTION("""COMPUTED_VALUE"""),28.0)</f>
        <v>28</v>
      </c>
      <c r="C110" s="1">
        <f>IFERROR(__xludf.DUMMYFUNCTION("""COMPUTED_VALUE"""),29.2)</f>
        <v>29.2</v>
      </c>
      <c r="D110" s="1">
        <f>IFERROR(__xludf.DUMMYFUNCTION("""COMPUTED_VALUE"""),28.0)</f>
        <v>28</v>
      </c>
      <c r="E110" s="1">
        <f>IFERROR(__xludf.DUMMYFUNCTION("""COMPUTED_VALUE"""),28.85)</f>
        <v>28.85</v>
      </c>
      <c r="F110" s="1">
        <f>IFERROR(__xludf.DUMMYFUNCTION("""COMPUTED_VALUE"""),1.8870401E7)</f>
        <v>18870401</v>
      </c>
    </row>
    <row r="111" ht="15.75" customHeight="1">
      <c r="A111" s="10">
        <f>IFERROR(__xludf.DUMMYFUNCTION("""COMPUTED_VALUE"""),43990.64583333333)</f>
        <v>43990.64583</v>
      </c>
      <c r="B111" s="1">
        <f>IFERROR(__xludf.DUMMYFUNCTION("""COMPUTED_VALUE"""),29.6)</f>
        <v>29.6</v>
      </c>
      <c r="C111" s="1">
        <f>IFERROR(__xludf.DUMMYFUNCTION("""COMPUTED_VALUE"""),32.0)</f>
        <v>32</v>
      </c>
      <c r="D111" s="1">
        <f>IFERROR(__xludf.DUMMYFUNCTION("""COMPUTED_VALUE"""),29.0)</f>
        <v>29</v>
      </c>
      <c r="E111" s="1">
        <f>IFERROR(__xludf.DUMMYFUNCTION("""COMPUTED_VALUE"""),30.6)</f>
        <v>30.6</v>
      </c>
      <c r="F111" s="1">
        <f>IFERROR(__xludf.DUMMYFUNCTION("""COMPUTED_VALUE"""),4.925768E7)</f>
        <v>49257680</v>
      </c>
    </row>
    <row r="112" ht="15.75" customHeight="1">
      <c r="A112" s="10">
        <f>IFERROR(__xludf.DUMMYFUNCTION("""COMPUTED_VALUE"""),43991.64583333333)</f>
        <v>43991.64583</v>
      </c>
      <c r="B112" s="1">
        <f>IFERROR(__xludf.DUMMYFUNCTION("""COMPUTED_VALUE"""),31.0)</f>
        <v>31</v>
      </c>
      <c r="C112" s="1">
        <f>IFERROR(__xludf.DUMMYFUNCTION("""COMPUTED_VALUE"""),31.6)</f>
        <v>31.6</v>
      </c>
      <c r="D112" s="1">
        <f>IFERROR(__xludf.DUMMYFUNCTION("""COMPUTED_VALUE"""),29.7)</f>
        <v>29.7</v>
      </c>
      <c r="E112" s="1">
        <f>IFERROR(__xludf.DUMMYFUNCTION("""COMPUTED_VALUE"""),29.85)</f>
        <v>29.85</v>
      </c>
      <c r="F112" s="1">
        <f>IFERROR(__xludf.DUMMYFUNCTION("""COMPUTED_VALUE"""),2.3134391E7)</f>
        <v>23134391</v>
      </c>
    </row>
    <row r="113" ht="15.75" customHeight="1">
      <c r="A113" s="10">
        <f>IFERROR(__xludf.DUMMYFUNCTION("""COMPUTED_VALUE"""),43992.64583333333)</f>
        <v>43992.64583</v>
      </c>
      <c r="B113" s="1">
        <f>IFERROR(__xludf.DUMMYFUNCTION("""COMPUTED_VALUE"""),30.35)</f>
        <v>30.35</v>
      </c>
      <c r="C113" s="1">
        <f>IFERROR(__xludf.DUMMYFUNCTION("""COMPUTED_VALUE"""),30.75)</f>
        <v>30.75</v>
      </c>
      <c r="D113" s="1">
        <f>IFERROR(__xludf.DUMMYFUNCTION("""COMPUTED_VALUE"""),30.0)</f>
        <v>30</v>
      </c>
      <c r="E113" s="1">
        <f>IFERROR(__xludf.DUMMYFUNCTION("""COMPUTED_VALUE"""),30.4)</f>
        <v>30.4</v>
      </c>
      <c r="F113" s="1">
        <f>IFERROR(__xludf.DUMMYFUNCTION("""COMPUTED_VALUE"""),1.5647848E7)</f>
        <v>15647848</v>
      </c>
    </row>
    <row r="114" ht="15.75" customHeight="1">
      <c r="A114" s="10">
        <f>IFERROR(__xludf.DUMMYFUNCTION("""COMPUTED_VALUE"""),43993.64583333333)</f>
        <v>43993.64583</v>
      </c>
      <c r="B114" s="1">
        <f>IFERROR(__xludf.DUMMYFUNCTION("""COMPUTED_VALUE"""),30.6)</f>
        <v>30.6</v>
      </c>
      <c r="C114" s="1">
        <f>IFERROR(__xludf.DUMMYFUNCTION("""COMPUTED_VALUE"""),31.7)</f>
        <v>31.7</v>
      </c>
      <c r="D114" s="1">
        <f>IFERROR(__xludf.DUMMYFUNCTION("""COMPUTED_VALUE"""),29.6)</f>
        <v>29.6</v>
      </c>
      <c r="E114" s="1">
        <f>IFERROR(__xludf.DUMMYFUNCTION("""COMPUTED_VALUE"""),29.8)</f>
        <v>29.8</v>
      </c>
      <c r="F114" s="1">
        <f>IFERROR(__xludf.DUMMYFUNCTION("""COMPUTED_VALUE"""),2.083742E7)</f>
        <v>20837420</v>
      </c>
    </row>
    <row r="115" ht="15.75" customHeight="1">
      <c r="A115" s="10">
        <f>IFERROR(__xludf.DUMMYFUNCTION("""COMPUTED_VALUE"""),43994.64583333333)</f>
        <v>43994.64583</v>
      </c>
      <c r="B115" s="1">
        <f>IFERROR(__xludf.DUMMYFUNCTION("""COMPUTED_VALUE"""),28.0)</f>
        <v>28</v>
      </c>
      <c r="C115" s="1">
        <f>IFERROR(__xludf.DUMMYFUNCTION("""COMPUTED_VALUE"""),29.7)</f>
        <v>29.7</v>
      </c>
      <c r="D115" s="1">
        <f>IFERROR(__xludf.DUMMYFUNCTION("""COMPUTED_VALUE"""),28.0)</f>
        <v>28</v>
      </c>
      <c r="E115" s="1">
        <f>IFERROR(__xludf.DUMMYFUNCTION("""COMPUTED_VALUE"""),29.5)</f>
        <v>29.5</v>
      </c>
      <c r="F115" s="1">
        <f>IFERROR(__xludf.DUMMYFUNCTION("""COMPUTED_VALUE"""),1.2412232E7)</f>
        <v>12412232</v>
      </c>
    </row>
    <row r="116" ht="15.75" customHeight="1">
      <c r="A116" s="10">
        <f>IFERROR(__xludf.DUMMYFUNCTION("""COMPUTED_VALUE"""),43997.64583333333)</f>
        <v>43997.64583</v>
      </c>
      <c r="B116" s="1">
        <f>IFERROR(__xludf.DUMMYFUNCTION("""COMPUTED_VALUE"""),30.0)</f>
        <v>30</v>
      </c>
      <c r="C116" s="1">
        <f>IFERROR(__xludf.DUMMYFUNCTION("""COMPUTED_VALUE"""),30.8)</f>
        <v>30.8</v>
      </c>
      <c r="D116" s="1">
        <f>IFERROR(__xludf.DUMMYFUNCTION("""COMPUTED_VALUE"""),28.8)</f>
        <v>28.8</v>
      </c>
      <c r="E116" s="1">
        <f>IFERROR(__xludf.DUMMYFUNCTION("""COMPUTED_VALUE"""),29.0)</f>
        <v>29</v>
      </c>
      <c r="F116" s="1">
        <f>IFERROR(__xludf.DUMMYFUNCTION("""COMPUTED_VALUE"""),1.3440399E7)</f>
        <v>13440399</v>
      </c>
    </row>
    <row r="117" ht="15.75" customHeight="1">
      <c r="A117" s="10">
        <f>IFERROR(__xludf.DUMMYFUNCTION("""COMPUTED_VALUE"""),43998.64583333333)</f>
        <v>43998.64583</v>
      </c>
      <c r="B117" s="1">
        <f>IFERROR(__xludf.DUMMYFUNCTION("""COMPUTED_VALUE"""),29.5)</f>
        <v>29.5</v>
      </c>
      <c r="C117" s="1">
        <f>IFERROR(__xludf.DUMMYFUNCTION("""COMPUTED_VALUE"""),29.95)</f>
        <v>29.95</v>
      </c>
      <c r="D117" s="1">
        <f>IFERROR(__xludf.DUMMYFUNCTION("""COMPUTED_VALUE"""),27.55)</f>
        <v>27.55</v>
      </c>
      <c r="E117" s="1">
        <f>IFERROR(__xludf.DUMMYFUNCTION("""COMPUTED_VALUE"""),28.4)</f>
        <v>28.4</v>
      </c>
      <c r="F117" s="1">
        <f>IFERROR(__xludf.DUMMYFUNCTION("""COMPUTED_VALUE"""),2.2459083E7)</f>
        <v>22459083</v>
      </c>
    </row>
    <row r="118" ht="15.75" customHeight="1">
      <c r="A118" s="10">
        <f>IFERROR(__xludf.DUMMYFUNCTION("""COMPUTED_VALUE"""),43999.64583333333)</f>
        <v>43999.64583</v>
      </c>
      <c r="B118" s="1">
        <f>IFERROR(__xludf.DUMMYFUNCTION("""COMPUTED_VALUE"""),27.35)</f>
        <v>27.35</v>
      </c>
      <c r="C118" s="1">
        <f>IFERROR(__xludf.DUMMYFUNCTION("""COMPUTED_VALUE"""),28.3)</f>
        <v>28.3</v>
      </c>
      <c r="D118" s="1">
        <f>IFERROR(__xludf.DUMMYFUNCTION("""COMPUTED_VALUE"""),27.05)</f>
        <v>27.05</v>
      </c>
      <c r="E118" s="1">
        <f>IFERROR(__xludf.DUMMYFUNCTION("""COMPUTED_VALUE"""),27.65)</f>
        <v>27.65</v>
      </c>
      <c r="F118" s="1">
        <f>IFERROR(__xludf.DUMMYFUNCTION("""COMPUTED_VALUE"""),1.2798061E7)</f>
        <v>12798061</v>
      </c>
    </row>
    <row r="119" ht="15.75" customHeight="1">
      <c r="A119" s="10">
        <f>IFERROR(__xludf.DUMMYFUNCTION("""COMPUTED_VALUE"""),44000.64583333333)</f>
        <v>44000.64583</v>
      </c>
      <c r="B119" s="1">
        <f>IFERROR(__xludf.DUMMYFUNCTION("""COMPUTED_VALUE"""),27.7)</f>
        <v>27.7</v>
      </c>
      <c r="C119" s="1">
        <f>IFERROR(__xludf.DUMMYFUNCTION("""COMPUTED_VALUE"""),28.2)</f>
        <v>28.2</v>
      </c>
      <c r="D119" s="1">
        <f>IFERROR(__xludf.DUMMYFUNCTION("""COMPUTED_VALUE"""),27.4)</f>
        <v>27.4</v>
      </c>
      <c r="E119" s="1">
        <f>IFERROR(__xludf.DUMMYFUNCTION("""COMPUTED_VALUE"""),28.0)</f>
        <v>28</v>
      </c>
      <c r="F119" s="1">
        <f>IFERROR(__xludf.DUMMYFUNCTION("""COMPUTED_VALUE"""),1.1551012E7)</f>
        <v>11551012</v>
      </c>
    </row>
    <row r="120" ht="15.75" customHeight="1">
      <c r="A120" s="10">
        <f>IFERROR(__xludf.DUMMYFUNCTION("""COMPUTED_VALUE"""),44001.64583333333)</f>
        <v>44001.64583</v>
      </c>
      <c r="B120" s="1">
        <f>IFERROR(__xludf.DUMMYFUNCTION("""COMPUTED_VALUE"""),28.2)</f>
        <v>28.2</v>
      </c>
      <c r="C120" s="1">
        <f>IFERROR(__xludf.DUMMYFUNCTION("""COMPUTED_VALUE"""),28.3)</f>
        <v>28.3</v>
      </c>
      <c r="D120" s="1">
        <f>IFERROR(__xludf.DUMMYFUNCTION("""COMPUTED_VALUE"""),27.9)</f>
        <v>27.9</v>
      </c>
      <c r="E120" s="1">
        <f>IFERROR(__xludf.DUMMYFUNCTION("""COMPUTED_VALUE"""),28.0)</f>
        <v>28</v>
      </c>
      <c r="F120" s="1">
        <f>IFERROR(__xludf.DUMMYFUNCTION("""COMPUTED_VALUE"""),9275438.0)</f>
        <v>9275438</v>
      </c>
    </row>
    <row r="121" ht="15.75" customHeight="1">
      <c r="A121" s="10">
        <f>IFERROR(__xludf.DUMMYFUNCTION("""COMPUTED_VALUE"""),44004.64583333333)</f>
        <v>44004.64583</v>
      </c>
      <c r="B121" s="1">
        <f>IFERROR(__xludf.DUMMYFUNCTION("""COMPUTED_VALUE"""),28.1)</f>
        <v>28.1</v>
      </c>
      <c r="C121" s="1">
        <f>IFERROR(__xludf.DUMMYFUNCTION("""COMPUTED_VALUE"""),28.5)</f>
        <v>28.5</v>
      </c>
      <c r="D121" s="1">
        <f>IFERROR(__xludf.DUMMYFUNCTION("""COMPUTED_VALUE"""),27.35)</f>
        <v>27.35</v>
      </c>
      <c r="E121" s="1">
        <f>IFERROR(__xludf.DUMMYFUNCTION("""COMPUTED_VALUE"""),27.75)</f>
        <v>27.75</v>
      </c>
      <c r="F121" s="1">
        <f>IFERROR(__xludf.DUMMYFUNCTION("""COMPUTED_VALUE"""),1.937448E7)</f>
        <v>19374480</v>
      </c>
    </row>
    <row r="122" ht="15.75" customHeight="1">
      <c r="A122" s="10">
        <f>IFERROR(__xludf.DUMMYFUNCTION("""COMPUTED_VALUE"""),44005.64583333333)</f>
        <v>44005.64583</v>
      </c>
      <c r="B122" s="1">
        <f>IFERROR(__xludf.DUMMYFUNCTION("""COMPUTED_VALUE"""),27.8)</f>
        <v>27.8</v>
      </c>
      <c r="C122" s="1">
        <f>IFERROR(__xludf.DUMMYFUNCTION("""COMPUTED_VALUE"""),27.8)</f>
        <v>27.8</v>
      </c>
      <c r="D122" s="1">
        <f>IFERROR(__xludf.DUMMYFUNCTION("""COMPUTED_VALUE"""),27.4)</f>
        <v>27.4</v>
      </c>
      <c r="E122" s="1">
        <f>IFERROR(__xludf.DUMMYFUNCTION("""COMPUTED_VALUE"""),27.55)</f>
        <v>27.55</v>
      </c>
      <c r="F122" s="1">
        <f>IFERROR(__xludf.DUMMYFUNCTION("""COMPUTED_VALUE"""),1.673355E7)</f>
        <v>16733550</v>
      </c>
    </row>
    <row r="123" ht="15.75" customHeight="1">
      <c r="A123" s="10">
        <f>IFERROR(__xludf.DUMMYFUNCTION("""COMPUTED_VALUE"""),44006.64583333333)</f>
        <v>44006.64583</v>
      </c>
      <c r="B123" s="1">
        <f>IFERROR(__xludf.DUMMYFUNCTION("""COMPUTED_VALUE"""),27.8)</f>
        <v>27.8</v>
      </c>
      <c r="C123" s="1">
        <f>IFERROR(__xludf.DUMMYFUNCTION("""COMPUTED_VALUE"""),27.8)</f>
        <v>27.8</v>
      </c>
      <c r="D123" s="1">
        <f>IFERROR(__xludf.DUMMYFUNCTION("""COMPUTED_VALUE"""),27.05)</f>
        <v>27.05</v>
      </c>
      <c r="E123" s="1">
        <f>IFERROR(__xludf.DUMMYFUNCTION("""COMPUTED_VALUE"""),27.05)</f>
        <v>27.05</v>
      </c>
      <c r="F123" s="1">
        <f>IFERROR(__xludf.DUMMYFUNCTION("""COMPUTED_VALUE"""),1.4015494E7)</f>
        <v>14015494</v>
      </c>
    </row>
    <row r="124" ht="15.75" customHeight="1">
      <c r="A124" s="10">
        <f>IFERROR(__xludf.DUMMYFUNCTION("""COMPUTED_VALUE"""),44007.64583333333)</f>
        <v>44007.64583</v>
      </c>
      <c r="B124" s="1">
        <f>IFERROR(__xludf.DUMMYFUNCTION("""COMPUTED_VALUE"""),27.05)</f>
        <v>27.05</v>
      </c>
      <c r="C124" s="1">
        <f>IFERROR(__xludf.DUMMYFUNCTION("""COMPUTED_VALUE"""),27.25)</f>
        <v>27.25</v>
      </c>
      <c r="D124" s="1">
        <f>IFERROR(__xludf.DUMMYFUNCTION("""COMPUTED_VALUE"""),26.55)</f>
        <v>26.55</v>
      </c>
      <c r="E124" s="1">
        <f>IFERROR(__xludf.DUMMYFUNCTION("""COMPUTED_VALUE"""),27.0)</f>
        <v>27</v>
      </c>
      <c r="F124" s="1">
        <f>IFERROR(__xludf.DUMMYFUNCTION("""COMPUTED_VALUE"""),9662127.0)</f>
        <v>9662127</v>
      </c>
    </row>
    <row r="125" ht="15.75" customHeight="1">
      <c r="A125" s="10">
        <f>IFERROR(__xludf.DUMMYFUNCTION("""COMPUTED_VALUE"""),44008.64583333333)</f>
        <v>44008.64583</v>
      </c>
      <c r="B125" s="1">
        <f>IFERROR(__xludf.DUMMYFUNCTION("""COMPUTED_VALUE"""),27.2)</f>
        <v>27.2</v>
      </c>
      <c r="C125" s="1">
        <f>IFERROR(__xludf.DUMMYFUNCTION("""COMPUTED_VALUE"""),27.25)</f>
        <v>27.25</v>
      </c>
      <c r="D125" s="1">
        <f>IFERROR(__xludf.DUMMYFUNCTION("""COMPUTED_VALUE"""),26.6)</f>
        <v>26.6</v>
      </c>
      <c r="E125" s="1">
        <f>IFERROR(__xludf.DUMMYFUNCTION("""COMPUTED_VALUE"""),26.75)</f>
        <v>26.75</v>
      </c>
      <c r="F125" s="1">
        <f>IFERROR(__xludf.DUMMYFUNCTION("""COMPUTED_VALUE"""),1.2130891E7)</f>
        <v>12130891</v>
      </c>
    </row>
    <row r="126" ht="15.75" customHeight="1">
      <c r="A126" s="10">
        <f>IFERROR(__xludf.DUMMYFUNCTION("""COMPUTED_VALUE"""),44011.64583333333)</f>
        <v>44011.64583</v>
      </c>
      <c r="B126" s="1">
        <f>IFERROR(__xludf.DUMMYFUNCTION("""COMPUTED_VALUE"""),26.8)</f>
        <v>26.8</v>
      </c>
      <c r="C126" s="1">
        <f>IFERROR(__xludf.DUMMYFUNCTION("""COMPUTED_VALUE"""),26.9)</f>
        <v>26.9</v>
      </c>
      <c r="D126" s="1">
        <f>IFERROR(__xludf.DUMMYFUNCTION("""COMPUTED_VALUE"""),26.0)</f>
        <v>26</v>
      </c>
      <c r="E126" s="1">
        <f>IFERROR(__xludf.DUMMYFUNCTION("""COMPUTED_VALUE"""),26.1)</f>
        <v>26.1</v>
      </c>
      <c r="F126" s="1">
        <f>IFERROR(__xludf.DUMMYFUNCTION("""COMPUTED_VALUE"""),1.0632406E7)</f>
        <v>10632406</v>
      </c>
    </row>
    <row r="127" ht="15.75" customHeight="1">
      <c r="A127" s="10">
        <f>IFERROR(__xludf.DUMMYFUNCTION("""COMPUTED_VALUE"""),44012.64583333333)</f>
        <v>44012.64583</v>
      </c>
      <c r="B127" s="1">
        <f>IFERROR(__xludf.DUMMYFUNCTION("""COMPUTED_VALUE"""),26.5)</f>
        <v>26.5</v>
      </c>
      <c r="C127" s="1">
        <f>IFERROR(__xludf.DUMMYFUNCTION("""COMPUTED_VALUE"""),26.6)</f>
        <v>26.6</v>
      </c>
      <c r="D127" s="1">
        <f>IFERROR(__xludf.DUMMYFUNCTION("""COMPUTED_VALUE"""),25.5)</f>
        <v>25.5</v>
      </c>
      <c r="E127" s="1">
        <f>IFERROR(__xludf.DUMMYFUNCTION("""COMPUTED_VALUE"""),25.6)</f>
        <v>25.6</v>
      </c>
      <c r="F127" s="1">
        <f>IFERROR(__xludf.DUMMYFUNCTION("""COMPUTED_VALUE"""),1.6166021E7)</f>
        <v>16166021</v>
      </c>
    </row>
    <row r="128" ht="15.75" customHeight="1">
      <c r="A128" s="10">
        <f>IFERROR(__xludf.DUMMYFUNCTION("""COMPUTED_VALUE"""),44013.64583333333)</f>
        <v>44013.64583</v>
      </c>
      <c r="B128" s="1">
        <f>IFERROR(__xludf.DUMMYFUNCTION("""COMPUTED_VALUE"""),25.75)</f>
        <v>25.75</v>
      </c>
      <c r="C128" s="1">
        <f>IFERROR(__xludf.DUMMYFUNCTION("""COMPUTED_VALUE"""),28.35)</f>
        <v>28.35</v>
      </c>
      <c r="D128" s="1">
        <f>IFERROR(__xludf.DUMMYFUNCTION("""COMPUTED_VALUE"""),25.0)</f>
        <v>25</v>
      </c>
      <c r="E128" s="1">
        <f>IFERROR(__xludf.DUMMYFUNCTION("""COMPUTED_VALUE"""),26.9)</f>
        <v>26.9</v>
      </c>
      <c r="F128" s="1">
        <f>IFERROR(__xludf.DUMMYFUNCTION("""COMPUTED_VALUE"""),2.7490306E7)</f>
        <v>27490306</v>
      </c>
    </row>
    <row r="129" ht="15.75" customHeight="1">
      <c r="A129" s="10">
        <f>IFERROR(__xludf.DUMMYFUNCTION("""COMPUTED_VALUE"""),44014.64583333333)</f>
        <v>44014.64583</v>
      </c>
      <c r="B129" s="1">
        <f>IFERROR(__xludf.DUMMYFUNCTION("""COMPUTED_VALUE"""),27.3)</f>
        <v>27.3</v>
      </c>
      <c r="C129" s="1">
        <f>IFERROR(__xludf.DUMMYFUNCTION("""COMPUTED_VALUE"""),27.3)</f>
        <v>27.3</v>
      </c>
      <c r="D129" s="1">
        <f>IFERROR(__xludf.DUMMYFUNCTION("""COMPUTED_VALUE"""),26.05)</f>
        <v>26.05</v>
      </c>
      <c r="E129" s="1">
        <f>IFERROR(__xludf.DUMMYFUNCTION("""COMPUTED_VALUE"""),26.25)</f>
        <v>26.25</v>
      </c>
      <c r="F129" s="1">
        <f>IFERROR(__xludf.DUMMYFUNCTION("""COMPUTED_VALUE"""),1.5605957E7)</f>
        <v>15605957</v>
      </c>
    </row>
    <row r="130" ht="15.75" customHeight="1">
      <c r="A130" s="10">
        <f>IFERROR(__xludf.DUMMYFUNCTION("""COMPUTED_VALUE"""),44015.64583333333)</f>
        <v>44015.64583</v>
      </c>
      <c r="B130" s="1">
        <f>IFERROR(__xludf.DUMMYFUNCTION("""COMPUTED_VALUE"""),26.5)</f>
        <v>26.5</v>
      </c>
      <c r="C130" s="1">
        <f>IFERROR(__xludf.DUMMYFUNCTION("""COMPUTED_VALUE"""),26.55)</f>
        <v>26.55</v>
      </c>
      <c r="D130" s="1">
        <f>IFERROR(__xludf.DUMMYFUNCTION("""COMPUTED_VALUE"""),25.8)</f>
        <v>25.8</v>
      </c>
      <c r="E130" s="1">
        <f>IFERROR(__xludf.DUMMYFUNCTION("""COMPUTED_VALUE"""),26.15)</f>
        <v>26.15</v>
      </c>
      <c r="F130" s="1">
        <f>IFERROR(__xludf.DUMMYFUNCTION("""COMPUTED_VALUE"""),1.4816009E7)</f>
        <v>14816009</v>
      </c>
    </row>
    <row r="131" ht="15.75" customHeight="1">
      <c r="A131" s="10">
        <f>IFERROR(__xludf.DUMMYFUNCTION("""COMPUTED_VALUE"""),44018.64583333333)</f>
        <v>44018.64583</v>
      </c>
      <c r="B131" s="1">
        <f>IFERROR(__xludf.DUMMYFUNCTION("""COMPUTED_VALUE"""),26.4)</f>
        <v>26.4</v>
      </c>
      <c r="C131" s="1">
        <f>IFERROR(__xludf.DUMMYFUNCTION("""COMPUTED_VALUE"""),26.45)</f>
        <v>26.45</v>
      </c>
      <c r="D131" s="1">
        <f>IFERROR(__xludf.DUMMYFUNCTION("""COMPUTED_VALUE"""),25.95)</f>
        <v>25.95</v>
      </c>
      <c r="E131" s="1">
        <f>IFERROR(__xludf.DUMMYFUNCTION("""COMPUTED_VALUE"""),26.05)</f>
        <v>26.05</v>
      </c>
      <c r="F131" s="1">
        <f>IFERROR(__xludf.DUMMYFUNCTION("""COMPUTED_VALUE"""),1.273435E7)</f>
        <v>12734350</v>
      </c>
    </row>
    <row r="132" ht="15.75" customHeight="1">
      <c r="A132" s="10">
        <f>IFERROR(__xludf.DUMMYFUNCTION("""COMPUTED_VALUE"""),44019.64583333333)</f>
        <v>44019.64583</v>
      </c>
      <c r="B132" s="1">
        <f>IFERROR(__xludf.DUMMYFUNCTION("""COMPUTED_VALUE"""),26.05)</f>
        <v>26.05</v>
      </c>
      <c r="C132" s="1">
        <f>IFERROR(__xludf.DUMMYFUNCTION("""COMPUTED_VALUE"""),26.1)</f>
        <v>26.1</v>
      </c>
      <c r="D132" s="1">
        <f>IFERROR(__xludf.DUMMYFUNCTION("""COMPUTED_VALUE"""),25.5)</f>
        <v>25.5</v>
      </c>
      <c r="E132" s="1">
        <f>IFERROR(__xludf.DUMMYFUNCTION("""COMPUTED_VALUE"""),25.75)</f>
        <v>25.75</v>
      </c>
      <c r="F132" s="1">
        <f>IFERROR(__xludf.DUMMYFUNCTION("""COMPUTED_VALUE"""),1.9466396E7)</f>
        <v>19466396</v>
      </c>
    </row>
    <row r="133" ht="15.75" customHeight="1">
      <c r="A133" s="10">
        <f>IFERROR(__xludf.DUMMYFUNCTION("""COMPUTED_VALUE"""),44020.64583333333)</f>
        <v>44020.64583</v>
      </c>
      <c r="B133" s="1">
        <f>IFERROR(__xludf.DUMMYFUNCTION("""COMPUTED_VALUE"""),25.2)</f>
        <v>25.2</v>
      </c>
      <c r="C133" s="1">
        <f>IFERROR(__xludf.DUMMYFUNCTION("""COMPUTED_VALUE"""),27.1)</f>
        <v>27.1</v>
      </c>
      <c r="D133" s="1">
        <f>IFERROR(__xludf.DUMMYFUNCTION("""COMPUTED_VALUE"""),24.0)</f>
        <v>24</v>
      </c>
      <c r="E133" s="1">
        <f>IFERROR(__xludf.DUMMYFUNCTION("""COMPUTED_VALUE"""),26.05)</f>
        <v>26.05</v>
      </c>
      <c r="F133" s="1">
        <f>IFERROR(__xludf.DUMMYFUNCTION("""COMPUTED_VALUE"""),3.3211696E7)</f>
        <v>33211696</v>
      </c>
    </row>
    <row r="134" ht="15.75" customHeight="1">
      <c r="A134" s="10">
        <f>IFERROR(__xludf.DUMMYFUNCTION("""COMPUTED_VALUE"""),44021.64583333333)</f>
        <v>44021.64583</v>
      </c>
      <c r="B134" s="1">
        <f>IFERROR(__xludf.DUMMYFUNCTION("""COMPUTED_VALUE"""),27.5)</f>
        <v>27.5</v>
      </c>
      <c r="C134" s="1">
        <f>IFERROR(__xludf.DUMMYFUNCTION("""COMPUTED_VALUE"""),27.5)</f>
        <v>27.5</v>
      </c>
      <c r="D134" s="1">
        <f>IFERROR(__xludf.DUMMYFUNCTION("""COMPUTED_VALUE"""),26.2)</f>
        <v>26.2</v>
      </c>
      <c r="E134" s="1">
        <f>IFERROR(__xludf.DUMMYFUNCTION("""COMPUTED_VALUE"""),26.65)</f>
        <v>26.65</v>
      </c>
      <c r="F134" s="1">
        <f>IFERROR(__xludf.DUMMYFUNCTION("""COMPUTED_VALUE"""),4.2188239E7)</f>
        <v>42188239</v>
      </c>
    </row>
    <row r="135" ht="15.75" customHeight="1">
      <c r="A135" s="10">
        <f>IFERROR(__xludf.DUMMYFUNCTION("""COMPUTED_VALUE"""),44022.64583333333)</f>
        <v>44022.64583</v>
      </c>
      <c r="B135" s="1">
        <f>IFERROR(__xludf.DUMMYFUNCTION("""COMPUTED_VALUE"""),26.7)</f>
        <v>26.7</v>
      </c>
      <c r="C135" s="1">
        <f>IFERROR(__xludf.DUMMYFUNCTION("""COMPUTED_VALUE"""),26.75)</f>
        <v>26.75</v>
      </c>
      <c r="D135" s="1">
        <f>IFERROR(__xludf.DUMMYFUNCTION("""COMPUTED_VALUE"""),24.2)</f>
        <v>24.2</v>
      </c>
      <c r="E135" s="1">
        <f>IFERROR(__xludf.DUMMYFUNCTION("""COMPUTED_VALUE"""),25.55)</f>
        <v>25.55</v>
      </c>
      <c r="F135" s="1">
        <f>IFERROR(__xludf.DUMMYFUNCTION("""COMPUTED_VALUE"""),5.4312841E7)</f>
        <v>54312841</v>
      </c>
    </row>
    <row r="136" ht="15.75" customHeight="1">
      <c r="A136" s="10">
        <f>IFERROR(__xludf.DUMMYFUNCTION("""COMPUTED_VALUE"""),44025.64583333333)</f>
        <v>44025.64583</v>
      </c>
      <c r="B136" s="1">
        <f>IFERROR(__xludf.DUMMYFUNCTION("""COMPUTED_VALUE"""),22.05)</f>
        <v>22.05</v>
      </c>
      <c r="C136" s="1">
        <f>IFERROR(__xludf.DUMMYFUNCTION("""COMPUTED_VALUE"""),23.5)</f>
        <v>23.5</v>
      </c>
      <c r="D136" s="1">
        <f>IFERROR(__xludf.DUMMYFUNCTION("""COMPUTED_VALUE"""),21.0)</f>
        <v>21</v>
      </c>
      <c r="E136" s="1">
        <f>IFERROR(__xludf.DUMMYFUNCTION("""COMPUTED_VALUE"""),22.05)</f>
        <v>22.05</v>
      </c>
      <c r="F136" s="1">
        <f>IFERROR(__xludf.DUMMYFUNCTION("""COMPUTED_VALUE"""),7.0087262E7)</f>
        <v>70087262</v>
      </c>
    </row>
    <row r="137" ht="15.75" customHeight="1">
      <c r="A137" s="10">
        <f>IFERROR(__xludf.DUMMYFUNCTION("""COMPUTED_VALUE"""),44026.64583333333)</f>
        <v>44026.64583</v>
      </c>
      <c r="B137" s="1">
        <f>IFERROR(__xludf.DUMMYFUNCTION("""COMPUTED_VALUE"""),21.8)</f>
        <v>21.8</v>
      </c>
      <c r="C137" s="1">
        <f>IFERROR(__xludf.DUMMYFUNCTION("""COMPUTED_VALUE"""),21.8)</f>
        <v>21.8</v>
      </c>
      <c r="D137" s="1">
        <f>IFERROR(__xludf.DUMMYFUNCTION("""COMPUTED_VALUE"""),20.3)</f>
        <v>20.3</v>
      </c>
      <c r="E137" s="1">
        <f>IFERROR(__xludf.DUMMYFUNCTION("""COMPUTED_VALUE"""),20.95)</f>
        <v>20.95</v>
      </c>
      <c r="F137" s="1">
        <f>IFERROR(__xludf.DUMMYFUNCTION("""COMPUTED_VALUE"""),3.6853467E7)</f>
        <v>36853467</v>
      </c>
    </row>
    <row r="138" ht="15.75" customHeight="1">
      <c r="A138" s="10">
        <f>IFERROR(__xludf.DUMMYFUNCTION("""COMPUTED_VALUE"""),44027.64583333333)</f>
        <v>44027.64583</v>
      </c>
      <c r="B138" s="1">
        <f>IFERROR(__xludf.DUMMYFUNCTION("""COMPUTED_VALUE"""),20.5)</f>
        <v>20.5</v>
      </c>
      <c r="C138" s="1">
        <f>IFERROR(__xludf.DUMMYFUNCTION("""COMPUTED_VALUE"""),22.0)</f>
        <v>22</v>
      </c>
      <c r="D138" s="1">
        <f>IFERROR(__xludf.DUMMYFUNCTION("""COMPUTED_VALUE"""),20.3)</f>
        <v>20.3</v>
      </c>
      <c r="E138" s="1">
        <f>IFERROR(__xludf.DUMMYFUNCTION("""COMPUTED_VALUE"""),20.45)</f>
        <v>20.45</v>
      </c>
      <c r="F138" s="1">
        <f>IFERROR(__xludf.DUMMYFUNCTION("""COMPUTED_VALUE"""),4.3266944E7)</f>
        <v>43266944</v>
      </c>
    </row>
    <row r="139" ht="15.75" customHeight="1">
      <c r="A139" s="10">
        <f>IFERROR(__xludf.DUMMYFUNCTION("""COMPUTED_VALUE"""),44028.64583333333)</f>
        <v>44028.64583</v>
      </c>
      <c r="B139" s="1">
        <f>IFERROR(__xludf.DUMMYFUNCTION("""COMPUTED_VALUE"""),20.0)</f>
        <v>20</v>
      </c>
      <c r="C139" s="1">
        <f>IFERROR(__xludf.DUMMYFUNCTION("""COMPUTED_VALUE"""),20.25)</f>
        <v>20.25</v>
      </c>
      <c r="D139" s="1">
        <f>IFERROR(__xludf.DUMMYFUNCTION("""COMPUTED_VALUE"""),18.7)</f>
        <v>18.7</v>
      </c>
      <c r="E139" s="1">
        <f>IFERROR(__xludf.DUMMYFUNCTION("""COMPUTED_VALUE"""),19.2)</f>
        <v>19.2</v>
      </c>
      <c r="F139" s="1">
        <f>IFERROR(__xludf.DUMMYFUNCTION("""COMPUTED_VALUE"""),3.8231469E7)</f>
        <v>38231469</v>
      </c>
    </row>
    <row r="140" ht="15.75" customHeight="1">
      <c r="A140" s="10">
        <f>IFERROR(__xludf.DUMMYFUNCTION("""COMPUTED_VALUE"""),44029.64583333333)</f>
        <v>44029.64583</v>
      </c>
      <c r="B140" s="1">
        <f>IFERROR(__xludf.DUMMYFUNCTION("""COMPUTED_VALUE"""),18.4)</f>
        <v>18.4</v>
      </c>
      <c r="C140" s="1">
        <f>IFERROR(__xludf.DUMMYFUNCTION("""COMPUTED_VALUE"""),20.4)</f>
        <v>20.4</v>
      </c>
      <c r="D140" s="1">
        <f>IFERROR(__xludf.DUMMYFUNCTION("""COMPUTED_VALUE"""),18.1)</f>
        <v>18.1</v>
      </c>
      <c r="E140" s="1">
        <f>IFERROR(__xludf.DUMMYFUNCTION("""COMPUTED_VALUE"""),19.8)</f>
        <v>19.8</v>
      </c>
      <c r="F140" s="1">
        <f>IFERROR(__xludf.DUMMYFUNCTION("""COMPUTED_VALUE"""),7.1216655E7)</f>
        <v>71216655</v>
      </c>
    </row>
    <row r="141" ht="15.75" customHeight="1">
      <c r="A141" s="10">
        <f>IFERROR(__xludf.DUMMYFUNCTION("""COMPUTED_VALUE"""),44032.64583333333)</f>
        <v>44032.64583</v>
      </c>
      <c r="B141" s="1">
        <f>IFERROR(__xludf.DUMMYFUNCTION("""COMPUTED_VALUE"""),19.8)</f>
        <v>19.8</v>
      </c>
      <c r="C141" s="1">
        <f>IFERROR(__xludf.DUMMYFUNCTION("""COMPUTED_VALUE"""),19.95)</f>
        <v>19.95</v>
      </c>
      <c r="D141" s="1">
        <f>IFERROR(__xludf.DUMMYFUNCTION("""COMPUTED_VALUE"""),18.7)</f>
        <v>18.7</v>
      </c>
      <c r="E141" s="1">
        <f>IFERROR(__xludf.DUMMYFUNCTION("""COMPUTED_VALUE"""),19.45)</f>
        <v>19.45</v>
      </c>
      <c r="F141" s="1">
        <f>IFERROR(__xludf.DUMMYFUNCTION("""COMPUTED_VALUE"""),3.6859961E7)</f>
        <v>36859961</v>
      </c>
    </row>
    <row r="142" ht="15.75" customHeight="1">
      <c r="A142" s="10">
        <f>IFERROR(__xludf.DUMMYFUNCTION("""COMPUTED_VALUE"""),44033.64583333333)</f>
        <v>44033.64583</v>
      </c>
      <c r="B142" s="1">
        <f>IFERROR(__xludf.DUMMYFUNCTION("""COMPUTED_VALUE"""),19.0)</f>
        <v>19</v>
      </c>
      <c r="C142" s="1">
        <f>IFERROR(__xludf.DUMMYFUNCTION("""COMPUTED_VALUE"""),19.45)</f>
        <v>19.45</v>
      </c>
      <c r="D142" s="1">
        <f>IFERROR(__xludf.DUMMYFUNCTION("""COMPUTED_VALUE"""),18.8)</f>
        <v>18.8</v>
      </c>
      <c r="E142" s="1">
        <f>IFERROR(__xludf.DUMMYFUNCTION("""COMPUTED_VALUE"""),19.3)</f>
        <v>19.3</v>
      </c>
      <c r="F142" s="1">
        <f>IFERROR(__xludf.DUMMYFUNCTION("""COMPUTED_VALUE"""),2.756813E7)</f>
        <v>27568130</v>
      </c>
    </row>
    <row r="143" ht="15.75" customHeight="1">
      <c r="A143" s="10">
        <f>IFERROR(__xludf.DUMMYFUNCTION("""COMPUTED_VALUE"""),44034.64583333333)</f>
        <v>44034.64583</v>
      </c>
      <c r="B143" s="1">
        <f>IFERROR(__xludf.DUMMYFUNCTION("""COMPUTED_VALUE"""),18.65)</f>
        <v>18.65</v>
      </c>
      <c r="C143" s="1">
        <f>IFERROR(__xludf.DUMMYFUNCTION("""COMPUTED_VALUE"""),19.0)</f>
        <v>19</v>
      </c>
      <c r="D143" s="1">
        <f>IFERROR(__xludf.DUMMYFUNCTION("""COMPUTED_VALUE"""),18.05)</f>
        <v>18.05</v>
      </c>
      <c r="E143" s="1">
        <f>IFERROR(__xludf.DUMMYFUNCTION("""COMPUTED_VALUE"""),18.25)</f>
        <v>18.25</v>
      </c>
      <c r="F143" s="1">
        <f>IFERROR(__xludf.DUMMYFUNCTION("""COMPUTED_VALUE"""),4.7895059E7)</f>
        <v>47895059</v>
      </c>
    </row>
    <row r="144" ht="15.75" customHeight="1">
      <c r="A144" s="10">
        <f>IFERROR(__xludf.DUMMYFUNCTION("""COMPUTED_VALUE"""),44035.64583333333)</f>
        <v>44035.64583</v>
      </c>
      <c r="B144" s="1">
        <f>IFERROR(__xludf.DUMMYFUNCTION("""COMPUTED_VALUE"""),14.6)</f>
        <v>14.6</v>
      </c>
      <c r="C144" s="1">
        <f>IFERROR(__xludf.DUMMYFUNCTION("""COMPUTED_VALUE"""),16.45)</f>
        <v>16.45</v>
      </c>
      <c r="D144" s="1">
        <f>IFERROR(__xludf.DUMMYFUNCTION("""COMPUTED_VALUE"""),14.6)</f>
        <v>14.6</v>
      </c>
      <c r="E144" s="1">
        <f>IFERROR(__xludf.DUMMYFUNCTION("""COMPUTED_VALUE"""),14.75)</f>
        <v>14.75</v>
      </c>
      <c r="F144" s="1">
        <f>IFERROR(__xludf.DUMMYFUNCTION("""COMPUTED_VALUE"""),4.5354233E8)</f>
        <v>453542330</v>
      </c>
    </row>
    <row r="145" ht="15.75" customHeight="1">
      <c r="A145" s="10">
        <f>IFERROR(__xludf.DUMMYFUNCTION("""COMPUTED_VALUE"""),44036.64583333333)</f>
        <v>44036.64583</v>
      </c>
      <c r="B145" s="1">
        <f>IFERROR(__xludf.DUMMYFUNCTION("""COMPUTED_VALUE"""),14.0)</f>
        <v>14</v>
      </c>
      <c r="C145" s="1">
        <f>IFERROR(__xludf.DUMMYFUNCTION("""COMPUTED_VALUE"""),14.4)</f>
        <v>14.4</v>
      </c>
      <c r="D145" s="1">
        <f>IFERROR(__xludf.DUMMYFUNCTION("""COMPUTED_VALUE"""),13.55)</f>
        <v>13.55</v>
      </c>
      <c r="E145" s="1">
        <f>IFERROR(__xludf.DUMMYFUNCTION("""COMPUTED_VALUE"""),13.65)</f>
        <v>13.65</v>
      </c>
      <c r="F145" s="1">
        <f>IFERROR(__xludf.DUMMYFUNCTION("""COMPUTED_VALUE"""),4.5541617E8)</f>
        <v>455416170</v>
      </c>
    </row>
    <row r="146" ht="15.75" customHeight="1">
      <c r="A146" s="10">
        <f>IFERROR(__xludf.DUMMYFUNCTION("""COMPUTED_VALUE"""),44039.64583333333)</f>
        <v>44039.64583</v>
      </c>
      <c r="B146" s="1">
        <f>IFERROR(__xludf.DUMMYFUNCTION("""COMPUTED_VALUE"""),12.3)</f>
        <v>12.3</v>
      </c>
      <c r="C146" s="1">
        <f>IFERROR(__xludf.DUMMYFUNCTION("""COMPUTED_VALUE"""),12.3)</f>
        <v>12.3</v>
      </c>
      <c r="D146" s="1">
        <f>IFERROR(__xludf.DUMMYFUNCTION("""COMPUTED_VALUE"""),12.3)</f>
        <v>12.3</v>
      </c>
      <c r="E146" s="1">
        <f>IFERROR(__xludf.DUMMYFUNCTION("""COMPUTED_VALUE"""),12.3)</f>
        <v>12.3</v>
      </c>
      <c r="F146" s="1">
        <f>IFERROR(__xludf.DUMMYFUNCTION("""COMPUTED_VALUE"""),2.99502649E8)</f>
        <v>299502649</v>
      </c>
    </row>
    <row r="147" ht="15.75" customHeight="1">
      <c r="A147" s="10">
        <f>IFERROR(__xludf.DUMMYFUNCTION("""COMPUTED_VALUE"""),44040.64583333333)</f>
        <v>44040.64583</v>
      </c>
      <c r="B147" s="1">
        <f>IFERROR(__xludf.DUMMYFUNCTION("""COMPUTED_VALUE"""),11.1)</f>
        <v>11.1</v>
      </c>
      <c r="C147" s="1">
        <f>IFERROR(__xludf.DUMMYFUNCTION("""COMPUTED_VALUE"""),11.95)</f>
        <v>11.95</v>
      </c>
      <c r="D147" s="1">
        <f>IFERROR(__xludf.DUMMYFUNCTION("""COMPUTED_VALUE"""),11.1)</f>
        <v>11.1</v>
      </c>
      <c r="E147" s="1">
        <f>IFERROR(__xludf.DUMMYFUNCTION("""COMPUTED_VALUE"""),11.9)</f>
        <v>11.9</v>
      </c>
      <c r="F147" s="1">
        <f>IFERROR(__xludf.DUMMYFUNCTION("""COMPUTED_VALUE"""),1.057437063E9)</f>
        <v>1057437063</v>
      </c>
    </row>
    <row r="148" ht="15.75" customHeight="1">
      <c r="A148" s="10">
        <f>IFERROR(__xludf.DUMMYFUNCTION("""COMPUTED_VALUE"""),44041.64583333333)</f>
        <v>44041.64583</v>
      </c>
      <c r="B148" s="1">
        <f>IFERROR(__xludf.DUMMYFUNCTION("""COMPUTED_VALUE"""),12.0)</f>
        <v>12</v>
      </c>
      <c r="C148" s="1">
        <f>IFERROR(__xludf.DUMMYFUNCTION("""COMPUTED_VALUE"""),12.3)</f>
        <v>12.3</v>
      </c>
      <c r="D148" s="1">
        <f>IFERROR(__xludf.DUMMYFUNCTION("""COMPUTED_VALUE"""),11.65)</f>
        <v>11.65</v>
      </c>
      <c r="E148" s="1">
        <f>IFERROR(__xludf.DUMMYFUNCTION("""COMPUTED_VALUE"""),11.7)</f>
        <v>11.7</v>
      </c>
      <c r="F148" s="1">
        <f>IFERROR(__xludf.DUMMYFUNCTION("""COMPUTED_VALUE"""),5.96484508E8)</f>
        <v>596484508</v>
      </c>
    </row>
    <row r="149" ht="15.75" customHeight="1">
      <c r="A149" s="10">
        <f>IFERROR(__xludf.DUMMYFUNCTION("""COMPUTED_VALUE"""),44042.64583333333)</f>
        <v>44042.64583</v>
      </c>
      <c r="B149" s="1">
        <f>IFERROR(__xludf.DUMMYFUNCTION("""COMPUTED_VALUE"""),11.95)</f>
        <v>11.95</v>
      </c>
      <c r="C149" s="1">
        <f>IFERROR(__xludf.DUMMYFUNCTION("""COMPUTED_VALUE"""),12.1)</f>
        <v>12.1</v>
      </c>
      <c r="D149" s="1">
        <f>IFERROR(__xludf.DUMMYFUNCTION("""COMPUTED_VALUE"""),11.85)</f>
        <v>11.85</v>
      </c>
      <c r="E149" s="1">
        <f>IFERROR(__xludf.DUMMYFUNCTION("""COMPUTED_VALUE"""),11.95)</f>
        <v>11.95</v>
      </c>
      <c r="F149" s="1">
        <f>IFERROR(__xludf.DUMMYFUNCTION("""COMPUTED_VALUE"""),2.24040797E8)</f>
        <v>224040797</v>
      </c>
    </row>
    <row r="150" ht="15.75" customHeight="1">
      <c r="A150" s="10">
        <f>IFERROR(__xludf.DUMMYFUNCTION("""COMPUTED_VALUE"""),44043.64583333333)</f>
        <v>44043.64583</v>
      </c>
      <c r="B150" s="1">
        <f>IFERROR(__xludf.DUMMYFUNCTION("""COMPUTED_VALUE"""),12.05)</f>
        <v>12.05</v>
      </c>
      <c r="C150" s="1">
        <f>IFERROR(__xludf.DUMMYFUNCTION("""COMPUTED_VALUE"""),12.1)</f>
        <v>12.1</v>
      </c>
      <c r="D150" s="1">
        <f>IFERROR(__xludf.DUMMYFUNCTION("""COMPUTED_VALUE"""),11.9)</f>
        <v>11.9</v>
      </c>
      <c r="E150" s="1">
        <f>IFERROR(__xludf.DUMMYFUNCTION("""COMPUTED_VALUE"""),11.95)</f>
        <v>11.95</v>
      </c>
      <c r="F150" s="1">
        <f>IFERROR(__xludf.DUMMYFUNCTION("""COMPUTED_VALUE"""),1.20256191E8)</f>
        <v>120256191</v>
      </c>
    </row>
    <row r="151" ht="15.75" customHeight="1">
      <c r="A151" s="10">
        <f>IFERROR(__xludf.DUMMYFUNCTION("""COMPUTED_VALUE"""),44046.64583333333)</f>
        <v>44046.64583</v>
      </c>
      <c r="B151" s="1">
        <f>IFERROR(__xludf.DUMMYFUNCTION("""COMPUTED_VALUE"""),12.0)</f>
        <v>12</v>
      </c>
      <c r="C151" s="1">
        <f>IFERROR(__xludf.DUMMYFUNCTION("""COMPUTED_VALUE"""),12.05)</f>
        <v>12.05</v>
      </c>
      <c r="D151" s="1">
        <f>IFERROR(__xludf.DUMMYFUNCTION("""COMPUTED_VALUE"""),11.9)</f>
        <v>11.9</v>
      </c>
      <c r="E151" s="1">
        <f>IFERROR(__xludf.DUMMYFUNCTION("""COMPUTED_VALUE"""),12.0)</f>
        <v>12</v>
      </c>
      <c r="F151" s="1">
        <f>IFERROR(__xludf.DUMMYFUNCTION("""COMPUTED_VALUE"""),9.0338901E7)</f>
        <v>90338901</v>
      </c>
    </row>
    <row r="152" ht="15.75" customHeight="1">
      <c r="A152" s="10">
        <f>IFERROR(__xludf.DUMMYFUNCTION("""COMPUTED_VALUE"""),44047.64583333333)</f>
        <v>44047.64583</v>
      </c>
      <c r="B152" s="1">
        <f>IFERROR(__xludf.DUMMYFUNCTION("""COMPUTED_VALUE"""),12.3)</f>
        <v>12.3</v>
      </c>
      <c r="C152" s="1">
        <f>IFERROR(__xludf.DUMMYFUNCTION("""COMPUTED_VALUE"""),12.4)</f>
        <v>12.4</v>
      </c>
      <c r="D152" s="1">
        <f>IFERROR(__xludf.DUMMYFUNCTION("""COMPUTED_VALUE"""),12.15)</f>
        <v>12.15</v>
      </c>
      <c r="E152" s="1">
        <f>IFERROR(__xludf.DUMMYFUNCTION("""COMPUTED_VALUE"""),12.25)</f>
        <v>12.25</v>
      </c>
      <c r="F152" s="1">
        <f>IFERROR(__xludf.DUMMYFUNCTION("""COMPUTED_VALUE"""),1.57100547E8)</f>
        <v>157100547</v>
      </c>
    </row>
    <row r="153" ht="15.75" customHeight="1">
      <c r="A153" s="10">
        <f>IFERROR(__xludf.DUMMYFUNCTION("""COMPUTED_VALUE"""),44048.64583333333)</f>
        <v>44048.64583</v>
      </c>
      <c r="B153" s="1">
        <f>IFERROR(__xludf.DUMMYFUNCTION("""COMPUTED_VALUE"""),12.25)</f>
        <v>12.25</v>
      </c>
      <c r="C153" s="1">
        <f>IFERROR(__xludf.DUMMYFUNCTION("""COMPUTED_VALUE"""),12.85)</f>
        <v>12.85</v>
      </c>
      <c r="D153" s="1">
        <f>IFERROR(__xludf.DUMMYFUNCTION("""COMPUTED_VALUE"""),12.2)</f>
        <v>12.2</v>
      </c>
      <c r="E153" s="1">
        <f>IFERROR(__xludf.DUMMYFUNCTION("""COMPUTED_VALUE"""),12.85)</f>
        <v>12.85</v>
      </c>
      <c r="F153" s="1">
        <f>IFERROR(__xludf.DUMMYFUNCTION("""COMPUTED_VALUE"""),3.72810294E8)</f>
        <v>372810294</v>
      </c>
    </row>
    <row r="154" ht="15.75" customHeight="1">
      <c r="A154" s="10">
        <f>IFERROR(__xludf.DUMMYFUNCTION("""COMPUTED_VALUE"""),44049.64583333333)</f>
        <v>44049.64583</v>
      </c>
      <c r="B154" s="1">
        <f>IFERROR(__xludf.DUMMYFUNCTION("""COMPUTED_VALUE"""),13.45)</f>
        <v>13.45</v>
      </c>
      <c r="C154" s="1">
        <f>IFERROR(__xludf.DUMMYFUNCTION("""COMPUTED_VALUE"""),13.45)</f>
        <v>13.45</v>
      </c>
      <c r="D154" s="1">
        <f>IFERROR(__xludf.DUMMYFUNCTION("""COMPUTED_VALUE"""),13.15)</f>
        <v>13.15</v>
      </c>
      <c r="E154" s="1">
        <f>IFERROR(__xludf.DUMMYFUNCTION("""COMPUTED_VALUE"""),13.45)</f>
        <v>13.45</v>
      </c>
      <c r="F154" s="1">
        <f>IFERROR(__xludf.DUMMYFUNCTION("""COMPUTED_VALUE"""),4.26044874E8)</f>
        <v>426044874</v>
      </c>
    </row>
    <row r="155" ht="15.75" customHeight="1">
      <c r="A155" s="10">
        <f>IFERROR(__xludf.DUMMYFUNCTION("""COMPUTED_VALUE"""),44050.64583333333)</f>
        <v>44050.64583</v>
      </c>
      <c r="B155" s="1">
        <f>IFERROR(__xludf.DUMMYFUNCTION("""COMPUTED_VALUE"""),14.0)</f>
        <v>14</v>
      </c>
      <c r="C155" s="1">
        <f>IFERROR(__xludf.DUMMYFUNCTION("""COMPUTED_VALUE"""),14.1)</f>
        <v>14.1</v>
      </c>
      <c r="D155" s="1">
        <f>IFERROR(__xludf.DUMMYFUNCTION("""COMPUTED_VALUE"""),13.35)</f>
        <v>13.35</v>
      </c>
      <c r="E155" s="1">
        <f>IFERROR(__xludf.DUMMYFUNCTION("""COMPUTED_VALUE"""),14.1)</f>
        <v>14.1</v>
      </c>
      <c r="F155" s="1">
        <f>IFERROR(__xludf.DUMMYFUNCTION("""COMPUTED_VALUE"""),7.06276532E8)</f>
        <v>706276532</v>
      </c>
    </row>
    <row r="156" ht="15.75" customHeight="1">
      <c r="A156" s="10">
        <f>IFERROR(__xludf.DUMMYFUNCTION("""COMPUTED_VALUE"""),44053.64583333333)</f>
        <v>44053.64583</v>
      </c>
      <c r="B156" s="1">
        <f>IFERROR(__xludf.DUMMYFUNCTION("""COMPUTED_VALUE"""),14.5)</f>
        <v>14.5</v>
      </c>
      <c r="C156" s="1">
        <f>IFERROR(__xludf.DUMMYFUNCTION("""COMPUTED_VALUE"""),14.8)</f>
        <v>14.8</v>
      </c>
      <c r="D156" s="1">
        <f>IFERROR(__xludf.DUMMYFUNCTION("""COMPUTED_VALUE"""),14.3)</f>
        <v>14.3</v>
      </c>
      <c r="E156" s="1">
        <f>IFERROR(__xludf.DUMMYFUNCTION("""COMPUTED_VALUE"""),14.8)</f>
        <v>14.8</v>
      </c>
      <c r="F156" s="1">
        <f>IFERROR(__xludf.DUMMYFUNCTION("""COMPUTED_VALUE"""),2.21530509E8)</f>
        <v>221530509</v>
      </c>
    </row>
    <row r="157" ht="15.75" customHeight="1">
      <c r="A157" s="10">
        <f>IFERROR(__xludf.DUMMYFUNCTION("""COMPUTED_VALUE"""),44054.64583333333)</f>
        <v>44054.64583</v>
      </c>
      <c r="B157" s="1">
        <f>IFERROR(__xludf.DUMMYFUNCTION("""COMPUTED_VALUE"""),15.5)</f>
        <v>15.5</v>
      </c>
      <c r="C157" s="1">
        <f>IFERROR(__xludf.DUMMYFUNCTION("""COMPUTED_VALUE"""),15.5)</f>
        <v>15.5</v>
      </c>
      <c r="D157" s="1">
        <f>IFERROR(__xludf.DUMMYFUNCTION("""COMPUTED_VALUE"""),15.5)</f>
        <v>15.5</v>
      </c>
      <c r="E157" s="1">
        <f>IFERROR(__xludf.DUMMYFUNCTION("""COMPUTED_VALUE"""),15.5)</f>
        <v>15.5</v>
      </c>
      <c r="F157" s="1">
        <f>IFERROR(__xludf.DUMMYFUNCTION("""COMPUTED_VALUE"""),3.4750937E7)</f>
        <v>34750937</v>
      </c>
    </row>
    <row r="158" ht="15.75" customHeight="1">
      <c r="A158" s="10">
        <f>IFERROR(__xludf.DUMMYFUNCTION("""COMPUTED_VALUE"""),44055.64583333333)</f>
        <v>44055.64583</v>
      </c>
      <c r="B158" s="1">
        <f>IFERROR(__xludf.DUMMYFUNCTION("""COMPUTED_VALUE"""),16.25)</f>
        <v>16.25</v>
      </c>
      <c r="C158" s="1">
        <f>IFERROR(__xludf.DUMMYFUNCTION("""COMPUTED_VALUE"""),16.25)</f>
        <v>16.25</v>
      </c>
      <c r="D158" s="1">
        <f>IFERROR(__xludf.DUMMYFUNCTION("""COMPUTED_VALUE"""),16.25)</f>
        <v>16.25</v>
      </c>
      <c r="E158" s="1">
        <f>IFERROR(__xludf.DUMMYFUNCTION("""COMPUTED_VALUE"""),16.25)</f>
        <v>16.25</v>
      </c>
      <c r="F158" s="1">
        <f>IFERROR(__xludf.DUMMYFUNCTION("""COMPUTED_VALUE"""),3.1868264E7)</f>
        <v>31868264</v>
      </c>
    </row>
    <row r="159" ht="15.75" customHeight="1">
      <c r="A159" s="10">
        <f>IFERROR(__xludf.DUMMYFUNCTION("""COMPUTED_VALUE"""),44056.64583333333)</f>
        <v>44056.64583</v>
      </c>
      <c r="B159" s="1">
        <f>IFERROR(__xludf.DUMMYFUNCTION("""COMPUTED_VALUE"""),17.05)</f>
        <v>17.05</v>
      </c>
      <c r="C159" s="1">
        <f>IFERROR(__xludf.DUMMYFUNCTION("""COMPUTED_VALUE"""),17.05)</f>
        <v>17.05</v>
      </c>
      <c r="D159" s="1">
        <f>IFERROR(__xludf.DUMMYFUNCTION("""COMPUTED_VALUE"""),15.65)</f>
        <v>15.65</v>
      </c>
      <c r="E159" s="1">
        <f>IFERROR(__xludf.DUMMYFUNCTION("""COMPUTED_VALUE"""),15.85)</f>
        <v>15.85</v>
      </c>
      <c r="F159" s="1">
        <f>IFERROR(__xludf.DUMMYFUNCTION("""COMPUTED_VALUE"""),7.22526435E8)</f>
        <v>722526435</v>
      </c>
    </row>
    <row r="160" ht="15.75" customHeight="1">
      <c r="A160" s="10">
        <f>IFERROR(__xludf.DUMMYFUNCTION("""COMPUTED_VALUE"""),44057.64583333333)</f>
        <v>44057.64583</v>
      </c>
      <c r="B160" s="1">
        <f>IFERROR(__xludf.DUMMYFUNCTION("""COMPUTED_VALUE"""),15.9)</f>
        <v>15.9</v>
      </c>
      <c r="C160" s="1">
        <f>IFERROR(__xludf.DUMMYFUNCTION("""COMPUTED_VALUE"""),15.9)</f>
        <v>15.9</v>
      </c>
      <c r="D160" s="1">
        <f>IFERROR(__xludf.DUMMYFUNCTION("""COMPUTED_VALUE"""),15.1)</f>
        <v>15.1</v>
      </c>
      <c r="E160" s="1">
        <f>IFERROR(__xludf.DUMMYFUNCTION("""COMPUTED_VALUE"""),15.1)</f>
        <v>15.1</v>
      </c>
      <c r="F160" s="1">
        <f>IFERROR(__xludf.DUMMYFUNCTION("""COMPUTED_VALUE"""),1.90650308E8)</f>
        <v>190650308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D1" s="1" t="s">
        <v>2</v>
      </c>
    </row>
    <row r="2" ht="15.75" customHeight="1">
      <c r="A2" s="16" t="s">
        <v>180</v>
      </c>
      <c r="C2" s="2">
        <v>40179.0</v>
      </c>
      <c r="D2" s="2">
        <v>42232.0</v>
      </c>
    </row>
    <row r="3" ht="15.75" customHeight="1"/>
    <row r="4" ht="15.75" customHeight="1"/>
    <row r="5" ht="15.75" customHeight="1">
      <c r="A5" s="1" t="str">
        <f>IFERROR(__xludf.DUMMYFUNCTION("GOOGLEFINANCE(A2,""all"",C2, D2, ""WEEKLY"")"),"Date")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</row>
    <row r="6" ht="15.75" customHeight="1">
      <c r="A6" s="10">
        <f>IFERROR(__xludf.DUMMYFUNCTION("""COMPUTED_VALUE"""),40186.666666666664)</f>
        <v>40186.66667</v>
      </c>
      <c r="B6" s="1">
        <f>IFERROR(__xludf.DUMMYFUNCTION("""COMPUTED_VALUE"""),7.93)</f>
        <v>7.93</v>
      </c>
      <c r="C6" s="1">
        <f>IFERROR(__xludf.DUMMYFUNCTION("""COMPUTED_VALUE"""),7.96)</f>
        <v>7.96</v>
      </c>
      <c r="D6" s="1">
        <f>IFERROR(__xludf.DUMMYFUNCTION("""COMPUTED_VALUE"""),7.2)</f>
        <v>7.2</v>
      </c>
      <c r="E6" s="1">
        <f>IFERROR(__xludf.DUMMYFUNCTION("""COMPUTED_VALUE"""),7.61)</f>
        <v>7.61</v>
      </c>
      <c r="F6" s="1">
        <f>IFERROR(__xludf.DUMMYFUNCTION("""COMPUTED_VALUE"""),1.1774854E7)</f>
        <v>11774854</v>
      </c>
    </row>
    <row r="7" ht="15.75" customHeight="1">
      <c r="A7" s="10">
        <f>IFERROR(__xludf.DUMMYFUNCTION("""COMPUTED_VALUE"""),40193.666666666664)</f>
        <v>40193.66667</v>
      </c>
      <c r="B7" s="1">
        <f>IFERROR(__xludf.DUMMYFUNCTION("""COMPUTED_VALUE"""),7.65)</f>
        <v>7.65</v>
      </c>
      <c r="C7" s="1">
        <f>IFERROR(__xludf.DUMMYFUNCTION("""COMPUTED_VALUE"""),7.75)</f>
        <v>7.75</v>
      </c>
      <c r="D7" s="1">
        <f>IFERROR(__xludf.DUMMYFUNCTION("""COMPUTED_VALUE"""),7.23)</f>
        <v>7.23</v>
      </c>
      <c r="E7" s="1">
        <f>IFERROR(__xludf.DUMMYFUNCTION("""COMPUTED_VALUE"""),7.28)</f>
        <v>7.28</v>
      </c>
      <c r="F7" s="1">
        <f>IFERROR(__xludf.DUMMYFUNCTION("""COMPUTED_VALUE"""),8321511.0)</f>
        <v>8321511</v>
      </c>
    </row>
    <row r="8" ht="15.75" customHeight="1">
      <c r="A8" s="10">
        <f>IFERROR(__xludf.DUMMYFUNCTION("""COMPUTED_VALUE"""),40200.666666666664)</f>
        <v>40200.66667</v>
      </c>
      <c r="B8" s="1">
        <f>IFERROR(__xludf.DUMMYFUNCTION("""COMPUTED_VALUE"""),7.25)</f>
        <v>7.25</v>
      </c>
      <c r="C8" s="1">
        <f>IFERROR(__xludf.DUMMYFUNCTION("""COMPUTED_VALUE"""),7.49)</f>
        <v>7.49</v>
      </c>
      <c r="D8" s="1">
        <f>IFERROR(__xludf.DUMMYFUNCTION("""COMPUTED_VALUE"""),7.21)</f>
        <v>7.21</v>
      </c>
      <c r="E8" s="1">
        <f>IFERROR(__xludf.DUMMYFUNCTION("""COMPUTED_VALUE"""),7.27)</f>
        <v>7.27</v>
      </c>
      <c r="F8" s="1">
        <f>IFERROR(__xludf.DUMMYFUNCTION("""COMPUTED_VALUE"""),4719226.0)</f>
        <v>4719226</v>
      </c>
    </row>
    <row r="9" ht="15.75" customHeight="1">
      <c r="A9" s="10">
        <f>IFERROR(__xludf.DUMMYFUNCTION("""COMPUTED_VALUE"""),40207.666666666664)</f>
        <v>40207.66667</v>
      </c>
      <c r="B9" s="1">
        <f>IFERROR(__xludf.DUMMYFUNCTION("""COMPUTED_VALUE"""),7.29)</f>
        <v>7.29</v>
      </c>
      <c r="C9" s="1">
        <f>IFERROR(__xludf.DUMMYFUNCTION("""COMPUTED_VALUE"""),9.22)</f>
        <v>9.22</v>
      </c>
      <c r="D9" s="1">
        <f>IFERROR(__xludf.DUMMYFUNCTION("""COMPUTED_VALUE"""),6.93)</f>
        <v>6.93</v>
      </c>
      <c r="E9" s="1">
        <f>IFERROR(__xludf.DUMMYFUNCTION("""COMPUTED_VALUE"""),8.89)</f>
        <v>8.89</v>
      </c>
      <c r="F9" s="1">
        <f>IFERROR(__xludf.DUMMYFUNCTION("""COMPUTED_VALUE"""),2.1497221E7)</f>
        <v>21497221</v>
      </c>
    </row>
    <row r="10" ht="15.75" customHeight="1">
      <c r="A10" s="10">
        <f>IFERROR(__xludf.DUMMYFUNCTION("""COMPUTED_VALUE"""),40214.666666666664)</f>
        <v>40214.66667</v>
      </c>
      <c r="B10" s="1">
        <f>IFERROR(__xludf.DUMMYFUNCTION("""COMPUTED_VALUE"""),8.84)</f>
        <v>8.84</v>
      </c>
      <c r="C10" s="1">
        <f>IFERROR(__xludf.DUMMYFUNCTION("""COMPUTED_VALUE"""),8.98)</f>
        <v>8.98</v>
      </c>
      <c r="D10" s="1">
        <f>IFERROR(__xludf.DUMMYFUNCTION("""COMPUTED_VALUE"""),8.47)</f>
        <v>8.47</v>
      </c>
      <c r="E10" s="1">
        <f>IFERROR(__xludf.DUMMYFUNCTION("""COMPUTED_VALUE"""),8.69)</f>
        <v>8.69</v>
      </c>
      <c r="F10" s="1">
        <f>IFERROR(__xludf.DUMMYFUNCTION("""COMPUTED_VALUE"""),8578451.0)</f>
        <v>8578451</v>
      </c>
    </row>
    <row r="11" ht="15.75" customHeight="1">
      <c r="A11" s="10">
        <f>IFERROR(__xludf.DUMMYFUNCTION("""COMPUTED_VALUE"""),40221.666666666664)</f>
        <v>40221.66667</v>
      </c>
      <c r="B11" s="1">
        <f>IFERROR(__xludf.DUMMYFUNCTION("""COMPUTED_VALUE"""),8.69)</f>
        <v>8.69</v>
      </c>
      <c r="C11" s="1">
        <f>IFERROR(__xludf.DUMMYFUNCTION("""COMPUTED_VALUE"""),9.07)</f>
        <v>9.07</v>
      </c>
      <c r="D11" s="1">
        <f>IFERROR(__xludf.DUMMYFUNCTION("""COMPUTED_VALUE"""),8.57)</f>
        <v>8.57</v>
      </c>
      <c r="E11" s="1">
        <f>IFERROR(__xludf.DUMMYFUNCTION("""COMPUTED_VALUE"""),9.03)</f>
        <v>9.03</v>
      </c>
      <c r="F11" s="1">
        <f>IFERROR(__xludf.DUMMYFUNCTION("""COMPUTED_VALUE"""),5654315.0)</f>
        <v>5654315</v>
      </c>
    </row>
    <row r="12" ht="15.75" customHeight="1">
      <c r="A12" s="10">
        <f>IFERROR(__xludf.DUMMYFUNCTION("""COMPUTED_VALUE"""),40228.666666666664)</f>
        <v>40228.66667</v>
      </c>
      <c r="B12" s="1">
        <f>IFERROR(__xludf.DUMMYFUNCTION("""COMPUTED_VALUE"""),9.07)</f>
        <v>9.07</v>
      </c>
      <c r="C12" s="1">
        <f>IFERROR(__xludf.DUMMYFUNCTION("""COMPUTED_VALUE"""),9.58)</f>
        <v>9.58</v>
      </c>
      <c r="D12" s="1">
        <f>IFERROR(__xludf.DUMMYFUNCTION("""COMPUTED_VALUE"""),9.06)</f>
        <v>9.06</v>
      </c>
      <c r="E12" s="1">
        <f>IFERROR(__xludf.DUMMYFUNCTION("""COMPUTED_VALUE"""),9.52)</f>
        <v>9.52</v>
      </c>
      <c r="F12" s="1">
        <f>IFERROR(__xludf.DUMMYFUNCTION("""COMPUTED_VALUE"""),5105419.0)</f>
        <v>5105419</v>
      </c>
    </row>
    <row r="13" ht="15.75" customHeight="1">
      <c r="A13" s="10">
        <f>IFERROR(__xludf.DUMMYFUNCTION("""COMPUTED_VALUE"""),40235.666666666664)</f>
        <v>40235.66667</v>
      </c>
      <c r="B13" s="1">
        <f>IFERROR(__xludf.DUMMYFUNCTION("""COMPUTED_VALUE"""),9.53)</f>
        <v>9.53</v>
      </c>
      <c r="C13" s="1">
        <f>IFERROR(__xludf.DUMMYFUNCTION("""COMPUTED_VALUE"""),9.61)</f>
        <v>9.61</v>
      </c>
      <c r="D13" s="1">
        <f>IFERROR(__xludf.DUMMYFUNCTION("""COMPUTED_VALUE"""),9.01)</f>
        <v>9.01</v>
      </c>
      <c r="E13" s="1">
        <f>IFERROR(__xludf.DUMMYFUNCTION("""COMPUTED_VALUE"""),9.44)</f>
        <v>9.44</v>
      </c>
      <c r="F13" s="1">
        <f>IFERROR(__xludf.DUMMYFUNCTION("""COMPUTED_VALUE"""),1.1384864E7)</f>
        <v>11384864</v>
      </c>
    </row>
    <row r="14" ht="15.75" customHeight="1">
      <c r="A14" s="10">
        <f>IFERROR(__xludf.DUMMYFUNCTION("""COMPUTED_VALUE"""),40242.666666666664)</f>
        <v>40242.66667</v>
      </c>
      <c r="B14" s="1">
        <f>IFERROR(__xludf.DUMMYFUNCTION("""COMPUTED_VALUE"""),9.5)</f>
        <v>9.5</v>
      </c>
      <c r="C14" s="1">
        <f>IFERROR(__xludf.DUMMYFUNCTION("""COMPUTED_VALUE"""),10.0)</f>
        <v>10</v>
      </c>
      <c r="D14" s="1">
        <f>IFERROR(__xludf.DUMMYFUNCTION("""COMPUTED_VALUE"""),9.37)</f>
        <v>9.37</v>
      </c>
      <c r="E14" s="1">
        <f>IFERROR(__xludf.DUMMYFUNCTION("""COMPUTED_VALUE"""),9.66)</f>
        <v>9.66</v>
      </c>
      <c r="F14" s="1">
        <f>IFERROR(__xludf.DUMMYFUNCTION("""COMPUTED_VALUE"""),9008079.0)</f>
        <v>9008079</v>
      </c>
    </row>
    <row r="15" ht="15.75" customHeight="1">
      <c r="A15" s="10">
        <f>IFERROR(__xludf.DUMMYFUNCTION("""COMPUTED_VALUE"""),40249.666666666664)</f>
        <v>40249.66667</v>
      </c>
      <c r="B15" s="1">
        <f>IFERROR(__xludf.DUMMYFUNCTION("""COMPUTED_VALUE"""),9.71)</f>
        <v>9.71</v>
      </c>
      <c r="C15" s="1">
        <f>IFERROR(__xludf.DUMMYFUNCTION("""COMPUTED_VALUE"""),10.23)</f>
        <v>10.23</v>
      </c>
      <c r="D15" s="1">
        <f>IFERROR(__xludf.DUMMYFUNCTION("""COMPUTED_VALUE"""),9.69)</f>
        <v>9.69</v>
      </c>
      <c r="E15" s="1">
        <f>IFERROR(__xludf.DUMMYFUNCTION("""COMPUTED_VALUE"""),10.0)</f>
        <v>10</v>
      </c>
      <c r="F15" s="1">
        <f>IFERROR(__xludf.DUMMYFUNCTION("""COMPUTED_VALUE"""),6545692.0)</f>
        <v>6545692</v>
      </c>
    </row>
    <row r="16" ht="15.75" customHeight="1">
      <c r="A16" s="10">
        <f>IFERROR(__xludf.DUMMYFUNCTION("""COMPUTED_VALUE"""),40256.666666666664)</f>
        <v>40256.66667</v>
      </c>
      <c r="B16" s="1">
        <f>IFERROR(__xludf.DUMMYFUNCTION("""COMPUTED_VALUE"""),9.96)</f>
        <v>9.96</v>
      </c>
      <c r="C16" s="1">
        <f>IFERROR(__xludf.DUMMYFUNCTION("""COMPUTED_VALUE"""),10.25)</f>
        <v>10.25</v>
      </c>
      <c r="D16" s="1">
        <f>IFERROR(__xludf.DUMMYFUNCTION("""COMPUTED_VALUE"""),9.88)</f>
        <v>9.88</v>
      </c>
      <c r="E16" s="1">
        <f>IFERROR(__xludf.DUMMYFUNCTION("""COMPUTED_VALUE"""),10.06)</f>
        <v>10.06</v>
      </c>
      <c r="F16" s="1">
        <f>IFERROR(__xludf.DUMMYFUNCTION("""COMPUTED_VALUE"""),4772518.0)</f>
        <v>4772518</v>
      </c>
    </row>
    <row r="17" ht="15.75" customHeight="1">
      <c r="A17" s="10">
        <f>IFERROR(__xludf.DUMMYFUNCTION("""COMPUTED_VALUE"""),40263.666666666664)</f>
        <v>40263.66667</v>
      </c>
      <c r="B17" s="1">
        <f>IFERROR(__xludf.DUMMYFUNCTION("""COMPUTED_VALUE"""),10.05)</f>
        <v>10.05</v>
      </c>
      <c r="C17" s="1">
        <f>IFERROR(__xludf.DUMMYFUNCTION("""COMPUTED_VALUE"""),10.71)</f>
        <v>10.71</v>
      </c>
      <c r="D17" s="1">
        <f>IFERROR(__xludf.DUMMYFUNCTION("""COMPUTED_VALUE"""),10.01)</f>
        <v>10.01</v>
      </c>
      <c r="E17" s="1">
        <f>IFERROR(__xludf.DUMMYFUNCTION("""COMPUTED_VALUE"""),10.61)</f>
        <v>10.61</v>
      </c>
      <c r="F17" s="1">
        <f>IFERROR(__xludf.DUMMYFUNCTION("""COMPUTED_VALUE"""),4196382.0)</f>
        <v>4196382</v>
      </c>
    </row>
    <row r="18" ht="15.75" customHeight="1">
      <c r="A18" s="10">
        <f>IFERROR(__xludf.DUMMYFUNCTION("""COMPUTED_VALUE"""),40269.666666666664)</f>
        <v>40269.66667</v>
      </c>
      <c r="B18" s="1">
        <f>IFERROR(__xludf.DUMMYFUNCTION("""COMPUTED_VALUE"""),10.69)</f>
        <v>10.69</v>
      </c>
      <c r="C18" s="1">
        <f>IFERROR(__xludf.DUMMYFUNCTION("""COMPUTED_VALUE"""),10.81)</f>
        <v>10.81</v>
      </c>
      <c r="D18" s="1">
        <f>IFERROR(__xludf.DUMMYFUNCTION("""COMPUTED_VALUE"""),10.52)</f>
        <v>10.52</v>
      </c>
      <c r="E18" s="1">
        <f>IFERROR(__xludf.DUMMYFUNCTION("""COMPUTED_VALUE"""),10.71)</f>
        <v>10.71</v>
      </c>
      <c r="F18" s="1">
        <f>IFERROR(__xludf.DUMMYFUNCTION("""COMPUTED_VALUE"""),4650766.0)</f>
        <v>4650766</v>
      </c>
    </row>
    <row r="19" ht="15.75" customHeight="1">
      <c r="A19" s="10">
        <f>IFERROR(__xludf.DUMMYFUNCTION("""COMPUTED_VALUE"""),40277.666666666664)</f>
        <v>40277.66667</v>
      </c>
      <c r="B19" s="1">
        <f>IFERROR(__xludf.DUMMYFUNCTION("""COMPUTED_VALUE"""),10.8)</f>
        <v>10.8</v>
      </c>
      <c r="C19" s="1">
        <f>IFERROR(__xludf.DUMMYFUNCTION("""COMPUTED_VALUE"""),12.0)</f>
        <v>12</v>
      </c>
      <c r="D19" s="1">
        <f>IFERROR(__xludf.DUMMYFUNCTION("""COMPUTED_VALUE"""),10.8)</f>
        <v>10.8</v>
      </c>
      <c r="E19" s="1">
        <f>IFERROR(__xludf.DUMMYFUNCTION("""COMPUTED_VALUE"""),11.77)</f>
        <v>11.77</v>
      </c>
      <c r="F19" s="1">
        <f>IFERROR(__xludf.DUMMYFUNCTION("""COMPUTED_VALUE"""),1.3546037E7)</f>
        <v>13546037</v>
      </c>
    </row>
    <row r="20" ht="15.75" customHeight="1">
      <c r="A20" s="10">
        <f>IFERROR(__xludf.DUMMYFUNCTION("""COMPUTED_VALUE"""),40284.666666666664)</f>
        <v>40284.66667</v>
      </c>
      <c r="B20" s="1">
        <f>IFERROR(__xludf.DUMMYFUNCTION("""COMPUTED_VALUE"""),11.76)</f>
        <v>11.76</v>
      </c>
      <c r="C20" s="1">
        <f>IFERROR(__xludf.DUMMYFUNCTION("""COMPUTED_VALUE"""),12.73)</f>
        <v>12.73</v>
      </c>
      <c r="D20" s="1">
        <f>IFERROR(__xludf.DUMMYFUNCTION("""COMPUTED_VALUE"""),11.65)</f>
        <v>11.65</v>
      </c>
      <c r="E20" s="1">
        <f>IFERROR(__xludf.DUMMYFUNCTION("""COMPUTED_VALUE"""),12.19)</f>
        <v>12.19</v>
      </c>
      <c r="F20" s="1">
        <f>IFERROR(__xludf.DUMMYFUNCTION("""COMPUTED_VALUE"""),9700949.0)</f>
        <v>9700949</v>
      </c>
    </row>
    <row r="21" ht="15.75" customHeight="1">
      <c r="A21" s="10">
        <f>IFERROR(__xludf.DUMMYFUNCTION("""COMPUTED_VALUE"""),40291.666666666664)</f>
        <v>40291.66667</v>
      </c>
      <c r="B21" s="1">
        <f>IFERROR(__xludf.DUMMYFUNCTION("""COMPUTED_VALUE"""),12.18)</f>
        <v>12.18</v>
      </c>
      <c r="C21" s="1">
        <f>IFERROR(__xludf.DUMMYFUNCTION("""COMPUTED_VALUE"""),14.64)</f>
        <v>14.64</v>
      </c>
      <c r="D21" s="1">
        <f>IFERROR(__xludf.DUMMYFUNCTION("""COMPUTED_VALUE"""),11.82)</f>
        <v>11.82</v>
      </c>
      <c r="E21" s="1">
        <f>IFERROR(__xludf.DUMMYFUNCTION("""COMPUTED_VALUE"""),14.25)</f>
        <v>14.25</v>
      </c>
      <c r="F21" s="1">
        <f>IFERROR(__xludf.DUMMYFUNCTION("""COMPUTED_VALUE"""),2.4362055E7)</f>
        <v>24362055</v>
      </c>
    </row>
    <row r="22" ht="15.75" customHeight="1">
      <c r="A22" s="10">
        <f>IFERROR(__xludf.DUMMYFUNCTION("""COMPUTED_VALUE"""),40298.666666666664)</f>
        <v>40298.66667</v>
      </c>
      <c r="B22" s="1">
        <f>IFERROR(__xludf.DUMMYFUNCTION("""COMPUTED_VALUE"""),14.36)</f>
        <v>14.36</v>
      </c>
      <c r="C22" s="1">
        <f>IFERROR(__xludf.DUMMYFUNCTION("""COMPUTED_VALUE"""),15.67)</f>
        <v>15.67</v>
      </c>
      <c r="D22" s="1">
        <f>IFERROR(__xludf.DUMMYFUNCTION("""COMPUTED_VALUE"""),13.97)</f>
        <v>13.97</v>
      </c>
      <c r="E22" s="1">
        <f>IFERROR(__xludf.DUMMYFUNCTION("""COMPUTED_VALUE"""),14.13)</f>
        <v>14.13</v>
      </c>
      <c r="F22" s="1">
        <f>IFERROR(__xludf.DUMMYFUNCTION("""COMPUTED_VALUE"""),1.9343412E7)</f>
        <v>19343412</v>
      </c>
    </row>
    <row r="23" ht="15.75" customHeight="1">
      <c r="A23" s="10">
        <f>IFERROR(__xludf.DUMMYFUNCTION("""COMPUTED_VALUE"""),40305.666666666664)</f>
        <v>40305.66667</v>
      </c>
      <c r="B23" s="1">
        <f>IFERROR(__xludf.DUMMYFUNCTION("""COMPUTED_VALUE"""),14.26)</f>
        <v>14.26</v>
      </c>
      <c r="C23" s="1">
        <f>IFERROR(__xludf.DUMMYFUNCTION("""COMPUTED_VALUE"""),14.83)</f>
        <v>14.83</v>
      </c>
      <c r="D23" s="1">
        <f>IFERROR(__xludf.DUMMYFUNCTION("""COMPUTED_VALUE"""),12.86)</f>
        <v>12.86</v>
      </c>
      <c r="E23" s="1">
        <f>IFERROR(__xludf.DUMMYFUNCTION("""COMPUTED_VALUE"""),13.01)</f>
        <v>13.01</v>
      </c>
      <c r="F23" s="1">
        <f>IFERROR(__xludf.DUMMYFUNCTION("""COMPUTED_VALUE"""),1.3497334E7)</f>
        <v>13497334</v>
      </c>
    </row>
    <row r="24" ht="15.75" customHeight="1">
      <c r="A24" s="10">
        <f>IFERROR(__xludf.DUMMYFUNCTION("""COMPUTED_VALUE"""),40312.666666666664)</f>
        <v>40312.66667</v>
      </c>
      <c r="B24" s="1">
        <f>IFERROR(__xludf.DUMMYFUNCTION("""COMPUTED_VALUE"""),13.75)</f>
        <v>13.75</v>
      </c>
      <c r="C24" s="1">
        <f>IFERROR(__xludf.DUMMYFUNCTION("""COMPUTED_VALUE"""),17.07)</f>
        <v>17.07</v>
      </c>
      <c r="D24" s="1">
        <f>IFERROR(__xludf.DUMMYFUNCTION("""COMPUTED_VALUE"""),13.57)</f>
        <v>13.57</v>
      </c>
      <c r="E24" s="1">
        <f>IFERROR(__xludf.DUMMYFUNCTION("""COMPUTED_VALUE"""),14.37)</f>
        <v>14.37</v>
      </c>
      <c r="F24" s="1">
        <f>IFERROR(__xludf.DUMMYFUNCTION("""COMPUTED_VALUE"""),2.5069891E7)</f>
        <v>25069891</v>
      </c>
    </row>
    <row r="25" ht="15.75" customHeight="1">
      <c r="A25" s="10">
        <f>IFERROR(__xludf.DUMMYFUNCTION("""COMPUTED_VALUE"""),40319.666666666664)</f>
        <v>40319.66667</v>
      </c>
      <c r="B25" s="1">
        <f>IFERROR(__xludf.DUMMYFUNCTION("""COMPUTED_VALUE"""),14.47)</f>
        <v>14.47</v>
      </c>
      <c r="C25" s="1">
        <f>IFERROR(__xludf.DUMMYFUNCTION("""COMPUTED_VALUE"""),15.39)</f>
        <v>15.39</v>
      </c>
      <c r="D25" s="1">
        <f>IFERROR(__xludf.DUMMYFUNCTION("""COMPUTED_VALUE"""),12.97)</f>
        <v>12.97</v>
      </c>
      <c r="E25" s="1">
        <f>IFERROR(__xludf.DUMMYFUNCTION("""COMPUTED_VALUE"""),14.21)</f>
        <v>14.21</v>
      </c>
      <c r="F25" s="1">
        <f>IFERROR(__xludf.DUMMYFUNCTION("""COMPUTED_VALUE"""),2.0143176E7)</f>
        <v>20143176</v>
      </c>
    </row>
    <row r="26" ht="15.75" customHeight="1">
      <c r="A26" s="10">
        <f>IFERROR(__xludf.DUMMYFUNCTION("""COMPUTED_VALUE"""),40326.666666666664)</f>
        <v>40326.66667</v>
      </c>
      <c r="B26" s="1">
        <f>IFERROR(__xludf.DUMMYFUNCTION("""COMPUTED_VALUE"""),14.49)</f>
        <v>14.49</v>
      </c>
      <c r="C26" s="1">
        <f>IFERROR(__xludf.DUMMYFUNCTION("""COMPUTED_VALUE"""),16.28)</f>
        <v>16.28</v>
      </c>
      <c r="D26" s="1">
        <f>IFERROR(__xludf.DUMMYFUNCTION("""COMPUTED_VALUE"""),13.86)</f>
        <v>13.86</v>
      </c>
      <c r="E26" s="1">
        <f>IFERROR(__xludf.DUMMYFUNCTION("""COMPUTED_VALUE"""),15.88)</f>
        <v>15.88</v>
      </c>
      <c r="F26" s="1">
        <f>IFERROR(__xludf.DUMMYFUNCTION("""COMPUTED_VALUE"""),1.7586729E7)</f>
        <v>17586729</v>
      </c>
    </row>
    <row r="27" ht="15.75" customHeight="1">
      <c r="A27" s="10">
        <f>IFERROR(__xludf.DUMMYFUNCTION("""COMPUTED_VALUE"""),40333.666666666664)</f>
        <v>40333.66667</v>
      </c>
      <c r="B27" s="1">
        <f>IFERROR(__xludf.DUMMYFUNCTION("""COMPUTED_VALUE"""),15.63)</f>
        <v>15.63</v>
      </c>
      <c r="C27" s="1">
        <f>IFERROR(__xludf.DUMMYFUNCTION("""COMPUTED_VALUE"""),16.39)</f>
        <v>16.39</v>
      </c>
      <c r="D27" s="1">
        <f>IFERROR(__xludf.DUMMYFUNCTION("""COMPUTED_VALUE"""),14.97)</f>
        <v>14.97</v>
      </c>
      <c r="E27" s="1">
        <f>IFERROR(__xludf.DUMMYFUNCTION("""COMPUTED_VALUE"""),15.68)</f>
        <v>15.68</v>
      </c>
      <c r="F27" s="1">
        <f>IFERROR(__xludf.DUMMYFUNCTION("""COMPUTED_VALUE"""),1.0628734E7)</f>
        <v>10628734</v>
      </c>
    </row>
    <row r="28" ht="15.75" customHeight="1">
      <c r="A28" s="10">
        <f>IFERROR(__xludf.DUMMYFUNCTION("""COMPUTED_VALUE"""),40340.666666666664)</f>
        <v>40340.66667</v>
      </c>
      <c r="B28" s="1">
        <f>IFERROR(__xludf.DUMMYFUNCTION("""COMPUTED_VALUE"""),15.64)</f>
        <v>15.64</v>
      </c>
      <c r="C28" s="1">
        <f>IFERROR(__xludf.DUMMYFUNCTION("""COMPUTED_VALUE"""),17.36)</f>
        <v>17.36</v>
      </c>
      <c r="D28" s="1">
        <f>IFERROR(__xludf.DUMMYFUNCTION("""COMPUTED_VALUE"""),15.32)</f>
        <v>15.32</v>
      </c>
      <c r="E28" s="1">
        <f>IFERROR(__xludf.DUMMYFUNCTION("""COMPUTED_VALUE"""),17.24)</f>
        <v>17.24</v>
      </c>
      <c r="F28" s="1">
        <f>IFERROR(__xludf.DUMMYFUNCTION("""COMPUTED_VALUE"""),2.0509405E7)</f>
        <v>20509405</v>
      </c>
    </row>
    <row r="29" ht="15.75" customHeight="1">
      <c r="A29" s="10">
        <f>IFERROR(__xludf.DUMMYFUNCTION("""COMPUTED_VALUE"""),40347.666666666664)</f>
        <v>40347.66667</v>
      </c>
      <c r="B29" s="1">
        <f>IFERROR(__xludf.DUMMYFUNCTION("""COMPUTED_VALUE"""),17.63)</f>
        <v>17.63</v>
      </c>
      <c r="C29" s="1">
        <f>IFERROR(__xludf.DUMMYFUNCTION("""COMPUTED_VALUE"""),18.28)</f>
        <v>18.28</v>
      </c>
      <c r="D29" s="1">
        <f>IFERROR(__xludf.DUMMYFUNCTION("""COMPUTED_VALUE"""),17.15)</f>
        <v>17.15</v>
      </c>
      <c r="E29" s="1">
        <f>IFERROR(__xludf.DUMMYFUNCTION("""COMPUTED_VALUE"""),18.06)</f>
        <v>18.06</v>
      </c>
      <c r="F29" s="1">
        <f>IFERROR(__xludf.DUMMYFUNCTION("""COMPUTED_VALUE"""),1.9032378E7)</f>
        <v>19032378</v>
      </c>
    </row>
    <row r="30" ht="15.75" customHeight="1">
      <c r="A30" s="10">
        <f>IFERROR(__xludf.DUMMYFUNCTION("""COMPUTED_VALUE"""),40354.666666666664)</f>
        <v>40354.66667</v>
      </c>
      <c r="B30" s="1">
        <f>IFERROR(__xludf.DUMMYFUNCTION("""COMPUTED_VALUE"""),18.01)</f>
        <v>18.01</v>
      </c>
      <c r="C30" s="1">
        <f>IFERROR(__xludf.DUMMYFUNCTION("""COMPUTED_VALUE"""),18.1)</f>
        <v>18.1</v>
      </c>
      <c r="D30" s="1">
        <f>IFERROR(__xludf.DUMMYFUNCTION("""COMPUTED_VALUE"""),16.07)</f>
        <v>16.07</v>
      </c>
      <c r="E30" s="1">
        <f>IFERROR(__xludf.DUMMYFUNCTION("""COMPUTED_VALUE"""),16.85)</f>
        <v>16.85</v>
      </c>
      <c r="F30" s="1">
        <f>IFERROR(__xludf.DUMMYFUNCTION("""COMPUTED_VALUE"""),1.4340758E7)</f>
        <v>14340758</v>
      </c>
    </row>
    <row r="31" ht="15.75" customHeight="1">
      <c r="A31" s="10">
        <f>IFERROR(__xludf.DUMMYFUNCTION("""COMPUTED_VALUE"""),40361.666666666664)</f>
        <v>40361.66667</v>
      </c>
      <c r="B31" s="1">
        <f>IFERROR(__xludf.DUMMYFUNCTION("""COMPUTED_VALUE"""),16.95)</f>
        <v>16.95</v>
      </c>
      <c r="C31" s="1">
        <f>IFERROR(__xludf.DUMMYFUNCTION("""COMPUTED_VALUE"""),17.13)</f>
        <v>17.13</v>
      </c>
      <c r="D31" s="1">
        <f>IFERROR(__xludf.DUMMYFUNCTION("""COMPUTED_VALUE"""),14.75)</f>
        <v>14.75</v>
      </c>
      <c r="E31" s="1">
        <f>IFERROR(__xludf.DUMMYFUNCTION("""COMPUTED_VALUE"""),15.3)</f>
        <v>15.3</v>
      </c>
      <c r="F31" s="1">
        <f>IFERROR(__xludf.DUMMYFUNCTION("""COMPUTED_VALUE"""),1.3155263E7)</f>
        <v>13155263</v>
      </c>
    </row>
    <row r="32" ht="15.75" customHeight="1">
      <c r="A32" s="10">
        <f>IFERROR(__xludf.DUMMYFUNCTION("""COMPUTED_VALUE"""),40368.666666666664)</f>
        <v>40368.66667</v>
      </c>
      <c r="B32" s="1">
        <f>IFERROR(__xludf.DUMMYFUNCTION("""COMPUTED_VALUE"""),15.63)</f>
        <v>15.63</v>
      </c>
      <c r="C32" s="1">
        <f>IFERROR(__xludf.DUMMYFUNCTION("""COMPUTED_VALUE"""),17.54)</f>
        <v>17.54</v>
      </c>
      <c r="D32" s="1">
        <f>IFERROR(__xludf.DUMMYFUNCTION("""COMPUTED_VALUE"""),15.18)</f>
        <v>15.18</v>
      </c>
      <c r="E32" s="1">
        <f>IFERROR(__xludf.DUMMYFUNCTION("""COMPUTED_VALUE"""),16.79)</f>
        <v>16.79</v>
      </c>
      <c r="F32" s="1">
        <f>IFERROR(__xludf.DUMMYFUNCTION("""COMPUTED_VALUE"""),1.1898177E7)</f>
        <v>11898177</v>
      </c>
    </row>
    <row r="33" ht="15.75" customHeight="1">
      <c r="A33" s="10">
        <f>IFERROR(__xludf.DUMMYFUNCTION("""COMPUTED_VALUE"""),40375.666666666664)</f>
        <v>40375.66667</v>
      </c>
      <c r="B33" s="1">
        <f>IFERROR(__xludf.DUMMYFUNCTION("""COMPUTED_VALUE"""),16.85)</f>
        <v>16.85</v>
      </c>
      <c r="C33" s="1">
        <f>IFERROR(__xludf.DUMMYFUNCTION("""COMPUTED_VALUE"""),17.71)</f>
        <v>17.71</v>
      </c>
      <c r="D33" s="1">
        <f>IFERROR(__xludf.DUMMYFUNCTION("""COMPUTED_VALUE"""),16.73)</f>
        <v>16.73</v>
      </c>
      <c r="E33" s="1">
        <f>IFERROR(__xludf.DUMMYFUNCTION("""COMPUTED_VALUE"""),16.91)</f>
        <v>16.91</v>
      </c>
      <c r="F33" s="1">
        <f>IFERROR(__xludf.DUMMYFUNCTION("""COMPUTED_VALUE"""),1.0634703E7)</f>
        <v>10634703</v>
      </c>
    </row>
    <row r="34" ht="15.75" customHeight="1">
      <c r="A34" s="10">
        <f>IFERROR(__xludf.DUMMYFUNCTION("""COMPUTED_VALUE"""),40382.666666666664)</f>
        <v>40382.66667</v>
      </c>
      <c r="B34" s="1">
        <f>IFERROR(__xludf.DUMMYFUNCTION("""COMPUTED_VALUE"""),16.82)</f>
        <v>16.82</v>
      </c>
      <c r="C34" s="1">
        <f>IFERROR(__xludf.DUMMYFUNCTION("""COMPUTED_VALUE"""),17.66)</f>
        <v>17.66</v>
      </c>
      <c r="D34" s="1">
        <f>IFERROR(__xludf.DUMMYFUNCTION("""COMPUTED_VALUE"""),14.54)</f>
        <v>14.54</v>
      </c>
      <c r="E34" s="1">
        <f>IFERROR(__xludf.DUMMYFUNCTION("""COMPUTED_VALUE"""),15.39)</f>
        <v>15.39</v>
      </c>
      <c r="F34" s="1">
        <f>IFERROR(__xludf.DUMMYFUNCTION("""COMPUTED_VALUE"""),2.7579802E7)</f>
        <v>27579802</v>
      </c>
    </row>
    <row r="35" ht="15.75" customHeight="1">
      <c r="A35" s="10">
        <f>IFERROR(__xludf.DUMMYFUNCTION("""COMPUTED_VALUE"""),40389.666666666664)</f>
        <v>40389.66667</v>
      </c>
      <c r="B35" s="1">
        <f>IFERROR(__xludf.DUMMYFUNCTION("""COMPUTED_VALUE"""),15.5)</f>
        <v>15.5</v>
      </c>
      <c r="C35" s="1">
        <f>IFERROR(__xludf.DUMMYFUNCTION("""COMPUTED_VALUE"""),15.57)</f>
        <v>15.57</v>
      </c>
      <c r="D35" s="1">
        <f>IFERROR(__xludf.DUMMYFUNCTION("""COMPUTED_VALUE"""),13.62)</f>
        <v>13.62</v>
      </c>
      <c r="E35" s="1">
        <f>IFERROR(__xludf.DUMMYFUNCTION("""COMPUTED_VALUE"""),14.65)</f>
        <v>14.65</v>
      </c>
      <c r="F35" s="1">
        <f>IFERROR(__xludf.DUMMYFUNCTION("""COMPUTED_VALUE"""),2.2273905E7)</f>
        <v>22273905</v>
      </c>
    </row>
    <row r="36" ht="15.75" customHeight="1">
      <c r="A36" s="10">
        <f>IFERROR(__xludf.DUMMYFUNCTION("""COMPUTED_VALUE"""),40396.666666666664)</f>
        <v>40396.66667</v>
      </c>
      <c r="B36" s="1">
        <f>IFERROR(__xludf.DUMMYFUNCTION("""COMPUTED_VALUE"""),14.83)</f>
        <v>14.83</v>
      </c>
      <c r="C36" s="1">
        <f>IFERROR(__xludf.DUMMYFUNCTION("""COMPUTED_VALUE"""),16.96)</f>
        <v>16.96</v>
      </c>
      <c r="D36" s="1">
        <f>IFERROR(__xludf.DUMMYFUNCTION("""COMPUTED_VALUE"""),14.1)</f>
        <v>14.1</v>
      </c>
      <c r="E36" s="1">
        <f>IFERROR(__xludf.DUMMYFUNCTION("""COMPUTED_VALUE"""),16.9)</f>
        <v>16.9</v>
      </c>
      <c r="F36" s="1">
        <f>IFERROR(__xludf.DUMMYFUNCTION("""COMPUTED_VALUE"""),2.1675385E7)</f>
        <v>21675385</v>
      </c>
    </row>
    <row r="37" ht="15.75" customHeight="1">
      <c r="A37" s="10">
        <f>IFERROR(__xludf.DUMMYFUNCTION("""COMPUTED_VALUE"""),40403.666666666664)</f>
        <v>40403.66667</v>
      </c>
      <c r="B37" s="1">
        <f>IFERROR(__xludf.DUMMYFUNCTION("""COMPUTED_VALUE"""),16.86)</f>
        <v>16.86</v>
      </c>
      <c r="C37" s="1">
        <f>IFERROR(__xludf.DUMMYFUNCTION("""COMPUTED_VALUE"""),19.2)</f>
        <v>19.2</v>
      </c>
      <c r="D37" s="1">
        <f>IFERROR(__xludf.DUMMYFUNCTION("""COMPUTED_VALUE"""),16.17)</f>
        <v>16.17</v>
      </c>
      <c r="E37" s="1">
        <f>IFERROR(__xludf.DUMMYFUNCTION("""COMPUTED_VALUE"""),18.89)</f>
        <v>18.89</v>
      </c>
      <c r="F37" s="1">
        <f>IFERROR(__xludf.DUMMYFUNCTION("""COMPUTED_VALUE"""),4.3301972E7)</f>
        <v>43301972</v>
      </c>
    </row>
    <row r="38" ht="15.75" customHeight="1">
      <c r="A38" s="10">
        <f>IFERROR(__xludf.DUMMYFUNCTION("""COMPUTED_VALUE"""),40410.666666666664)</f>
        <v>40410.66667</v>
      </c>
      <c r="B38" s="1">
        <f>IFERROR(__xludf.DUMMYFUNCTION("""COMPUTED_VALUE"""),18.81)</f>
        <v>18.81</v>
      </c>
      <c r="C38" s="1">
        <f>IFERROR(__xludf.DUMMYFUNCTION("""COMPUTED_VALUE"""),20.13)</f>
        <v>20.13</v>
      </c>
      <c r="D38" s="1">
        <f>IFERROR(__xludf.DUMMYFUNCTION("""COMPUTED_VALUE"""),17.66)</f>
        <v>17.66</v>
      </c>
      <c r="E38" s="1">
        <f>IFERROR(__xludf.DUMMYFUNCTION("""COMPUTED_VALUE"""),18.57)</f>
        <v>18.57</v>
      </c>
      <c r="F38" s="1">
        <f>IFERROR(__xludf.DUMMYFUNCTION("""COMPUTED_VALUE"""),3.324912E7)</f>
        <v>33249120</v>
      </c>
    </row>
    <row r="39" ht="15.75" customHeight="1">
      <c r="A39" s="10">
        <f>IFERROR(__xludf.DUMMYFUNCTION("""COMPUTED_VALUE"""),40417.666666666664)</f>
        <v>40417.66667</v>
      </c>
      <c r="B39" s="1">
        <f>IFERROR(__xludf.DUMMYFUNCTION("""COMPUTED_VALUE"""),18.64)</f>
        <v>18.64</v>
      </c>
      <c r="C39" s="1">
        <f>IFERROR(__xludf.DUMMYFUNCTION("""COMPUTED_VALUE"""),18.93)</f>
        <v>18.93</v>
      </c>
      <c r="D39" s="1">
        <f>IFERROR(__xludf.DUMMYFUNCTION("""COMPUTED_VALUE"""),17.09)</f>
        <v>17.09</v>
      </c>
      <c r="E39" s="1">
        <f>IFERROR(__xludf.DUMMYFUNCTION("""COMPUTED_VALUE"""),18.01)</f>
        <v>18.01</v>
      </c>
      <c r="F39" s="1">
        <f>IFERROR(__xludf.DUMMYFUNCTION("""COMPUTED_VALUE"""),1.9014785E7)</f>
        <v>19014785</v>
      </c>
    </row>
    <row r="40" ht="15.75" customHeight="1">
      <c r="A40" s="10">
        <f>IFERROR(__xludf.DUMMYFUNCTION("""COMPUTED_VALUE"""),40424.666666666664)</f>
        <v>40424.66667</v>
      </c>
      <c r="B40" s="1">
        <f>IFERROR(__xludf.DUMMYFUNCTION("""COMPUTED_VALUE"""),17.89)</f>
        <v>17.89</v>
      </c>
      <c r="C40" s="1">
        <f>IFERROR(__xludf.DUMMYFUNCTION("""COMPUTED_VALUE"""),20.36)</f>
        <v>20.36</v>
      </c>
      <c r="D40" s="1">
        <f>IFERROR(__xludf.DUMMYFUNCTION("""COMPUTED_VALUE"""),17.4)</f>
        <v>17.4</v>
      </c>
      <c r="E40" s="1">
        <f>IFERROR(__xludf.DUMMYFUNCTION("""COMPUTED_VALUE"""),19.78)</f>
        <v>19.78</v>
      </c>
      <c r="F40" s="1">
        <f>IFERROR(__xludf.DUMMYFUNCTION("""COMPUTED_VALUE"""),2.4687831E7)</f>
        <v>24687831</v>
      </c>
    </row>
    <row r="41" ht="15.75" customHeight="1">
      <c r="A41" s="10">
        <f>IFERROR(__xludf.DUMMYFUNCTION("""COMPUTED_VALUE"""),40431.666666666664)</f>
        <v>40431.66667</v>
      </c>
      <c r="B41" s="1">
        <f>IFERROR(__xludf.DUMMYFUNCTION("""COMPUTED_VALUE"""),19.71)</f>
        <v>19.71</v>
      </c>
      <c r="C41" s="1">
        <f>IFERROR(__xludf.DUMMYFUNCTION("""COMPUTED_VALUE"""),21.39)</f>
        <v>21.39</v>
      </c>
      <c r="D41" s="1">
        <f>IFERROR(__xludf.DUMMYFUNCTION("""COMPUTED_VALUE"""),19.66)</f>
        <v>19.66</v>
      </c>
      <c r="E41" s="1">
        <f>IFERROR(__xludf.DUMMYFUNCTION("""COMPUTED_VALUE"""),20.88)</f>
        <v>20.88</v>
      </c>
      <c r="F41" s="1">
        <f>IFERROR(__xludf.DUMMYFUNCTION("""COMPUTED_VALUE"""),1.6836213E7)</f>
        <v>16836213</v>
      </c>
    </row>
    <row r="42" ht="15.75" customHeight="1">
      <c r="A42" s="10">
        <f>IFERROR(__xludf.DUMMYFUNCTION("""COMPUTED_VALUE"""),40438.666666666664)</f>
        <v>40438.66667</v>
      </c>
      <c r="B42" s="1">
        <f>IFERROR(__xludf.DUMMYFUNCTION("""COMPUTED_VALUE"""),21.34)</f>
        <v>21.34</v>
      </c>
      <c r="C42" s="1">
        <f>IFERROR(__xludf.DUMMYFUNCTION("""COMPUTED_VALUE"""),21.42)</f>
        <v>21.42</v>
      </c>
      <c r="D42" s="1">
        <f>IFERROR(__xludf.DUMMYFUNCTION("""COMPUTED_VALUE"""),20.0)</f>
        <v>20</v>
      </c>
      <c r="E42" s="1">
        <f>IFERROR(__xludf.DUMMYFUNCTION("""COMPUTED_VALUE"""),20.07)</f>
        <v>20.07</v>
      </c>
      <c r="F42" s="1">
        <f>IFERROR(__xludf.DUMMYFUNCTION("""COMPUTED_VALUE"""),1.7099854E7)</f>
        <v>17099854</v>
      </c>
    </row>
    <row r="43" ht="15.75" customHeight="1">
      <c r="A43" s="10">
        <f>IFERROR(__xludf.DUMMYFUNCTION("""COMPUTED_VALUE"""),40445.666666666664)</f>
        <v>40445.66667</v>
      </c>
      <c r="B43" s="1">
        <f>IFERROR(__xludf.DUMMYFUNCTION("""COMPUTED_VALUE"""),20.29)</f>
        <v>20.29</v>
      </c>
      <c r="C43" s="1">
        <f>IFERROR(__xludf.DUMMYFUNCTION("""COMPUTED_VALUE"""),23.87)</f>
        <v>23.87</v>
      </c>
      <c r="D43" s="1">
        <f>IFERROR(__xludf.DUMMYFUNCTION("""COMPUTED_VALUE"""),20.0)</f>
        <v>20</v>
      </c>
      <c r="E43" s="1">
        <f>IFERROR(__xludf.DUMMYFUNCTION("""COMPUTED_VALUE"""),23.17)</f>
        <v>23.17</v>
      </c>
      <c r="F43" s="1">
        <f>IFERROR(__xludf.DUMMYFUNCTION("""COMPUTED_VALUE"""),3.9905578E7)</f>
        <v>39905578</v>
      </c>
    </row>
    <row r="44" ht="15.75" customHeight="1">
      <c r="A44" s="10">
        <f>IFERROR(__xludf.DUMMYFUNCTION("""COMPUTED_VALUE"""),40452.666666666664)</f>
        <v>40452.66667</v>
      </c>
      <c r="B44" s="1">
        <f>IFERROR(__xludf.DUMMYFUNCTION("""COMPUTED_VALUE"""),22.94)</f>
        <v>22.94</v>
      </c>
      <c r="C44" s="1">
        <f>IFERROR(__xludf.DUMMYFUNCTION("""COMPUTED_VALUE"""),24.91)</f>
        <v>24.91</v>
      </c>
      <c r="D44" s="1">
        <f>IFERROR(__xludf.DUMMYFUNCTION("""COMPUTED_VALUE"""),21.97)</f>
        <v>21.97</v>
      </c>
      <c r="E44" s="1">
        <f>IFERROR(__xludf.DUMMYFUNCTION("""COMPUTED_VALUE"""),22.09)</f>
        <v>22.09</v>
      </c>
      <c r="F44" s="1">
        <f>IFERROR(__xludf.DUMMYFUNCTION("""COMPUTED_VALUE"""),3.7939785E7)</f>
        <v>37939785</v>
      </c>
    </row>
    <row r="45" ht="15.75" customHeight="1">
      <c r="A45" s="10">
        <f>IFERROR(__xludf.DUMMYFUNCTION("""COMPUTED_VALUE"""),40459.666666666664)</f>
        <v>40459.66667</v>
      </c>
      <c r="B45" s="1">
        <f>IFERROR(__xludf.DUMMYFUNCTION("""COMPUTED_VALUE"""),21.86)</f>
        <v>21.86</v>
      </c>
      <c r="C45" s="1">
        <f>IFERROR(__xludf.DUMMYFUNCTION("""COMPUTED_VALUE"""),22.86)</f>
        <v>22.86</v>
      </c>
      <c r="D45" s="1">
        <f>IFERROR(__xludf.DUMMYFUNCTION("""COMPUTED_VALUE"""),21.15)</f>
        <v>21.15</v>
      </c>
      <c r="E45" s="1">
        <f>IFERROR(__xludf.DUMMYFUNCTION("""COMPUTED_VALUE"""),21.38)</f>
        <v>21.38</v>
      </c>
      <c r="F45" s="1">
        <f>IFERROR(__xludf.DUMMYFUNCTION("""COMPUTED_VALUE"""),2.6172909E7)</f>
        <v>26172909</v>
      </c>
    </row>
    <row r="46" ht="15.75" customHeight="1">
      <c r="A46" s="10">
        <f>IFERROR(__xludf.DUMMYFUNCTION("""COMPUTED_VALUE"""),40466.666666666664)</f>
        <v>40466.66667</v>
      </c>
      <c r="B46" s="1">
        <f>IFERROR(__xludf.DUMMYFUNCTION("""COMPUTED_VALUE"""),21.53)</f>
        <v>21.53</v>
      </c>
      <c r="C46" s="1">
        <f>IFERROR(__xludf.DUMMYFUNCTION("""COMPUTED_VALUE"""),22.79)</f>
        <v>22.79</v>
      </c>
      <c r="D46" s="1">
        <f>IFERROR(__xludf.DUMMYFUNCTION("""COMPUTED_VALUE"""),21.46)</f>
        <v>21.46</v>
      </c>
      <c r="E46" s="1">
        <f>IFERROR(__xludf.DUMMYFUNCTION("""COMPUTED_VALUE"""),22.25)</f>
        <v>22.25</v>
      </c>
      <c r="F46" s="1">
        <f>IFERROR(__xludf.DUMMYFUNCTION("""COMPUTED_VALUE"""),1.7588211E7)</f>
        <v>17588211</v>
      </c>
    </row>
    <row r="47" ht="15.75" customHeight="1">
      <c r="A47" s="10">
        <f>IFERROR(__xludf.DUMMYFUNCTION("""COMPUTED_VALUE"""),40473.666666666664)</f>
        <v>40473.66667</v>
      </c>
      <c r="B47" s="1">
        <f>IFERROR(__xludf.DUMMYFUNCTION("""COMPUTED_VALUE"""),22.34)</f>
        <v>22.34</v>
      </c>
      <c r="C47" s="1">
        <f>IFERROR(__xludf.DUMMYFUNCTION("""COMPUTED_VALUE"""),24.99)</f>
        <v>24.99</v>
      </c>
      <c r="D47" s="1">
        <f>IFERROR(__xludf.DUMMYFUNCTION("""COMPUTED_VALUE"""),21.05)</f>
        <v>21.05</v>
      </c>
      <c r="E47" s="1">
        <f>IFERROR(__xludf.DUMMYFUNCTION("""COMPUTED_VALUE"""),24.01)</f>
        <v>24.01</v>
      </c>
      <c r="F47" s="1">
        <f>IFERROR(__xludf.DUMMYFUNCTION("""COMPUTED_VALUE"""),3.8569058E7)</f>
        <v>38569058</v>
      </c>
    </row>
    <row r="48" ht="15.75" customHeight="1">
      <c r="A48" s="10">
        <f>IFERROR(__xludf.DUMMYFUNCTION("""COMPUTED_VALUE"""),40480.666666666664)</f>
        <v>40480.66667</v>
      </c>
      <c r="B48" s="1">
        <f>IFERROR(__xludf.DUMMYFUNCTION("""COMPUTED_VALUE"""),24.23)</f>
        <v>24.23</v>
      </c>
      <c r="C48" s="1">
        <f>IFERROR(__xludf.DUMMYFUNCTION("""COMPUTED_VALUE"""),26.39)</f>
        <v>26.39</v>
      </c>
      <c r="D48" s="1">
        <f>IFERROR(__xludf.DUMMYFUNCTION("""COMPUTED_VALUE"""),23.58)</f>
        <v>23.58</v>
      </c>
      <c r="E48" s="1">
        <f>IFERROR(__xludf.DUMMYFUNCTION("""COMPUTED_VALUE"""),24.8)</f>
        <v>24.8</v>
      </c>
      <c r="F48" s="1">
        <f>IFERROR(__xludf.DUMMYFUNCTION("""COMPUTED_VALUE"""),3.3202897E7)</f>
        <v>33202897</v>
      </c>
    </row>
    <row r="49" ht="15.75" customHeight="1">
      <c r="A49" s="10">
        <f>IFERROR(__xludf.DUMMYFUNCTION("""COMPUTED_VALUE"""),40487.666666666664)</f>
        <v>40487.66667</v>
      </c>
      <c r="B49" s="1">
        <f>IFERROR(__xludf.DUMMYFUNCTION("""COMPUTED_VALUE"""),24.86)</f>
        <v>24.86</v>
      </c>
      <c r="C49" s="1">
        <f>IFERROR(__xludf.DUMMYFUNCTION("""COMPUTED_VALUE"""),24.86)</f>
        <v>24.86</v>
      </c>
      <c r="D49" s="1">
        <f>IFERROR(__xludf.DUMMYFUNCTION("""COMPUTED_VALUE"""),23.67)</f>
        <v>23.67</v>
      </c>
      <c r="E49" s="1">
        <f>IFERROR(__xludf.DUMMYFUNCTION("""COMPUTED_VALUE"""),24.01)</f>
        <v>24.01</v>
      </c>
      <c r="F49" s="1">
        <f>IFERROR(__xludf.DUMMYFUNCTION("""COMPUTED_VALUE"""),2.3283702E7)</f>
        <v>23283702</v>
      </c>
    </row>
    <row r="50" ht="15.75" customHeight="1">
      <c r="A50" s="10">
        <f>IFERROR(__xludf.DUMMYFUNCTION("""COMPUTED_VALUE"""),40494.666666666664)</f>
        <v>40494.66667</v>
      </c>
      <c r="B50" s="1">
        <f>IFERROR(__xludf.DUMMYFUNCTION("""COMPUTED_VALUE"""),23.83)</f>
        <v>23.83</v>
      </c>
      <c r="C50" s="1">
        <f>IFERROR(__xludf.DUMMYFUNCTION("""COMPUTED_VALUE"""),25.53)</f>
        <v>25.53</v>
      </c>
      <c r="D50" s="1">
        <f>IFERROR(__xludf.DUMMYFUNCTION("""COMPUTED_VALUE"""),23.61)</f>
        <v>23.61</v>
      </c>
      <c r="E50" s="1">
        <f>IFERROR(__xludf.DUMMYFUNCTION("""COMPUTED_VALUE"""),24.71)</f>
        <v>24.71</v>
      </c>
      <c r="F50" s="1">
        <f>IFERROR(__xludf.DUMMYFUNCTION("""COMPUTED_VALUE"""),2.3765113E7)</f>
        <v>23765113</v>
      </c>
    </row>
    <row r="51" ht="15.75" customHeight="1">
      <c r="A51" s="10">
        <f>IFERROR(__xludf.DUMMYFUNCTION("""COMPUTED_VALUE"""),40501.666666666664)</f>
        <v>40501.66667</v>
      </c>
      <c r="B51" s="1">
        <f>IFERROR(__xludf.DUMMYFUNCTION("""COMPUTED_VALUE"""),24.56)</f>
        <v>24.56</v>
      </c>
      <c r="C51" s="1">
        <f>IFERROR(__xludf.DUMMYFUNCTION("""COMPUTED_VALUE"""),24.79)</f>
        <v>24.79</v>
      </c>
      <c r="D51" s="1">
        <f>IFERROR(__xludf.DUMMYFUNCTION("""COMPUTED_VALUE"""),23.37)</f>
        <v>23.37</v>
      </c>
      <c r="E51" s="1">
        <f>IFERROR(__xludf.DUMMYFUNCTION("""COMPUTED_VALUE"""),24.72)</f>
        <v>24.72</v>
      </c>
      <c r="F51" s="1">
        <f>IFERROR(__xludf.DUMMYFUNCTION("""COMPUTED_VALUE"""),1.6945533E7)</f>
        <v>16945533</v>
      </c>
    </row>
    <row r="52" ht="15.75" customHeight="1">
      <c r="A52" s="10">
        <f>IFERROR(__xludf.DUMMYFUNCTION("""COMPUTED_VALUE"""),40508.666666666664)</f>
        <v>40508.66667</v>
      </c>
      <c r="B52" s="1">
        <f>IFERROR(__xludf.DUMMYFUNCTION("""COMPUTED_VALUE"""),25.87)</f>
        <v>25.87</v>
      </c>
      <c r="C52" s="1">
        <f>IFERROR(__xludf.DUMMYFUNCTION("""COMPUTED_VALUE"""),27.5)</f>
        <v>27.5</v>
      </c>
      <c r="D52" s="1">
        <f>IFERROR(__xludf.DUMMYFUNCTION("""COMPUTED_VALUE"""),25.86)</f>
        <v>25.86</v>
      </c>
      <c r="E52" s="1">
        <f>IFERROR(__xludf.DUMMYFUNCTION("""COMPUTED_VALUE"""),27.41)</f>
        <v>27.41</v>
      </c>
      <c r="F52" s="1">
        <f>IFERROR(__xludf.DUMMYFUNCTION("""COMPUTED_VALUE"""),2.4148329E7)</f>
        <v>24148329</v>
      </c>
    </row>
    <row r="53" ht="15.75" customHeight="1">
      <c r="A53" s="10">
        <f>IFERROR(__xludf.DUMMYFUNCTION("""COMPUTED_VALUE"""),40515.666666666664)</f>
        <v>40515.66667</v>
      </c>
      <c r="B53" s="1">
        <f>IFERROR(__xludf.DUMMYFUNCTION("""COMPUTED_VALUE"""),27.67)</f>
        <v>27.67</v>
      </c>
      <c r="C53" s="1">
        <f>IFERROR(__xludf.DUMMYFUNCTION("""COMPUTED_VALUE"""),29.89)</f>
        <v>29.89</v>
      </c>
      <c r="D53" s="1">
        <f>IFERROR(__xludf.DUMMYFUNCTION("""COMPUTED_VALUE"""),26.37)</f>
        <v>26.37</v>
      </c>
      <c r="E53" s="1">
        <f>IFERROR(__xludf.DUMMYFUNCTION("""COMPUTED_VALUE"""),26.49)</f>
        <v>26.49</v>
      </c>
      <c r="F53" s="1">
        <f>IFERROR(__xludf.DUMMYFUNCTION("""COMPUTED_VALUE"""),4.7188355E7)</f>
        <v>47188355</v>
      </c>
    </row>
    <row r="54" ht="15.75" customHeight="1">
      <c r="A54" s="10">
        <f>IFERROR(__xludf.DUMMYFUNCTION("""COMPUTED_VALUE"""),40522.666666666664)</f>
        <v>40522.66667</v>
      </c>
      <c r="B54" s="1">
        <f>IFERROR(__xludf.DUMMYFUNCTION("""COMPUTED_VALUE"""),26.7)</f>
        <v>26.7</v>
      </c>
      <c r="C54" s="1">
        <f>IFERROR(__xludf.DUMMYFUNCTION("""COMPUTED_VALUE"""),28.49)</f>
        <v>28.49</v>
      </c>
      <c r="D54" s="1">
        <f>IFERROR(__xludf.DUMMYFUNCTION("""COMPUTED_VALUE"""),25.91)</f>
        <v>25.91</v>
      </c>
      <c r="E54" s="1">
        <f>IFERROR(__xludf.DUMMYFUNCTION("""COMPUTED_VALUE"""),27.8)</f>
        <v>27.8</v>
      </c>
      <c r="F54" s="1">
        <f>IFERROR(__xludf.DUMMYFUNCTION("""COMPUTED_VALUE"""),3.7916242E7)</f>
        <v>37916242</v>
      </c>
    </row>
    <row r="55" ht="15.75" customHeight="1">
      <c r="A55" s="10">
        <f>IFERROR(__xludf.DUMMYFUNCTION("""COMPUTED_VALUE"""),40529.666666666664)</f>
        <v>40529.66667</v>
      </c>
      <c r="B55" s="1">
        <f>IFERROR(__xludf.DUMMYFUNCTION("""COMPUTED_VALUE"""),27.51)</f>
        <v>27.51</v>
      </c>
      <c r="C55" s="1">
        <f>IFERROR(__xludf.DUMMYFUNCTION("""COMPUTED_VALUE"""),27.52)</f>
        <v>27.52</v>
      </c>
      <c r="D55" s="1">
        <f>IFERROR(__xludf.DUMMYFUNCTION("""COMPUTED_VALUE"""),25.08)</f>
        <v>25.08</v>
      </c>
      <c r="E55" s="1">
        <f>IFERROR(__xludf.DUMMYFUNCTION("""COMPUTED_VALUE"""),25.72)</f>
        <v>25.72</v>
      </c>
      <c r="F55" s="1">
        <f>IFERROR(__xludf.DUMMYFUNCTION("""COMPUTED_VALUE"""),4.2229451E7)</f>
        <v>42229451</v>
      </c>
    </row>
    <row r="56" ht="15.75" customHeight="1">
      <c r="A56" s="10">
        <f>IFERROR(__xludf.DUMMYFUNCTION("""COMPUTED_VALUE"""),40535.666666666664)</f>
        <v>40535.66667</v>
      </c>
      <c r="B56" s="1">
        <f>IFERROR(__xludf.DUMMYFUNCTION("""COMPUTED_VALUE"""),25.83)</f>
        <v>25.83</v>
      </c>
      <c r="C56" s="1">
        <f>IFERROR(__xludf.DUMMYFUNCTION("""COMPUTED_VALUE"""),27.11)</f>
        <v>27.11</v>
      </c>
      <c r="D56" s="1">
        <f>IFERROR(__xludf.DUMMYFUNCTION("""COMPUTED_VALUE"""),25.22)</f>
        <v>25.22</v>
      </c>
      <c r="E56" s="1">
        <f>IFERROR(__xludf.DUMMYFUNCTION("""COMPUTED_VALUE"""),26.37)</f>
        <v>26.37</v>
      </c>
      <c r="F56" s="1">
        <f>IFERROR(__xludf.DUMMYFUNCTION("""COMPUTED_VALUE"""),1.7693855E7)</f>
        <v>17693855</v>
      </c>
    </row>
    <row r="57" ht="15.75" customHeight="1">
      <c r="A57" s="10">
        <f>IFERROR(__xludf.DUMMYFUNCTION("""COMPUTED_VALUE"""),40543.666666666664)</f>
        <v>40543.66667</v>
      </c>
      <c r="B57" s="1">
        <f>IFERROR(__xludf.DUMMYFUNCTION("""COMPUTED_VALUE"""),25.74)</f>
        <v>25.74</v>
      </c>
      <c r="C57" s="1">
        <f>IFERROR(__xludf.DUMMYFUNCTION("""COMPUTED_VALUE"""),26.36)</f>
        <v>26.36</v>
      </c>
      <c r="D57" s="1">
        <f>IFERROR(__xludf.DUMMYFUNCTION("""COMPUTED_VALUE"""),25.08)</f>
        <v>25.08</v>
      </c>
      <c r="E57" s="1">
        <f>IFERROR(__xludf.DUMMYFUNCTION("""COMPUTED_VALUE"""),25.1)</f>
        <v>25.1</v>
      </c>
      <c r="F57" s="1">
        <f>IFERROR(__xludf.DUMMYFUNCTION("""COMPUTED_VALUE"""),1.5602929E7)</f>
        <v>15602929</v>
      </c>
    </row>
    <row r="58" ht="15.75" customHeight="1">
      <c r="A58" s="10">
        <f>IFERROR(__xludf.DUMMYFUNCTION("""COMPUTED_VALUE"""),40550.666666666664)</f>
        <v>40550.66667</v>
      </c>
      <c r="B58" s="1">
        <f>IFERROR(__xludf.DUMMYFUNCTION("""COMPUTED_VALUE"""),25.0)</f>
        <v>25</v>
      </c>
      <c r="C58" s="1">
        <f>IFERROR(__xludf.DUMMYFUNCTION("""COMPUTED_VALUE"""),26.41)</f>
        <v>26.41</v>
      </c>
      <c r="D58" s="1">
        <f>IFERROR(__xludf.DUMMYFUNCTION("""COMPUTED_VALUE"""),24.79)</f>
        <v>24.79</v>
      </c>
      <c r="E58" s="1">
        <f>IFERROR(__xludf.DUMMYFUNCTION("""COMPUTED_VALUE"""),25.61)</f>
        <v>25.61</v>
      </c>
      <c r="F58" s="1">
        <f>IFERROR(__xludf.DUMMYFUNCTION("""COMPUTED_VALUE"""),2.4294952E7)</f>
        <v>24294952</v>
      </c>
    </row>
    <row r="59" ht="15.75" customHeight="1">
      <c r="A59" s="10">
        <f>IFERROR(__xludf.DUMMYFUNCTION("""COMPUTED_VALUE"""),40557.666666666664)</f>
        <v>40557.66667</v>
      </c>
      <c r="B59" s="1">
        <f>IFERROR(__xludf.DUMMYFUNCTION("""COMPUTED_VALUE"""),25.69)</f>
        <v>25.69</v>
      </c>
      <c r="C59" s="1">
        <f>IFERROR(__xludf.DUMMYFUNCTION("""COMPUTED_VALUE"""),27.61)</f>
        <v>27.61</v>
      </c>
      <c r="D59" s="1">
        <f>IFERROR(__xludf.DUMMYFUNCTION("""COMPUTED_VALUE"""),25.6)</f>
        <v>25.6</v>
      </c>
      <c r="E59" s="1">
        <f>IFERROR(__xludf.DUMMYFUNCTION("""COMPUTED_VALUE"""),27.35)</f>
        <v>27.35</v>
      </c>
      <c r="F59" s="1">
        <f>IFERROR(__xludf.DUMMYFUNCTION("""COMPUTED_VALUE"""),2.0991443E7)</f>
        <v>20991443</v>
      </c>
    </row>
    <row r="60" ht="15.75" customHeight="1">
      <c r="A60" s="10">
        <f>IFERROR(__xludf.DUMMYFUNCTION("""COMPUTED_VALUE"""),40564.666666666664)</f>
        <v>40564.66667</v>
      </c>
      <c r="B60" s="1">
        <f>IFERROR(__xludf.DUMMYFUNCTION("""COMPUTED_VALUE"""),27.35)</f>
        <v>27.35</v>
      </c>
      <c r="C60" s="1">
        <f>IFERROR(__xludf.DUMMYFUNCTION("""COMPUTED_VALUE"""),27.83)</f>
        <v>27.83</v>
      </c>
      <c r="D60" s="1">
        <f>IFERROR(__xludf.DUMMYFUNCTION("""COMPUTED_VALUE"""),25.9)</f>
        <v>25.9</v>
      </c>
      <c r="E60" s="1">
        <f>IFERROR(__xludf.DUMMYFUNCTION("""COMPUTED_VALUE"""),26.01)</f>
        <v>26.01</v>
      </c>
      <c r="F60" s="1">
        <f>IFERROR(__xludf.DUMMYFUNCTION("""COMPUTED_VALUE"""),1.4791284E7)</f>
        <v>14791284</v>
      </c>
    </row>
    <row r="61" ht="15.75" customHeight="1">
      <c r="A61" s="10">
        <f>IFERROR(__xludf.DUMMYFUNCTION("""COMPUTED_VALUE"""),40571.666666666664)</f>
        <v>40571.66667</v>
      </c>
      <c r="B61" s="1">
        <f>IFERROR(__xludf.DUMMYFUNCTION("""COMPUTED_VALUE"""),25.71)</f>
        <v>25.71</v>
      </c>
      <c r="C61" s="1">
        <f>IFERROR(__xludf.DUMMYFUNCTION("""COMPUTED_VALUE"""),31.14)</f>
        <v>31.14</v>
      </c>
      <c r="D61" s="1">
        <f>IFERROR(__xludf.DUMMYFUNCTION("""COMPUTED_VALUE"""),25.15)</f>
        <v>25.15</v>
      </c>
      <c r="E61" s="1">
        <f>IFERROR(__xludf.DUMMYFUNCTION("""COMPUTED_VALUE"""),31.14)</f>
        <v>31.14</v>
      </c>
      <c r="F61" s="1">
        <f>IFERROR(__xludf.DUMMYFUNCTION("""COMPUTED_VALUE"""),4.28863E7)</f>
        <v>42886300</v>
      </c>
    </row>
    <row r="62" ht="15.75" customHeight="1">
      <c r="A62" s="10">
        <f>IFERROR(__xludf.DUMMYFUNCTION("""COMPUTED_VALUE"""),40578.666666666664)</f>
        <v>40578.66667</v>
      </c>
      <c r="B62" s="1">
        <f>IFERROR(__xludf.DUMMYFUNCTION("""COMPUTED_VALUE"""),30.44)</f>
        <v>30.44</v>
      </c>
      <c r="C62" s="1">
        <f>IFERROR(__xludf.DUMMYFUNCTION("""COMPUTED_VALUE"""),31.57)</f>
        <v>31.57</v>
      </c>
      <c r="D62" s="1">
        <f>IFERROR(__xludf.DUMMYFUNCTION("""COMPUTED_VALUE"""),29.75)</f>
        <v>29.75</v>
      </c>
      <c r="E62" s="1">
        <f>IFERROR(__xludf.DUMMYFUNCTION("""COMPUTED_VALUE"""),31.44)</f>
        <v>31.44</v>
      </c>
      <c r="F62" s="1">
        <f>IFERROR(__xludf.DUMMYFUNCTION("""COMPUTED_VALUE"""),2.4075962E7)</f>
        <v>24075962</v>
      </c>
    </row>
    <row r="63" ht="15.75" customHeight="1">
      <c r="A63" s="10">
        <f>IFERROR(__xludf.DUMMYFUNCTION("""COMPUTED_VALUE"""),40585.666666666664)</f>
        <v>40585.66667</v>
      </c>
      <c r="B63" s="1">
        <f>IFERROR(__xludf.DUMMYFUNCTION("""COMPUTED_VALUE"""),31.82)</f>
        <v>31.82</v>
      </c>
      <c r="C63" s="1">
        <f>IFERROR(__xludf.DUMMYFUNCTION("""COMPUTED_VALUE"""),33.09)</f>
        <v>33.09</v>
      </c>
      <c r="D63" s="1">
        <f>IFERROR(__xludf.DUMMYFUNCTION("""COMPUTED_VALUE"""),30.88)</f>
        <v>30.88</v>
      </c>
      <c r="E63" s="1">
        <f>IFERROR(__xludf.DUMMYFUNCTION("""COMPUTED_VALUE"""),33.01)</f>
        <v>33.01</v>
      </c>
      <c r="F63" s="1">
        <f>IFERROR(__xludf.DUMMYFUNCTION("""COMPUTED_VALUE"""),1.9994315E7)</f>
        <v>19994315</v>
      </c>
    </row>
    <row r="64" ht="15.75" customHeight="1">
      <c r="A64" s="10">
        <f>IFERROR(__xludf.DUMMYFUNCTION("""COMPUTED_VALUE"""),40592.666666666664)</f>
        <v>40592.66667</v>
      </c>
      <c r="B64" s="1">
        <f>IFERROR(__xludf.DUMMYFUNCTION("""COMPUTED_VALUE"""),33.67)</f>
        <v>33.67</v>
      </c>
      <c r="C64" s="1">
        <f>IFERROR(__xludf.DUMMYFUNCTION("""COMPUTED_VALUE"""),35.36)</f>
        <v>35.36</v>
      </c>
      <c r="D64" s="1">
        <f>IFERROR(__xludf.DUMMYFUNCTION("""COMPUTED_VALUE"""),33.06)</f>
        <v>33.06</v>
      </c>
      <c r="E64" s="1">
        <f>IFERROR(__xludf.DUMMYFUNCTION("""COMPUTED_VALUE"""),33.64)</f>
        <v>33.64</v>
      </c>
      <c r="F64" s="1">
        <f>IFERROR(__xludf.DUMMYFUNCTION("""COMPUTED_VALUE"""),3.4834069E7)</f>
        <v>34834069</v>
      </c>
    </row>
    <row r="65" ht="15.75" customHeight="1">
      <c r="A65" s="10">
        <f>IFERROR(__xludf.DUMMYFUNCTION("""COMPUTED_VALUE"""),40599.666666666664)</f>
        <v>40599.66667</v>
      </c>
      <c r="B65" s="1">
        <f>IFERROR(__xludf.DUMMYFUNCTION("""COMPUTED_VALUE"""),32.24)</f>
        <v>32.24</v>
      </c>
      <c r="C65" s="1">
        <f>IFERROR(__xludf.DUMMYFUNCTION("""COMPUTED_VALUE"""),32.77)</f>
        <v>32.77</v>
      </c>
      <c r="D65" s="1">
        <f>IFERROR(__xludf.DUMMYFUNCTION("""COMPUTED_VALUE"""),29.34)</f>
        <v>29.34</v>
      </c>
      <c r="E65" s="1">
        <f>IFERROR(__xludf.DUMMYFUNCTION("""COMPUTED_VALUE"""),30.35)</f>
        <v>30.35</v>
      </c>
      <c r="F65" s="1">
        <f>IFERROR(__xludf.DUMMYFUNCTION("""COMPUTED_VALUE"""),2.6510083E7)</f>
        <v>26510083</v>
      </c>
    </row>
    <row r="66" ht="15.75" customHeight="1">
      <c r="A66" s="10">
        <f>IFERROR(__xludf.DUMMYFUNCTION("""COMPUTED_VALUE"""),40606.666666666664)</f>
        <v>40606.66667</v>
      </c>
      <c r="B66" s="1">
        <f>IFERROR(__xludf.DUMMYFUNCTION("""COMPUTED_VALUE"""),30.54)</f>
        <v>30.54</v>
      </c>
      <c r="C66" s="1">
        <f>IFERROR(__xludf.DUMMYFUNCTION("""COMPUTED_VALUE"""),30.62)</f>
        <v>30.62</v>
      </c>
      <c r="D66" s="1">
        <f>IFERROR(__xludf.DUMMYFUNCTION("""COMPUTED_VALUE"""),28.62)</f>
        <v>28.62</v>
      </c>
      <c r="E66" s="1">
        <f>IFERROR(__xludf.DUMMYFUNCTION("""COMPUTED_VALUE"""),30.1)</f>
        <v>30.1</v>
      </c>
      <c r="F66" s="1">
        <f>IFERROR(__xludf.DUMMYFUNCTION("""COMPUTED_VALUE"""),2.7561015E7)</f>
        <v>27561015</v>
      </c>
    </row>
    <row r="67" ht="15.75" customHeight="1">
      <c r="A67" s="10">
        <f>IFERROR(__xludf.DUMMYFUNCTION("""COMPUTED_VALUE"""),40613.666666666664)</f>
        <v>40613.66667</v>
      </c>
      <c r="B67" s="1">
        <f>IFERROR(__xludf.DUMMYFUNCTION("""COMPUTED_VALUE"""),30.68)</f>
        <v>30.68</v>
      </c>
      <c r="C67" s="1">
        <f>IFERROR(__xludf.DUMMYFUNCTION("""COMPUTED_VALUE"""),30.7)</f>
        <v>30.7</v>
      </c>
      <c r="D67" s="1">
        <f>IFERROR(__xludf.DUMMYFUNCTION("""COMPUTED_VALUE"""),26.98)</f>
        <v>26.98</v>
      </c>
      <c r="E67" s="1">
        <f>IFERROR(__xludf.DUMMYFUNCTION("""COMPUTED_VALUE"""),29.22)</f>
        <v>29.22</v>
      </c>
      <c r="F67" s="1">
        <f>IFERROR(__xludf.DUMMYFUNCTION("""COMPUTED_VALUE"""),3.733485E7)</f>
        <v>37334850</v>
      </c>
    </row>
    <row r="68" ht="15.75" customHeight="1">
      <c r="A68" s="10">
        <f>IFERROR(__xludf.DUMMYFUNCTION("""COMPUTED_VALUE"""),40620.666666666664)</f>
        <v>40620.66667</v>
      </c>
      <c r="B68" s="1">
        <f>IFERROR(__xludf.DUMMYFUNCTION("""COMPUTED_VALUE"""),29.03)</f>
        <v>29.03</v>
      </c>
      <c r="C68" s="1">
        <f>IFERROR(__xludf.DUMMYFUNCTION("""COMPUTED_VALUE"""),31.91)</f>
        <v>31.91</v>
      </c>
      <c r="D68" s="1">
        <f>IFERROR(__xludf.DUMMYFUNCTION("""COMPUTED_VALUE"""),28.4)</f>
        <v>28.4</v>
      </c>
      <c r="E68" s="1">
        <f>IFERROR(__xludf.DUMMYFUNCTION("""COMPUTED_VALUE"""),29.91)</f>
        <v>29.91</v>
      </c>
      <c r="F68" s="1">
        <f>IFERROR(__xludf.DUMMYFUNCTION("""COMPUTED_VALUE"""),3.3369051E7)</f>
        <v>33369051</v>
      </c>
    </row>
    <row r="69" ht="15.75" customHeight="1">
      <c r="A69" s="10">
        <f>IFERROR(__xludf.DUMMYFUNCTION("""COMPUTED_VALUE"""),40627.666666666664)</f>
        <v>40627.66667</v>
      </c>
      <c r="B69" s="1">
        <f>IFERROR(__xludf.DUMMYFUNCTION("""COMPUTED_VALUE"""),30.25)</f>
        <v>30.25</v>
      </c>
      <c r="C69" s="1">
        <f>IFERROR(__xludf.DUMMYFUNCTION("""COMPUTED_VALUE"""),33.3)</f>
        <v>33.3</v>
      </c>
      <c r="D69" s="1">
        <f>IFERROR(__xludf.DUMMYFUNCTION("""COMPUTED_VALUE"""),29.65)</f>
        <v>29.65</v>
      </c>
      <c r="E69" s="1">
        <f>IFERROR(__xludf.DUMMYFUNCTION("""COMPUTED_VALUE"""),32.86)</f>
        <v>32.86</v>
      </c>
      <c r="F69" s="1">
        <f>IFERROR(__xludf.DUMMYFUNCTION("""COMPUTED_VALUE"""),3.028858E7)</f>
        <v>30288580</v>
      </c>
    </row>
    <row r="70" ht="15.75" customHeight="1">
      <c r="A70" s="10">
        <f>IFERROR(__xludf.DUMMYFUNCTION("""COMPUTED_VALUE"""),40634.666666666664)</f>
        <v>40634.66667</v>
      </c>
      <c r="B70" s="1">
        <f>IFERROR(__xludf.DUMMYFUNCTION("""COMPUTED_VALUE"""),33.37)</f>
        <v>33.37</v>
      </c>
      <c r="C70" s="1">
        <f>IFERROR(__xludf.DUMMYFUNCTION("""COMPUTED_VALUE"""),34.92)</f>
        <v>34.92</v>
      </c>
      <c r="D70" s="1">
        <f>IFERROR(__xludf.DUMMYFUNCTION("""COMPUTED_VALUE"""),33.33)</f>
        <v>33.33</v>
      </c>
      <c r="E70" s="1">
        <f>IFERROR(__xludf.DUMMYFUNCTION("""COMPUTED_VALUE"""),34.58)</f>
        <v>34.58</v>
      </c>
      <c r="F70" s="1">
        <f>IFERROR(__xludf.DUMMYFUNCTION("""COMPUTED_VALUE"""),2.3989768E7)</f>
        <v>23989768</v>
      </c>
    </row>
    <row r="71" ht="15.75" customHeight="1">
      <c r="A71" s="10">
        <f>IFERROR(__xludf.DUMMYFUNCTION("""COMPUTED_VALUE"""),40641.666666666664)</f>
        <v>40641.66667</v>
      </c>
      <c r="B71" s="1">
        <f>IFERROR(__xludf.DUMMYFUNCTION("""COMPUTED_VALUE"""),34.98)</f>
        <v>34.98</v>
      </c>
      <c r="C71" s="1">
        <f>IFERROR(__xludf.DUMMYFUNCTION("""COMPUTED_VALUE"""),35.55)</f>
        <v>35.55</v>
      </c>
      <c r="D71" s="1">
        <f>IFERROR(__xludf.DUMMYFUNCTION("""COMPUTED_VALUE"""),33.0)</f>
        <v>33</v>
      </c>
      <c r="E71" s="1">
        <f>IFERROR(__xludf.DUMMYFUNCTION("""COMPUTED_VALUE"""),33.55)</f>
        <v>33.55</v>
      </c>
      <c r="F71" s="1">
        <f>IFERROR(__xludf.DUMMYFUNCTION("""COMPUTED_VALUE"""),2.4495909E7)</f>
        <v>24495909</v>
      </c>
    </row>
    <row r="72" ht="15.75" customHeight="1">
      <c r="A72" s="10">
        <f>IFERROR(__xludf.DUMMYFUNCTION("""COMPUTED_VALUE"""),40648.666666666664)</f>
        <v>40648.66667</v>
      </c>
      <c r="B72" s="1">
        <f>IFERROR(__xludf.DUMMYFUNCTION("""COMPUTED_VALUE"""),33.28)</f>
        <v>33.28</v>
      </c>
      <c r="C72" s="1">
        <f>IFERROR(__xludf.DUMMYFUNCTION("""COMPUTED_VALUE"""),34.35)</f>
        <v>34.35</v>
      </c>
      <c r="D72" s="1">
        <f>IFERROR(__xludf.DUMMYFUNCTION("""COMPUTED_VALUE"""),32.06)</f>
        <v>32.06</v>
      </c>
      <c r="E72" s="1">
        <f>IFERROR(__xludf.DUMMYFUNCTION("""COMPUTED_VALUE"""),33.64)</f>
        <v>33.64</v>
      </c>
      <c r="F72" s="1">
        <f>IFERROR(__xludf.DUMMYFUNCTION("""COMPUTED_VALUE"""),2.2888541E7)</f>
        <v>22888541</v>
      </c>
    </row>
    <row r="73" ht="15.75" customHeight="1">
      <c r="A73" s="10">
        <f>IFERROR(__xludf.DUMMYFUNCTION("""COMPUTED_VALUE"""),40654.666666666664)</f>
        <v>40654.66667</v>
      </c>
      <c r="B73" s="1">
        <f>IFERROR(__xludf.DUMMYFUNCTION("""COMPUTED_VALUE"""),33.14)</f>
        <v>33.14</v>
      </c>
      <c r="C73" s="1">
        <f>IFERROR(__xludf.DUMMYFUNCTION("""COMPUTED_VALUE"""),36.05)</f>
        <v>36.05</v>
      </c>
      <c r="D73" s="1">
        <f>IFERROR(__xludf.DUMMYFUNCTION("""COMPUTED_VALUE"""),32.57)</f>
        <v>32.57</v>
      </c>
      <c r="E73" s="1">
        <f>IFERROR(__xludf.DUMMYFUNCTION("""COMPUTED_VALUE"""),36.03)</f>
        <v>36.03</v>
      </c>
      <c r="F73" s="1">
        <f>IFERROR(__xludf.DUMMYFUNCTION("""COMPUTED_VALUE"""),1.7771436E7)</f>
        <v>17771436</v>
      </c>
    </row>
    <row r="74" ht="15.75" customHeight="1">
      <c r="A74" s="10">
        <f>IFERROR(__xludf.DUMMYFUNCTION("""COMPUTED_VALUE"""),40662.666666666664)</f>
        <v>40662.66667</v>
      </c>
      <c r="B74" s="1">
        <f>IFERROR(__xludf.DUMMYFUNCTION("""COMPUTED_VALUE"""),36.39)</f>
        <v>36.39</v>
      </c>
      <c r="C74" s="1">
        <f>IFERROR(__xludf.DUMMYFUNCTION("""COMPUTED_VALUE"""),36.43)</f>
        <v>36.43</v>
      </c>
      <c r="D74" s="1">
        <f>IFERROR(__xludf.DUMMYFUNCTION("""COMPUTED_VALUE"""),32.16)</f>
        <v>32.16</v>
      </c>
      <c r="E74" s="1">
        <f>IFERROR(__xludf.DUMMYFUNCTION("""COMPUTED_VALUE"""),33.24)</f>
        <v>33.24</v>
      </c>
      <c r="F74" s="1">
        <f>IFERROR(__xludf.DUMMYFUNCTION("""COMPUTED_VALUE"""),4.1507872E7)</f>
        <v>41507872</v>
      </c>
    </row>
    <row r="75" ht="15.75" customHeight="1">
      <c r="A75" s="10">
        <f>IFERROR(__xludf.DUMMYFUNCTION("""COMPUTED_VALUE"""),40669.666666666664)</f>
        <v>40669.66667</v>
      </c>
      <c r="B75" s="1">
        <f>IFERROR(__xludf.DUMMYFUNCTION("""COMPUTED_VALUE"""),34.03)</f>
        <v>34.03</v>
      </c>
      <c r="C75" s="1">
        <f>IFERROR(__xludf.DUMMYFUNCTION("""COMPUTED_VALUE"""),34.27)</f>
        <v>34.27</v>
      </c>
      <c r="D75" s="1">
        <f>IFERROR(__xludf.DUMMYFUNCTION("""COMPUTED_VALUE"""),32.19)</f>
        <v>32.19</v>
      </c>
      <c r="E75" s="1">
        <f>IFERROR(__xludf.DUMMYFUNCTION("""COMPUTED_VALUE"""),32.78)</f>
        <v>32.78</v>
      </c>
      <c r="F75" s="1">
        <f>IFERROR(__xludf.DUMMYFUNCTION("""COMPUTED_VALUE"""),2.1602029E7)</f>
        <v>21602029</v>
      </c>
    </row>
    <row r="76" ht="15.75" customHeight="1">
      <c r="A76" s="10">
        <f>IFERROR(__xludf.DUMMYFUNCTION("""COMPUTED_VALUE"""),40676.666666666664)</f>
        <v>40676.66667</v>
      </c>
      <c r="B76" s="1">
        <f>IFERROR(__xludf.DUMMYFUNCTION("""COMPUTED_VALUE"""),33.11)</f>
        <v>33.11</v>
      </c>
      <c r="C76" s="1">
        <f>IFERROR(__xludf.DUMMYFUNCTION("""COMPUTED_VALUE"""),35.66)</f>
        <v>35.66</v>
      </c>
      <c r="D76" s="1">
        <f>IFERROR(__xludf.DUMMYFUNCTION("""COMPUTED_VALUE"""),33.05)</f>
        <v>33.05</v>
      </c>
      <c r="E76" s="1">
        <f>IFERROR(__xludf.DUMMYFUNCTION("""COMPUTED_VALUE"""),35.22)</f>
        <v>35.22</v>
      </c>
      <c r="F76" s="1">
        <f>IFERROR(__xludf.DUMMYFUNCTION("""COMPUTED_VALUE"""),2.3014696E7)</f>
        <v>23014696</v>
      </c>
    </row>
    <row r="77" ht="15.75" customHeight="1">
      <c r="A77" s="10">
        <f>IFERROR(__xludf.DUMMYFUNCTION("""COMPUTED_VALUE"""),40683.666666666664)</f>
        <v>40683.66667</v>
      </c>
      <c r="B77" s="1">
        <f>IFERROR(__xludf.DUMMYFUNCTION("""COMPUTED_VALUE"""),35.14)</f>
        <v>35.14</v>
      </c>
      <c r="C77" s="1">
        <f>IFERROR(__xludf.DUMMYFUNCTION("""COMPUTED_VALUE"""),35.27)</f>
        <v>35.27</v>
      </c>
      <c r="D77" s="1">
        <f>IFERROR(__xludf.DUMMYFUNCTION("""COMPUTED_VALUE"""),33.02)</f>
        <v>33.02</v>
      </c>
      <c r="E77" s="1">
        <f>IFERROR(__xludf.DUMMYFUNCTION("""COMPUTED_VALUE"""),35.13)</f>
        <v>35.13</v>
      </c>
      <c r="F77" s="1">
        <f>IFERROR(__xludf.DUMMYFUNCTION("""COMPUTED_VALUE"""),2.1306004E7)</f>
        <v>21306004</v>
      </c>
    </row>
    <row r="78" ht="15.75" customHeight="1">
      <c r="A78" s="10">
        <f>IFERROR(__xludf.DUMMYFUNCTION("""COMPUTED_VALUE"""),40690.666666666664)</f>
        <v>40690.66667</v>
      </c>
      <c r="B78" s="1">
        <f>IFERROR(__xludf.DUMMYFUNCTION("""COMPUTED_VALUE"""),34.71)</f>
        <v>34.71</v>
      </c>
      <c r="C78" s="1">
        <f>IFERROR(__xludf.DUMMYFUNCTION("""COMPUTED_VALUE"""),37.98)</f>
        <v>37.98</v>
      </c>
      <c r="D78" s="1">
        <f>IFERROR(__xludf.DUMMYFUNCTION("""COMPUTED_VALUE"""),34.29)</f>
        <v>34.29</v>
      </c>
      <c r="E78" s="1">
        <f>IFERROR(__xludf.DUMMYFUNCTION("""COMPUTED_VALUE"""),37.79)</f>
        <v>37.79</v>
      </c>
      <c r="F78" s="1">
        <f>IFERROR(__xludf.DUMMYFUNCTION("""COMPUTED_VALUE"""),2.623819E7)</f>
        <v>26238190</v>
      </c>
    </row>
    <row r="79" ht="15.75" customHeight="1">
      <c r="A79" s="10">
        <f>IFERROR(__xludf.DUMMYFUNCTION("""COMPUTED_VALUE"""),40697.666666666664)</f>
        <v>40697.66667</v>
      </c>
      <c r="B79" s="1">
        <f>IFERROR(__xludf.DUMMYFUNCTION("""COMPUTED_VALUE"""),38.18)</f>
        <v>38.18</v>
      </c>
      <c r="C79" s="1">
        <f>IFERROR(__xludf.DUMMYFUNCTION("""COMPUTED_VALUE"""),39.46)</f>
        <v>39.46</v>
      </c>
      <c r="D79" s="1">
        <f>IFERROR(__xludf.DUMMYFUNCTION("""COMPUTED_VALUE"""),37.73)</f>
        <v>37.73</v>
      </c>
      <c r="E79" s="1">
        <f>IFERROR(__xludf.DUMMYFUNCTION("""COMPUTED_VALUE"""),39.1)</f>
        <v>39.1</v>
      </c>
      <c r="F79" s="1">
        <f>IFERROR(__xludf.DUMMYFUNCTION("""COMPUTED_VALUE"""),2.0065742E7)</f>
        <v>20065742</v>
      </c>
    </row>
    <row r="80" ht="15.75" customHeight="1">
      <c r="A80" s="10">
        <f>IFERROR(__xludf.DUMMYFUNCTION("""COMPUTED_VALUE"""),40704.666666666664)</f>
        <v>40704.66667</v>
      </c>
      <c r="B80" s="1">
        <f>IFERROR(__xludf.DUMMYFUNCTION("""COMPUTED_VALUE"""),39.05)</f>
        <v>39.05</v>
      </c>
      <c r="C80" s="1">
        <f>IFERROR(__xludf.DUMMYFUNCTION("""COMPUTED_VALUE"""),39.67)</f>
        <v>39.67</v>
      </c>
      <c r="D80" s="1">
        <f>IFERROR(__xludf.DUMMYFUNCTION("""COMPUTED_VALUE"""),36.83)</f>
        <v>36.83</v>
      </c>
      <c r="E80" s="1">
        <f>IFERROR(__xludf.DUMMYFUNCTION("""COMPUTED_VALUE"""),36.95)</f>
        <v>36.95</v>
      </c>
      <c r="F80" s="1">
        <f>IFERROR(__xludf.DUMMYFUNCTION("""COMPUTED_VALUE"""),2.3188949E7)</f>
        <v>23188949</v>
      </c>
    </row>
    <row r="81" ht="15.75" customHeight="1">
      <c r="A81" s="10">
        <f>IFERROR(__xludf.DUMMYFUNCTION("""COMPUTED_VALUE"""),40711.666666666664)</f>
        <v>40711.66667</v>
      </c>
      <c r="B81" s="1">
        <f>IFERROR(__xludf.DUMMYFUNCTION("""COMPUTED_VALUE"""),37.11)</f>
        <v>37.11</v>
      </c>
      <c r="C81" s="1">
        <f>IFERROR(__xludf.DUMMYFUNCTION("""COMPUTED_VALUE"""),37.57)</f>
        <v>37.57</v>
      </c>
      <c r="D81" s="1">
        <f>IFERROR(__xludf.DUMMYFUNCTION("""COMPUTED_VALUE"""),34.89)</f>
        <v>34.89</v>
      </c>
      <c r="E81" s="1">
        <f>IFERROR(__xludf.DUMMYFUNCTION("""COMPUTED_VALUE"""),35.1)</f>
        <v>35.1</v>
      </c>
      <c r="F81" s="1">
        <f>IFERROR(__xludf.DUMMYFUNCTION("""COMPUTED_VALUE"""),1.925567E7)</f>
        <v>19255670</v>
      </c>
    </row>
    <row r="82" ht="15.75" customHeight="1">
      <c r="A82" s="10">
        <f>IFERROR(__xludf.DUMMYFUNCTION("""COMPUTED_VALUE"""),40718.666666666664)</f>
        <v>40718.66667</v>
      </c>
      <c r="B82" s="1">
        <f>IFERROR(__xludf.DUMMYFUNCTION("""COMPUTED_VALUE"""),34.55)</f>
        <v>34.55</v>
      </c>
      <c r="C82" s="1">
        <f>IFERROR(__xludf.DUMMYFUNCTION("""COMPUTED_VALUE"""),37.26)</f>
        <v>37.26</v>
      </c>
      <c r="D82" s="1">
        <f>IFERROR(__xludf.DUMMYFUNCTION("""COMPUTED_VALUE"""),34.3)</f>
        <v>34.3</v>
      </c>
      <c r="E82" s="1">
        <f>IFERROR(__xludf.DUMMYFUNCTION("""COMPUTED_VALUE"""),36.71)</f>
        <v>36.71</v>
      </c>
      <c r="F82" s="1">
        <f>IFERROR(__xludf.DUMMYFUNCTION("""COMPUTED_VALUE"""),1.9143941E7)</f>
        <v>19143941</v>
      </c>
    </row>
    <row r="83" ht="15.75" customHeight="1">
      <c r="A83" s="10">
        <f>IFERROR(__xludf.DUMMYFUNCTION("""COMPUTED_VALUE"""),40725.666666666664)</f>
        <v>40725.66667</v>
      </c>
      <c r="B83" s="1">
        <f>IFERROR(__xludf.DUMMYFUNCTION("""COMPUTED_VALUE"""),36.41)</f>
        <v>36.41</v>
      </c>
      <c r="C83" s="1">
        <f>IFERROR(__xludf.DUMMYFUNCTION("""COMPUTED_VALUE"""),38.39)</f>
        <v>38.39</v>
      </c>
      <c r="D83" s="1">
        <f>IFERROR(__xludf.DUMMYFUNCTION("""COMPUTED_VALUE"""),35.95)</f>
        <v>35.95</v>
      </c>
      <c r="E83" s="1">
        <f>IFERROR(__xludf.DUMMYFUNCTION("""COMPUTED_VALUE"""),38.28)</f>
        <v>38.28</v>
      </c>
      <c r="F83" s="1">
        <f>IFERROR(__xludf.DUMMYFUNCTION("""COMPUTED_VALUE"""),1.4831367E7)</f>
        <v>14831367</v>
      </c>
    </row>
    <row r="84" ht="15.75" customHeight="1">
      <c r="A84" s="10">
        <f>IFERROR(__xludf.DUMMYFUNCTION("""COMPUTED_VALUE"""),40732.666666666664)</f>
        <v>40732.66667</v>
      </c>
      <c r="B84" s="1">
        <f>IFERROR(__xludf.DUMMYFUNCTION("""COMPUTED_VALUE"""),39.39)</f>
        <v>39.39</v>
      </c>
      <c r="C84" s="1">
        <f>IFERROR(__xludf.DUMMYFUNCTION("""COMPUTED_VALUE"""),42.48)</f>
        <v>42.48</v>
      </c>
      <c r="D84" s="1">
        <f>IFERROR(__xludf.DUMMYFUNCTION("""COMPUTED_VALUE"""),39.39)</f>
        <v>39.39</v>
      </c>
      <c r="E84" s="1">
        <f>IFERROR(__xludf.DUMMYFUNCTION("""COMPUTED_VALUE"""),42.16)</f>
        <v>42.16</v>
      </c>
      <c r="F84" s="1">
        <f>IFERROR(__xludf.DUMMYFUNCTION("""COMPUTED_VALUE"""),2.0447032E7)</f>
        <v>20447032</v>
      </c>
    </row>
    <row r="85" ht="15.75" customHeight="1">
      <c r="A85" s="10">
        <f>IFERROR(__xludf.DUMMYFUNCTION("""COMPUTED_VALUE"""),40739.666666666664)</f>
        <v>40739.66667</v>
      </c>
      <c r="B85" s="1">
        <f>IFERROR(__xludf.DUMMYFUNCTION("""COMPUTED_VALUE"""),42.09)</f>
        <v>42.09</v>
      </c>
      <c r="C85" s="1">
        <f>IFERROR(__xludf.DUMMYFUNCTION("""COMPUTED_VALUE"""),43.54)</f>
        <v>43.54</v>
      </c>
      <c r="D85" s="1">
        <f>IFERROR(__xludf.DUMMYFUNCTION("""COMPUTED_VALUE"""),40.23)</f>
        <v>40.23</v>
      </c>
      <c r="E85" s="1">
        <f>IFERROR(__xludf.DUMMYFUNCTION("""COMPUTED_VALUE"""),40.99)</f>
        <v>40.99</v>
      </c>
      <c r="F85" s="1">
        <f>IFERROR(__xludf.DUMMYFUNCTION("""COMPUTED_VALUE"""),2.7418726E7)</f>
        <v>27418726</v>
      </c>
    </row>
    <row r="86" ht="15.75" customHeight="1">
      <c r="A86" s="10">
        <f>IFERROR(__xludf.DUMMYFUNCTION("""COMPUTED_VALUE"""),40746.666666666664)</f>
        <v>40746.66667</v>
      </c>
      <c r="B86" s="1">
        <f>IFERROR(__xludf.DUMMYFUNCTION("""COMPUTED_VALUE"""),40.29)</f>
        <v>40.29</v>
      </c>
      <c r="C86" s="1">
        <f>IFERROR(__xludf.DUMMYFUNCTION("""COMPUTED_VALUE"""),41.33)</f>
        <v>41.33</v>
      </c>
      <c r="D86" s="1">
        <f>IFERROR(__xludf.DUMMYFUNCTION("""COMPUTED_VALUE"""),38.65)</f>
        <v>38.65</v>
      </c>
      <c r="E86" s="1">
        <f>IFERROR(__xludf.DUMMYFUNCTION("""COMPUTED_VALUE"""),39.51)</f>
        <v>39.51</v>
      </c>
      <c r="F86" s="1">
        <f>IFERROR(__xludf.DUMMYFUNCTION("""COMPUTED_VALUE"""),1.6343167E7)</f>
        <v>16343167</v>
      </c>
    </row>
    <row r="87" ht="15.75" customHeight="1">
      <c r="A87" s="10">
        <f>IFERROR(__xludf.DUMMYFUNCTION("""COMPUTED_VALUE"""),40753.666666666664)</f>
        <v>40753.66667</v>
      </c>
      <c r="B87" s="1">
        <f>IFERROR(__xludf.DUMMYFUNCTION("""COMPUTED_VALUE"""),40.08)</f>
        <v>40.08</v>
      </c>
      <c r="C87" s="1">
        <f>IFERROR(__xludf.DUMMYFUNCTION("""COMPUTED_VALUE"""),40.79)</f>
        <v>40.79</v>
      </c>
      <c r="D87" s="1">
        <f>IFERROR(__xludf.DUMMYFUNCTION("""COMPUTED_VALUE"""),35.92)</f>
        <v>35.92</v>
      </c>
      <c r="E87" s="1">
        <f>IFERROR(__xludf.DUMMYFUNCTION("""COMPUTED_VALUE"""),38.0)</f>
        <v>38</v>
      </c>
      <c r="F87" s="1">
        <f>IFERROR(__xludf.DUMMYFUNCTION("""COMPUTED_VALUE"""),3.4244368E7)</f>
        <v>34244368</v>
      </c>
    </row>
    <row r="88" ht="15.75" customHeight="1">
      <c r="A88" s="10">
        <f>IFERROR(__xludf.DUMMYFUNCTION("""COMPUTED_VALUE"""),40760.666666666664)</f>
        <v>40760.66667</v>
      </c>
      <c r="B88" s="1">
        <f>IFERROR(__xludf.DUMMYFUNCTION("""COMPUTED_VALUE"""),38.36)</f>
        <v>38.36</v>
      </c>
      <c r="C88" s="1">
        <f>IFERROR(__xludf.DUMMYFUNCTION("""COMPUTED_VALUE"""),38.5)</f>
        <v>38.5</v>
      </c>
      <c r="D88" s="1">
        <f>IFERROR(__xludf.DUMMYFUNCTION("""COMPUTED_VALUE"""),33.78)</f>
        <v>33.78</v>
      </c>
      <c r="E88" s="1">
        <f>IFERROR(__xludf.DUMMYFUNCTION("""COMPUTED_VALUE"""),34.44)</f>
        <v>34.44</v>
      </c>
      <c r="F88" s="1">
        <f>IFERROR(__xludf.DUMMYFUNCTION("""COMPUTED_VALUE"""),2.0762204E7)</f>
        <v>20762204</v>
      </c>
    </row>
    <row r="89" ht="15.75" customHeight="1">
      <c r="A89" s="10">
        <f>IFERROR(__xludf.DUMMYFUNCTION("""COMPUTED_VALUE"""),40767.666666666664)</f>
        <v>40767.66667</v>
      </c>
      <c r="B89" s="1">
        <f>IFERROR(__xludf.DUMMYFUNCTION("""COMPUTED_VALUE"""),32.85)</f>
        <v>32.85</v>
      </c>
      <c r="C89" s="1">
        <f>IFERROR(__xludf.DUMMYFUNCTION("""COMPUTED_VALUE"""),35.41)</f>
        <v>35.41</v>
      </c>
      <c r="D89" s="1">
        <f>IFERROR(__xludf.DUMMYFUNCTION("""COMPUTED_VALUE"""),31.64)</f>
        <v>31.64</v>
      </c>
      <c r="E89" s="1">
        <f>IFERROR(__xludf.DUMMYFUNCTION("""COMPUTED_VALUE"""),34.86)</f>
        <v>34.86</v>
      </c>
      <c r="F89" s="1">
        <f>IFERROR(__xludf.DUMMYFUNCTION("""COMPUTED_VALUE"""),1.9392361E7)</f>
        <v>19392361</v>
      </c>
    </row>
    <row r="90" ht="15.75" customHeight="1">
      <c r="A90" s="10">
        <f>IFERROR(__xludf.DUMMYFUNCTION("""COMPUTED_VALUE"""),40774.666666666664)</f>
        <v>40774.66667</v>
      </c>
      <c r="B90" s="1">
        <f>IFERROR(__xludf.DUMMYFUNCTION("""COMPUTED_VALUE"""),35.1)</f>
        <v>35.1</v>
      </c>
      <c r="C90" s="1">
        <f>IFERROR(__xludf.DUMMYFUNCTION("""COMPUTED_VALUE"""),35.25)</f>
        <v>35.25</v>
      </c>
      <c r="D90" s="1">
        <f>IFERROR(__xludf.DUMMYFUNCTION("""COMPUTED_VALUE"""),29.29)</f>
        <v>29.29</v>
      </c>
      <c r="E90" s="1">
        <f>IFERROR(__xludf.DUMMYFUNCTION("""COMPUTED_VALUE"""),29.32)</f>
        <v>29.32</v>
      </c>
      <c r="F90" s="1">
        <f>IFERROR(__xludf.DUMMYFUNCTION("""COMPUTED_VALUE"""),1.9326422E7)</f>
        <v>19326422</v>
      </c>
    </row>
    <row r="91" ht="15.75" customHeight="1">
      <c r="A91" s="10">
        <f>IFERROR(__xludf.DUMMYFUNCTION("""COMPUTED_VALUE"""),40781.666666666664)</f>
        <v>40781.66667</v>
      </c>
      <c r="B91" s="1">
        <f>IFERROR(__xludf.DUMMYFUNCTION("""COMPUTED_VALUE"""),30.34)</f>
        <v>30.34</v>
      </c>
      <c r="C91" s="1">
        <f>IFERROR(__xludf.DUMMYFUNCTION("""COMPUTED_VALUE"""),31.96)</f>
        <v>31.96</v>
      </c>
      <c r="D91" s="1">
        <f>IFERROR(__xludf.DUMMYFUNCTION("""COMPUTED_VALUE"""),29.05)</f>
        <v>29.05</v>
      </c>
      <c r="E91" s="1">
        <f>IFERROR(__xludf.DUMMYFUNCTION("""COMPUTED_VALUE"""),31.7)</f>
        <v>31.7</v>
      </c>
      <c r="F91" s="1">
        <f>IFERROR(__xludf.DUMMYFUNCTION("""COMPUTED_VALUE"""),2.0809282E7)</f>
        <v>20809282</v>
      </c>
    </row>
    <row r="92" ht="15.75" customHeight="1">
      <c r="A92" s="10">
        <f>IFERROR(__xludf.DUMMYFUNCTION("""COMPUTED_VALUE"""),40788.666666666664)</f>
        <v>40788.66667</v>
      </c>
      <c r="B92" s="1">
        <f>IFERROR(__xludf.DUMMYFUNCTION("""COMPUTED_VALUE"""),32.42)</f>
        <v>32.42</v>
      </c>
      <c r="C92" s="1">
        <f>IFERROR(__xludf.DUMMYFUNCTION("""COMPUTED_VALUE"""),34.55)</f>
        <v>34.55</v>
      </c>
      <c r="D92" s="1">
        <f>IFERROR(__xludf.DUMMYFUNCTION("""COMPUTED_VALUE"""),29.66)</f>
        <v>29.66</v>
      </c>
      <c r="E92" s="1">
        <f>IFERROR(__xludf.DUMMYFUNCTION("""COMPUTED_VALUE"""),30.44)</f>
        <v>30.44</v>
      </c>
      <c r="F92" s="1">
        <f>IFERROR(__xludf.DUMMYFUNCTION("""COMPUTED_VALUE"""),2.2196391E7)</f>
        <v>22196391</v>
      </c>
    </row>
    <row r="93" ht="15.75" customHeight="1">
      <c r="A93" s="10">
        <f>IFERROR(__xludf.DUMMYFUNCTION("""COMPUTED_VALUE"""),40795.666666666664)</f>
        <v>40795.66667</v>
      </c>
      <c r="B93" s="1">
        <f>IFERROR(__xludf.DUMMYFUNCTION("""COMPUTED_VALUE"""),29.87)</f>
        <v>29.87</v>
      </c>
      <c r="C93" s="1">
        <f>IFERROR(__xludf.DUMMYFUNCTION("""COMPUTED_VALUE"""),31.71)</f>
        <v>31.71</v>
      </c>
      <c r="D93" s="1">
        <f>IFERROR(__xludf.DUMMYFUNCTION("""COMPUTED_VALUE"""),29.03)</f>
        <v>29.03</v>
      </c>
      <c r="E93" s="1">
        <f>IFERROR(__xludf.DUMMYFUNCTION("""COMPUTED_VALUE"""),29.14)</f>
        <v>29.14</v>
      </c>
      <c r="F93" s="1">
        <f>IFERROR(__xludf.DUMMYFUNCTION("""COMPUTED_VALUE"""),1.6771669E7)</f>
        <v>16771669</v>
      </c>
    </row>
    <row r="94" ht="15.75" customHeight="1">
      <c r="A94" s="10">
        <f>IFERROR(__xludf.DUMMYFUNCTION("""COMPUTED_VALUE"""),40802.666666666664)</f>
        <v>40802.66667</v>
      </c>
      <c r="B94" s="1">
        <f>IFERROR(__xludf.DUMMYFUNCTION("""COMPUTED_VALUE"""),28.72)</f>
        <v>28.72</v>
      </c>
      <c r="C94" s="1">
        <f>IFERROR(__xludf.DUMMYFUNCTION("""COMPUTED_VALUE"""),30.18)</f>
        <v>30.18</v>
      </c>
      <c r="D94" s="1">
        <f>IFERROR(__xludf.DUMMYFUNCTION("""COMPUTED_VALUE"""),22.02)</f>
        <v>22.02</v>
      </c>
      <c r="E94" s="1">
        <f>IFERROR(__xludf.DUMMYFUNCTION("""COMPUTED_VALUE"""),22.17)</f>
        <v>22.17</v>
      </c>
      <c r="F94" s="1">
        <f>IFERROR(__xludf.DUMMYFUNCTION("""COMPUTED_VALUE"""),4.942803E7)</f>
        <v>49428030</v>
      </c>
    </row>
    <row r="95" ht="15.75" customHeight="1">
      <c r="A95" s="10">
        <f>IFERROR(__xludf.DUMMYFUNCTION("""COMPUTED_VALUE"""),40809.666666666664)</f>
        <v>40809.66667</v>
      </c>
      <c r="B95" s="1">
        <f>IFERROR(__xludf.DUMMYFUNCTION("""COMPUTED_VALUE"""),22.37)</f>
        <v>22.37</v>
      </c>
      <c r="C95" s="1">
        <f>IFERROR(__xludf.DUMMYFUNCTION("""COMPUTED_VALUE"""),23.28)</f>
        <v>23.28</v>
      </c>
      <c r="D95" s="1">
        <f>IFERROR(__xludf.DUMMYFUNCTION("""COMPUTED_VALUE"""),17.86)</f>
        <v>17.86</v>
      </c>
      <c r="E95" s="1">
        <f>IFERROR(__xludf.DUMMYFUNCTION("""COMPUTED_VALUE"""),18.48)</f>
        <v>18.48</v>
      </c>
      <c r="F95" s="1">
        <f>IFERROR(__xludf.DUMMYFUNCTION("""COMPUTED_VALUE"""),1.0174779E8)</f>
        <v>101747790</v>
      </c>
    </row>
    <row r="96" ht="15.75" customHeight="1">
      <c r="A96" s="10">
        <f>IFERROR(__xludf.DUMMYFUNCTION("""COMPUTED_VALUE"""),40816.666666666664)</f>
        <v>40816.66667</v>
      </c>
      <c r="B96" s="1">
        <f>IFERROR(__xludf.DUMMYFUNCTION("""COMPUTED_VALUE"""),19.45)</f>
        <v>19.45</v>
      </c>
      <c r="C96" s="1">
        <f>IFERROR(__xludf.DUMMYFUNCTION("""COMPUTED_VALUE"""),19.7)</f>
        <v>19.7</v>
      </c>
      <c r="D96" s="1">
        <f>IFERROR(__xludf.DUMMYFUNCTION("""COMPUTED_VALUE"""),15.38)</f>
        <v>15.38</v>
      </c>
      <c r="E96" s="1">
        <f>IFERROR(__xludf.DUMMYFUNCTION("""COMPUTED_VALUE"""),16.18)</f>
        <v>16.18</v>
      </c>
      <c r="F96" s="1">
        <f>IFERROR(__xludf.DUMMYFUNCTION("""COMPUTED_VALUE"""),6.1099302E7)</f>
        <v>61099302</v>
      </c>
    </row>
    <row r="97" ht="15.75" customHeight="1">
      <c r="A97" s="10">
        <f>IFERROR(__xludf.DUMMYFUNCTION("""COMPUTED_VALUE"""),40823.666666666664)</f>
        <v>40823.66667</v>
      </c>
      <c r="B97" s="1">
        <f>IFERROR(__xludf.DUMMYFUNCTION("""COMPUTED_VALUE"""),16.45)</f>
        <v>16.45</v>
      </c>
      <c r="C97" s="1">
        <f>IFERROR(__xludf.DUMMYFUNCTION("""COMPUTED_VALUE"""),17.75)</f>
        <v>17.75</v>
      </c>
      <c r="D97" s="1">
        <f>IFERROR(__xludf.DUMMYFUNCTION("""COMPUTED_VALUE"""),15.71)</f>
        <v>15.71</v>
      </c>
      <c r="E97" s="1">
        <f>IFERROR(__xludf.DUMMYFUNCTION("""COMPUTED_VALUE"""),16.74)</f>
        <v>16.74</v>
      </c>
      <c r="F97" s="1">
        <f>IFERROR(__xludf.DUMMYFUNCTION("""COMPUTED_VALUE"""),3.4727493E7)</f>
        <v>34727493</v>
      </c>
    </row>
    <row r="98" ht="15.75" customHeight="1">
      <c r="A98" s="10">
        <f>IFERROR(__xludf.DUMMYFUNCTION("""COMPUTED_VALUE"""),40830.666666666664)</f>
        <v>40830.66667</v>
      </c>
      <c r="B98" s="1">
        <f>IFERROR(__xludf.DUMMYFUNCTION("""COMPUTED_VALUE"""),18.19)</f>
        <v>18.19</v>
      </c>
      <c r="C98" s="1">
        <f>IFERROR(__xludf.DUMMYFUNCTION("""COMPUTED_VALUE"""),18.36)</f>
        <v>18.36</v>
      </c>
      <c r="D98" s="1">
        <f>IFERROR(__xludf.DUMMYFUNCTION("""COMPUTED_VALUE"""),14.73)</f>
        <v>14.73</v>
      </c>
      <c r="E98" s="1">
        <f>IFERROR(__xludf.DUMMYFUNCTION("""COMPUTED_VALUE"""),16.58)</f>
        <v>16.58</v>
      </c>
      <c r="F98" s="1">
        <f>IFERROR(__xludf.DUMMYFUNCTION("""COMPUTED_VALUE"""),6.9084374E7)</f>
        <v>69084374</v>
      </c>
    </row>
    <row r="99" ht="15.75" customHeight="1">
      <c r="A99" s="10">
        <f>IFERROR(__xludf.DUMMYFUNCTION("""COMPUTED_VALUE"""),40837.666666666664)</f>
        <v>40837.66667</v>
      </c>
      <c r="B99" s="1">
        <f>IFERROR(__xludf.DUMMYFUNCTION("""COMPUTED_VALUE"""),16.55)</f>
        <v>16.55</v>
      </c>
      <c r="C99" s="1">
        <f>IFERROR(__xludf.DUMMYFUNCTION("""COMPUTED_VALUE"""),17.04)</f>
        <v>17.04</v>
      </c>
      <c r="D99" s="1">
        <f>IFERROR(__xludf.DUMMYFUNCTION("""COMPUTED_VALUE"""),15.08)</f>
        <v>15.08</v>
      </c>
      <c r="E99" s="1">
        <f>IFERROR(__xludf.DUMMYFUNCTION("""COMPUTED_VALUE"""),16.72)</f>
        <v>16.72</v>
      </c>
      <c r="F99" s="1">
        <f>IFERROR(__xludf.DUMMYFUNCTION("""COMPUTED_VALUE"""),3.0203862E7)</f>
        <v>30203862</v>
      </c>
    </row>
    <row r="100" ht="15.75" customHeight="1">
      <c r="A100" s="10">
        <f>IFERROR(__xludf.DUMMYFUNCTION("""COMPUTED_VALUE"""),40844.666666666664)</f>
        <v>40844.66667</v>
      </c>
      <c r="B100" s="1">
        <f>IFERROR(__xludf.DUMMYFUNCTION("""COMPUTED_VALUE"""),17.06)</f>
        <v>17.06</v>
      </c>
      <c r="C100" s="1">
        <f>IFERROR(__xludf.DUMMYFUNCTION("""COMPUTED_VALUE"""),17.18)</f>
        <v>17.18</v>
      </c>
      <c r="D100" s="1">
        <f>IFERROR(__xludf.DUMMYFUNCTION("""COMPUTED_VALUE"""),10.61)</f>
        <v>10.61</v>
      </c>
      <c r="E100" s="1">
        <f>IFERROR(__xludf.DUMMYFUNCTION("""COMPUTED_VALUE"""),12.02)</f>
        <v>12.02</v>
      </c>
      <c r="F100" s="1">
        <f>IFERROR(__xludf.DUMMYFUNCTION("""COMPUTED_VALUE"""),1.01963603E8)</f>
        <v>101963603</v>
      </c>
    </row>
    <row r="101" ht="15.75" customHeight="1">
      <c r="A101" s="10">
        <f>IFERROR(__xludf.DUMMYFUNCTION("""COMPUTED_VALUE"""),40851.666666666664)</f>
        <v>40851.66667</v>
      </c>
      <c r="B101" s="1">
        <f>IFERROR(__xludf.DUMMYFUNCTION("""COMPUTED_VALUE"""),12.0)</f>
        <v>12</v>
      </c>
      <c r="C101" s="1">
        <f>IFERROR(__xludf.DUMMYFUNCTION("""COMPUTED_VALUE"""),13.27)</f>
        <v>13.27</v>
      </c>
      <c r="D101" s="1">
        <f>IFERROR(__xludf.DUMMYFUNCTION("""COMPUTED_VALUE"""),11.25)</f>
        <v>11.25</v>
      </c>
      <c r="E101" s="1">
        <f>IFERROR(__xludf.DUMMYFUNCTION("""COMPUTED_VALUE"""),12.86)</f>
        <v>12.86</v>
      </c>
      <c r="F101" s="1">
        <f>IFERROR(__xludf.DUMMYFUNCTION("""COMPUTED_VALUE"""),4.1907405E7)</f>
        <v>41907405</v>
      </c>
    </row>
    <row r="102" ht="15.75" customHeight="1">
      <c r="A102" s="10">
        <f>IFERROR(__xludf.DUMMYFUNCTION("""COMPUTED_VALUE"""),40858.666666666664)</f>
        <v>40858.66667</v>
      </c>
      <c r="B102" s="1">
        <f>IFERROR(__xludf.DUMMYFUNCTION("""COMPUTED_VALUE"""),13.0)</f>
        <v>13</v>
      </c>
      <c r="C102" s="1">
        <f>IFERROR(__xludf.DUMMYFUNCTION("""COMPUTED_VALUE"""),13.41)</f>
        <v>13.41</v>
      </c>
      <c r="D102" s="1">
        <f>IFERROR(__xludf.DUMMYFUNCTION("""COMPUTED_VALUE"""),11.96)</f>
        <v>11.96</v>
      </c>
      <c r="E102" s="1">
        <f>IFERROR(__xludf.DUMMYFUNCTION("""COMPUTED_VALUE"""),12.54)</f>
        <v>12.54</v>
      </c>
      <c r="F102" s="1">
        <f>IFERROR(__xludf.DUMMYFUNCTION("""COMPUTED_VALUE"""),2.6581491E7)</f>
        <v>26581491</v>
      </c>
    </row>
    <row r="103" ht="15.75" customHeight="1">
      <c r="A103" s="10">
        <f>IFERROR(__xludf.DUMMYFUNCTION("""COMPUTED_VALUE"""),40865.666666666664)</f>
        <v>40865.66667</v>
      </c>
      <c r="B103" s="1">
        <f>IFERROR(__xludf.DUMMYFUNCTION("""COMPUTED_VALUE"""),12.57)</f>
        <v>12.57</v>
      </c>
      <c r="C103" s="1">
        <f>IFERROR(__xludf.DUMMYFUNCTION("""COMPUTED_VALUE"""),12.59)</f>
        <v>12.59</v>
      </c>
      <c r="D103" s="1">
        <f>IFERROR(__xludf.DUMMYFUNCTION("""COMPUTED_VALUE"""),10.83)</f>
        <v>10.83</v>
      </c>
      <c r="E103" s="1">
        <f>IFERROR(__xludf.DUMMYFUNCTION("""COMPUTED_VALUE"""),11.15)</f>
        <v>11.15</v>
      </c>
      <c r="F103" s="1">
        <f>IFERROR(__xludf.DUMMYFUNCTION("""COMPUTED_VALUE"""),2.3622902E7)</f>
        <v>23622902</v>
      </c>
    </row>
    <row r="104" ht="15.75" customHeight="1">
      <c r="A104" s="10">
        <f>IFERROR(__xludf.DUMMYFUNCTION("""COMPUTED_VALUE"""),40872.666666666664)</f>
        <v>40872.66667</v>
      </c>
      <c r="B104" s="1">
        <f>IFERROR(__xludf.DUMMYFUNCTION("""COMPUTED_VALUE"""),11.0)</f>
        <v>11</v>
      </c>
      <c r="C104" s="1">
        <f>IFERROR(__xludf.DUMMYFUNCTION("""COMPUTED_VALUE"""),11.43)</f>
        <v>11.43</v>
      </c>
      <c r="D104" s="1">
        <f>IFERROR(__xludf.DUMMYFUNCTION("""COMPUTED_VALUE"""),8.99)</f>
        <v>8.99</v>
      </c>
      <c r="E104" s="1">
        <f>IFERROR(__xludf.DUMMYFUNCTION("""COMPUTED_VALUE"""),9.12)</f>
        <v>9.12</v>
      </c>
      <c r="F104" s="1">
        <f>IFERROR(__xludf.DUMMYFUNCTION("""COMPUTED_VALUE"""),3.3409897E7)</f>
        <v>33409897</v>
      </c>
    </row>
    <row r="105" ht="15.75" customHeight="1">
      <c r="A105" s="10">
        <f>IFERROR(__xludf.DUMMYFUNCTION("""COMPUTED_VALUE"""),40879.666666666664)</f>
        <v>40879.66667</v>
      </c>
      <c r="B105" s="1">
        <f>IFERROR(__xludf.DUMMYFUNCTION("""COMPUTED_VALUE"""),9.6)</f>
        <v>9.6</v>
      </c>
      <c r="C105" s="1">
        <f>IFERROR(__xludf.DUMMYFUNCTION("""COMPUTED_VALUE"""),10.11)</f>
        <v>10.11</v>
      </c>
      <c r="D105" s="1">
        <f>IFERROR(__xludf.DUMMYFUNCTION("""COMPUTED_VALUE"""),8.91)</f>
        <v>8.91</v>
      </c>
      <c r="E105" s="1">
        <f>IFERROR(__xludf.DUMMYFUNCTION("""COMPUTED_VALUE"""),9.48)</f>
        <v>9.48</v>
      </c>
      <c r="F105" s="1">
        <f>IFERROR(__xludf.DUMMYFUNCTION("""COMPUTED_VALUE"""),4.3886768E7)</f>
        <v>43886768</v>
      </c>
    </row>
    <row r="106" ht="15.75" customHeight="1">
      <c r="A106" s="10">
        <f>IFERROR(__xludf.DUMMYFUNCTION("""COMPUTED_VALUE"""),40886.666666666664)</f>
        <v>40886.66667</v>
      </c>
      <c r="B106" s="1">
        <f>IFERROR(__xludf.DUMMYFUNCTION("""COMPUTED_VALUE"""),9.51)</f>
        <v>9.51</v>
      </c>
      <c r="C106" s="1">
        <f>IFERROR(__xludf.DUMMYFUNCTION("""COMPUTED_VALUE"""),10.42)</f>
        <v>10.42</v>
      </c>
      <c r="D106" s="1">
        <f>IFERROR(__xludf.DUMMYFUNCTION("""COMPUTED_VALUE"""),9.33)</f>
        <v>9.33</v>
      </c>
      <c r="E106" s="1">
        <f>IFERROR(__xludf.DUMMYFUNCTION("""COMPUTED_VALUE"""),10.13)</f>
        <v>10.13</v>
      </c>
      <c r="F106" s="1">
        <f>IFERROR(__xludf.DUMMYFUNCTION("""COMPUTED_VALUE"""),3.7948143E7)</f>
        <v>37948143</v>
      </c>
    </row>
    <row r="107" ht="15.75" customHeight="1">
      <c r="A107" s="10">
        <f>IFERROR(__xludf.DUMMYFUNCTION("""COMPUTED_VALUE"""),40893.666666666664)</f>
        <v>40893.66667</v>
      </c>
      <c r="B107" s="1">
        <f>IFERROR(__xludf.DUMMYFUNCTION("""COMPUTED_VALUE"""),9.99)</f>
        <v>9.99</v>
      </c>
      <c r="C107" s="1">
        <f>IFERROR(__xludf.DUMMYFUNCTION("""COMPUTED_VALUE"""),11.08)</f>
        <v>11.08</v>
      </c>
      <c r="D107" s="1">
        <f>IFERROR(__xludf.DUMMYFUNCTION("""COMPUTED_VALUE"""),9.85)</f>
        <v>9.85</v>
      </c>
      <c r="E107" s="1">
        <f>IFERROR(__xludf.DUMMYFUNCTION("""COMPUTED_VALUE"""),9.97)</f>
        <v>9.97</v>
      </c>
      <c r="F107" s="1">
        <f>IFERROR(__xludf.DUMMYFUNCTION("""COMPUTED_VALUE"""),3.7442872E7)</f>
        <v>37442872</v>
      </c>
    </row>
    <row r="108" ht="15.75" customHeight="1">
      <c r="A108" s="10">
        <f>IFERROR(__xludf.DUMMYFUNCTION("""COMPUTED_VALUE"""),40900.666666666664)</f>
        <v>40900.66667</v>
      </c>
      <c r="B108" s="1">
        <f>IFERROR(__xludf.DUMMYFUNCTION("""COMPUTED_VALUE"""),9.97)</f>
        <v>9.97</v>
      </c>
      <c r="C108" s="1">
        <f>IFERROR(__xludf.DUMMYFUNCTION("""COMPUTED_VALUE"""),10.65)</f>
        <v>10.65</v>
      </c>
      <c r="D108" s="1">
        <f>IFERROR(__xludf.DUMMYFUNCTION("""COMPUTED_VALUE"""),9.56)</f>
        <v>9.56</v>
      </c>
      <c r="E108" s="1">
        <f>IFERROR(__xludf.DUMMYFUNCTION("""COMPUTED_VALUE"""),10.37)</f>
        <v>10.37</v>
      </c>
      <c r="F108" s="1">
        <f>IFERROR(__xludf.DUMMYFUNCTION("""COMPUTED_VALUE"""),1.8426268E7)</f>
        <v>18426268</v>
      </c>
    </row>
    <row r="109" ht="15.75" customHeight="1">
      <c r="A109" s="10">
        <f>IFERROR(__xludf.DUMMYFUNCTION("""COMPUTED_VALUE"""),40907.666666666664)</f>
        <v>40907.66667</v>
      </c>
      <c r="B109" s="1">
        <f>IFERROR(__xludf.DUMMYFUNCTION("""COMPUTED_VALUE"""),10.33)</f>
        <v>10.33</v>
      </c>
      <c r="C109" s="1">
        <f>IFERROR(__xludf.DUMMYFUNCTION("""COMPUTED_VALUE"""),10.36)</f>
        <v>10.36</v>
      </c>
      <c r="D109" s="1">
        <f>IFERROR(__xludf.DUMMYFUNCTION("""COMPUTED_VALUE"""),9.66)</f>
        <v>9.66</v>
      </c>
      <c r="E109" s="1">
        <f>IFERROR(__xludf.DUMMYFUNCTION("""COMPUTED_VALUE"""),9.9)</f>
        <v>9.9</v>
      </c>
      <c r="F109" s="1">
        <f>IFERROR(__xludf.DUMMYFUNCTION("""COMPUTED_VALUE"""),1.3360781E7)</f>
        <v>13360781</v>
      </c>
    </row>
    <row r="110" ht="15.75" customHeight="1">
      <c r="A110" s="10">
        <f>IFERROR(__xludf.DUMMYFUNCTION("""COMPUTED_VALUE"""),40914.666666666664)</f>
        <v>40914.66667</v>
      </c>
      <c r="B110" s="1">
        <f>IFERROR(__xludf.DUMMYFUNCTION("""COMPUTED_VALUE"""),10.06)</f>
        <v>10.06</v>
      </c>
      <c r="C110" s="1">
        <f>IFERROR(__xludf.DUMMYFUNCTION("""COMPUTED_VALUE"""),12.47)</f>
        <v>12.47</v>
      </c>
      <c r="D110" s="1">
        <f>IFERROR(__xludf.DUMMYFUNCTION("""COMPUTED_VALUE"""),10.02)</f>
        <v>10.02</v>
      </c>
      <c r="E110" s="1">
        <f>IFERROR(__xludf.DUMMYFUNCTION("""COMPUTED_VALUE"""),12.33)</f>
        <v>12.33</v>
      </c>
      <c r="F110" s="1">
        <f>IFERROR(__xludf.DUMMYFUNCTION("""COMPUTED_VALUE"""),4.8863569E7)</f>
        <v>48863569</v>
      </c>
    </row>
    <row r="111" ht="15.75" customHeight="1">
      <c r="A111" s="10">
        <f>IFERROR(__xludf.DUMMYFUNCTION("""COMPUTED_VALUE"""),40921.666666666664)</f>
        <v>40921.66667</v>
      </c>
      <c r="B111" s="1">
        <f>IFERROR(__xludf.DUMMYFUNCTION("""COMPUTED_VALUE"""),12.84)</f>
        <v>12.84</v>
      </c>
      <c r="C111" s="1">
        <f>IFERROR(__xludf.DUMMYFUNCTION("""COMPUTED_VALUE"""),14.26)</f>
        <v>14.26</v>
      </c>
      <c r="D111" s="1">
        <f>IFERROR(__xludf.DUMMYFUNCTION("""COMPUTED_VALUE"""),12.45)</f>
        <v>12.45</v>
      </c>
      <c r="E111" s="1">
        <f>IFERROR(__xludf.DUMMYFUNCTION("""COMPUTED_VALUE"""),13.48)</f>
        <v>13.48</v>
      </c>
      <c r="F111" s="1">
        <f>IFERROR(__xludf.DUMMYFUNCTION("""COMPUTED_VALUE"""),8.5392339E7)</f>
        <v>85392339</v>
      </c>
    </row>
    <row r="112" ht="15.75" customHeight="1">
      <c r="A112" s="10">
        <f>IFERROR(__xludf.DUMMYFUNCTION("""COMPUTED_VALUE"""),40928.666666666664)</f>
        <v>40928.66667</v>
      </c>
      <c r="B112" s="1">
        <f>IFERROR(__xludf.DUMMYFUNCTION("""COMPUTED_VALUE"""),13.71)</f>
        <v>13.71</v>
      </c>
      <c r="C112" s="1">
        <f>IFERROR(__xludf.DUMMYFUNCTION("""COMPUTED_VALUE"""),14.97)</f>
        <v>14.97</v>
      </c>
      <c r="D112" s="1">
        <f>IFERROR(__xludf.DUMMYFUNCTION("""COMPUTED_VALUE"""),13.18)</f>
        <v>13.18</v>
      </c>
      <c r="E112" s="1">
        <f>IFERROR(__xludf.DUMMYFUNCTION("""COMPUTED_VALUE"""),14.32)</f>
        <v>14.32</v>
      </c>
      <c r="F112" s="1">
        <f>IFERROR(__xludf.DUMMYFUNCTION("""COMPUTED_VALUE"""),3.6815481E7)</f>
        <v>36815481</v>
      </c>
    </row>
    <row r="113" ht="15.75" customHeight="1">
      <c r="A113" s="10">
        <f>IFERROR(__xludf.DUMMYFUNCTION("""COMPUTED_VALUE"""),40935.666666666664)</f>
        <v>40935.66667</v>
      </c>
      <c r="B113" s="1">
        <f>IFERROR(__xludf.DUMMYFUNCTION("""COMPUTED_VALUE"""),14.12)</f>
        <v>14.12</v>
      </c>
      <c r="C113" s="1">
        <f>IFERROR(__xludf.DUMMYFUNCTION("""COMPUTED_VALUE"""),17.71)</f>
        <v>17.71</v>
      </c>
      <c r="D113" s="1">
        <f>IFERROR(__xludf.DUMMYFUNCTION("""COMPUTED_VALUE"""),13.07)</f>
        <v>13.07</v>
      </c>
      <c r="E113" s="1">
        <f>IFERROR(__xludf.DUMMYFUNCTION("""COMPUTED_VALUE"""),17.68)</f>
        <v>17.68</v>
      </c>
      <c r="F113" s="1">
        <f>IFERROR(__xludf.DUMMYFUNCTION("""COMPUTED_VALUE"""),6.3164118E7)</f>
        <v>63164118</v>
      </c>
    </row>
    <row r="114" ht="15.75" customHeight="1">
      <c r="A114" s="10">
        <f>IFERROR(__xludf.DUMMYFUNCTION("""COMPUTED_VALUE"""),40942.666666666664)</f>
        <v>40942.66667</v>
      </c>
      <c r="B114" s="1">
        <f>IFERROR(__xludf.DUMMYFUNCTION("""COMPUTED_VALUE"""),17.86)</f>
        <v>17.86</v>
      </c>
      <c r="C114" s="1">
        <f>IFERROR(__xludf.DUMMYFUNCTION("""COMPUTED_VALUE"""),18.5)</f>
        <v>18.5</v>
      </c>
      <c r="D114" s="1">
        <f>IFERROR(__xludf.DUMMYFUNCTION("""COMPUTED_VALUE"""),16.82)</f>
        <v>16.82</v>
      </c>
      <c r="E114" s="1">
        <f>IFERROR(__xludf.DUMMYFUNCTION("""COMPUTED_VALUE"""),18.06)</f>
        <v>18.06</v>
      </c>
      <c r="F114" s="1">
        <f>IFERROR(__xludf.DUMMYFUNCTION("""COMPUTED_VALUE"""),4.7220467E7)</f>
        <v>47220467</v>
      </c>
    </row>
    <row r="115" ht="15.75" customHeight="1">
      <c r="A115" s="10">
        <f>IFERROR(__xludf.DUMMYFUNCTION("""COMPUTED_VALUE"""),40949.666666666664)</f>
        <v>40949.66667</v>
      </c>
      <c r="B115" s="1">
        <f>IFERROR(__xludf.DUMMYFUNCTION("""COMPUTED_VALUE"""),17.6)</f>
        <v>17.6</v>
      </c>
      <c r="C115" s="1">
        <f>IFERROR(__xludf.DUMMYFUNCTION("""COMPUTED_VALUE"""),19.06)</f>
        <v>19.06</v>
      </c>
      <c r="D115" s="1">
        <f>IFERROR(__xludf.DUMMYFUNCTION("""COMPUTED_VALUE"""),17.41)</f>
        <v>17.41</v>
      </c>
      <c r="E115" s="1">
        <f>IFERROR(__xludf.DUMMYFUNCTION("""COMPUTED_VALUE"""),17.7)</f>
        <v>17.7</v>
      </c>
      <c r="F115" s="1">
        <f>IFERROR(__xludf.DUMMYFUNCTION("""COMPUTED_VALUE"""),4.1225918E7)</f>
        <v>41225918</v>
      </c>
    </row>
    <row r="116" ht="15.75" customHeight="1">
      <c r="A116" s="10">
        <f>IFERROR(__xludf.DUMMYFUNCTION("""COMPUTED_VALUE"""),40956.666666666664)</f>
        <v>40956.66667</v>
      </c>
      <c r="B116" s="1">
        <f>IFERROR(__xludf.DUMMYFUNCTION("""COMPUTED_VALUE"""),17.85)</f>
        <v>17.85</v>
      </c>
      <c r="C116" s="1">
        <f>IFERROR(__xludf.DUMMYFUNCTION("""COMPUTED_VALUE"""),17.9)</f>
        <v>17.9</v>
      </c>
      <c r="D116" s="1">
        <f>IFERROR(__xludf.DUMMYFUNCTION("""COMPUTED_VALUE"""),16.88)</f>
        <v>16.88</v>
      </c>
      <c r="E116" s="1">
        <f>IFERROR(__xludf.DUMMYFUNCTION("""COMPUTED_VALUE"""),17.41)</f>
        <v>17.41</v>
      </c>
      <c r="F116" s="1">
        <f>IFERROR(__xludf.DUMMYFUNCTION("""COMPUTED_VALUE"""),2.9825063E7)</f>
        <v>29825063</v>
      </c>
    </row>
    <row r="117" ht="15.75" customHeight="1">
      <c r="A117" s="10">
        <f>IFERROR(__xludf.DUMMYFUNCTION("""COMPUTED_VALUE"""),40963.666666666664)</f>
        <v>40963.66667</v>
      </c>
      <c r="B117" s="1">
        <f>IFERROR(__xludf.DUMMYFUNCTION("""COMPUTED_VALUE"""),17.68)</f>
        <v>17.68</v>
      </c>
      <c r="C117" s="1">
        <f>IFERROR(__xludf.DUMMYFUNCTION("""COMPUTED_VALUE"""),18.02)</f>
        <v>18.02</v>
      </c>
      <c r="D117" s="1">
        <f>IFERROR(__xludf.DUMMYFUNCTION("""COMPUTED_VALUE"""),15.51)</f>
        <v>15.51</v>
      </c>
      <c r="E117" s="1">
        <f>IFERROR(__xludf.DUMMYFUNCTION("""COMPUTED_VALUE"""),15.95)</f>
        <v>15.95</v>
      </c>
      <c r="F117" s="1">
        <f>IFERROR(__xludf.DUMMYFUNCTION("""COMPUTED_VALUE"""),3.4375784E7)</f>
        <v>34375784</v>
      </c>
    </row>
    <row r="118" ht="15.75" customHeight="1">
      <c r="A118" s="10">
        <f>IFERROR(__xludf.DUMMYFUNCTION("""COMPUTED_VALUE"""),40970.666666666664)</f>
        <v>40970.66667</v>
      </c>
      <c r="B118" s="1">
        <f>IFERROR(__xludf.DUMMYFUNCTION("""COMPUTED_VALUE"""),15.44)</f>
        <v>15.44</v>
      </c>
      <c r="C118" s="1">
        <f>IFERROR(__xludf.DUMMYFUNCTION("""COMPUTED_VALUE"""),16.83)</f>
        <v>16.83</v>
      </c>
      <c r="D118" s="1">
        <f>IFERROR(__xludf.DUMMYFUNCTION("""COMPUTED_VALUE"""),15.23)</f>
        <v>15.23</v>
      </c>
      <c r="E118" s="1">
        <f>IFERROR(__xludf.DUMMYFUNCTION("""COMPUTED_VALUE"""),16.44)</f>
        <v>16.44</v>
      </c>
      <c r="F118" s="1">
        <f>IFERROR(__xludf.DUMMYFUNCTION("""COMPUTED_VALUE"""),2.892856E7)</f>
        <v>28928560</v>
      </c>
    </row>
    <row r="119" ht="15.75" customHeight="1">
      <c r="A119" s="10">
        <f>IFERROR(__xludf.DUMMYFUNCTION("""COMPUTED_VALUE"""),40977.666666666664)</f>
        <v>40977.66667</v>
      </c>
      <c r="B119" s="1">
        <f>IFERROR(__xludf.DUMMYFUNCTION("""COMPUTED_VALUE"""),16.38)</f>
        <v>16.38</v>
      </c>
      <c r="C119" s="1">
        <f>IFERROR(__xludf.DUMMYFUNCTION("""COMPUTED_VALUE"""),16.65)</f>
        <v>16.65</v>
      </c>
      <c r="D119" s="1">
        <f>IFERROR(__xludf.DUMMYFUNCTION("""COMPUTED_VALUE"""),14.65)</f>
        <v>14.65</v>
      </c>
      <c r="E119" s="1">
        <f>IFERROR(__xludf.DUMMYFUNCTION("""COMPUTED_VALUE"""),15.59)</f>
        <v>15.59</v>
      </c>
      <c r="F119" s="1">
        <f>IFERROR(__xludf.DUMMYFUNCTION("""COMPUTED_VALUE"""),3.1370418E7)</f>
        <v>31370418</v>
      </c>
    </row>
    <row r="120" ht="15.75" customHeight="1">
      <c r="A120" s="10">
        <f>IFERROR(__xludf.DUMMYFUNCTION("""COMPUTED_VALUE"""),40984.666666666664)</f>
        <v>40984.66667</v>
      </c>
      <c r="B120" s="1">
        <f>IFERROR(__xludf.DUMMYFUNCTION("""COMPUTED_VALUE"""),15.39)</f>
        <v>15.39</v>
      </c>
      <c r="C120" s="1">
        <f>IFERROR(__xludf.DUMMYFUNCTION("""COMPUTED_VALUE"""),15.96)</f>
        <v>15.96</v>
      </c>
      <c r="D120" s="1">
        <f>IFERROR(__xludf.DUMMYFUNCTION("""COMPUTED_VALUE"""),14.7)</f>
        <v>14.7</v>
      </c>
      <c r="E120" s="1">
        <f>IFERROR(__xludf.DUMMYFUNCTION("""COMPUTED_VALUE"""),15.71)</f>
        <v>15.71</v>
      </c>
      <c r="F120" s="1">
        <f>IFERROR(__xludf.DUMMYFUNCTION("""COMPUTED_VALUE"""),2.5666915E7)</f>
        <v>25666915</v>
      </c>
    </row>
    <row r="121" ht="15.75" customHeight="1">
      <c r="A121" s="10">
        <f>IFERROR(__xludf.DUMMYFUNCTION("""COMPUTED_VALUE"""),40991.666666666664)</f>
        <v>40991.66667</v>
      </c>
      <c r="B121" s="1">
        <f>IFERROR(__xludf.DUMMYFUNCTION("""COMPUTED_VALUE"""),15.64)</f>
        <v>15.64</v>
      </c>
      <c r="C121" s="1">
        <f>IFERROR(__xludf.DUMMYFUNCTION("""COMPUTED_VALUE"""),17.64)</f>
        <v>17.64</v>
      </c>
      <c r="D121" s="1">
        <f>IFERROR(__xludf.DUMMYFUNCTION("""COMPUTED_VALUE"""),15.54)</f>
        <v>15.54</v>
      </c>
      <c r="E121" s="1">
        <f>IFERROR(__xludf.DUMMYFUNCTION("""COMPUTED_VALUE"""),17.17)</f>
        <v>17.17</v>
      </c>
      <c r="F121" s="1">
        <f>IFERROR(__xludf.DUMMYFUNCTION("""COMPUTED_VALUE"""),2.8070843E7)</f>
        <v>28070843</v>
      </c>
    </row>
    <row r="122" ht="15.75" customHeight="1">
      <c r="A122" s="10">
        <f>IFERROR(__xludf.DUMMYFUNCTION("""COMPUTED_VALUE"""),40998.666666666664)</f>
        <v>40998.66667</v>
      </c>
      <c r="B122" s="1">
        <f>IFERROR(__xludf.DUMMYFUNCTION("""COMPUTED_VALUE"""),17.37)</f>
        <v>17.37</v>
      </c>
      <c r="C122" s="1">
        <f>IFERROR(__xludf.DUMMYFUNCTION("""COMPUTED_VALUE"""),17.64)</f>
        <v>17.64</v>
      </c>
      <c r="D122" s="1">
        <f>IFERROR(__xludf.DUMMYFUNCTION("""COMPUTED_VALUE"""),16.14)</f>
        <v>16.14</v>
      </c>
      <c r="E122" s="1">
        <f>IFERROR(__xludf.DUMMYFUNCTION("""COMPUTED_VALUE"""),16.43)</f>
        <v>16.43</v>
      </c>
      <c r="F122" s="1">
        <f>IFERROR(__xludf.DUMMYFUNCTION("""COMPUTED_VALUE"""),2.0238678E7)</f>
        <v>20238678</v>
      </c>
    </row>
    <row r="123" ht="15.75" customHeight="1">
      <c r="A123" s="10">
        <f>IFERROR(__xludf.DUMMYFUNCTION("""COMPUTED_VALUE"""),41004.666666666664)</f>
        <v>41004.66667</v>
      </c>
      <c r="B123" s="1">
        <f>IFERROR(__xludf.DUMMYFUNCTION("""COMPUTED_VALUE"""),16.4)</f>
        <v>16.4</v>
      </c>
      <c r="C123" s="1">
        <f>IFERROR(__xludf.DUMMYFUNCTION("""COMPUTED_VALUE"""),16.4)</f>
        <v>16.4</v>
      </c>
      <c r="D123" s="1">
        <f>IFERROR(__xludf.DUMMYFUNCTION("""COMPUTED_VALUE"""),15.62)</f>
        <v>15.62</v>
      </c>
      <c r="E123" s="1">
        <f>IFERROR(__xludf.DUMMYFUNCTION("""COMPUTED_VALUE"""),15.79)</f>
        <v>15.79</v>
      </c>
      <c r="F123" s="1">
        <f>IFERROR(__xludf.DUMMYFUNCTION("""COMPUTED_VALUE"""),1.6577584E7)</f>
        <v>16577584</v>
      </c>
    </row>
    <row r="124" ht="15.75" customHeight="1">
      <c r="A124" s="10">
        <f>IFERROR(__xludf.DUMMYFUNCTION("""COMPUTED_VALUE"""),41012.666666666664)</f>
        <v>41012.66667</v>
      </c>
      <c r="B124" s="1">
        <f>IFERROR(__xludf.DUMMYFUNCTION("""COMPUTED_VALUE"""),15.54)</f>
        <v>15.54</v>
      </c>
      <c r="C124" s="1">
        <f>IFERROR(__xludf.DUMMYFUNCTION("""COMPUTED_VALUE"""),15.67)</f>
        <v>15.67</v>
      </c>
      <c r="D124" s="1">
        <f>IFERROR(__xludf.DUMMYFUNCTION("""COMPUTED_VALUE"""),14.07)</f>
        <v>14.07</v>
      </c>
      <c r="E124" s="1">
        <f>IFERROR(__xludf.DUMMYFUNCTION("""COMPUTED_VALUE"""),14.88)</f>
        <v>14.88</v>
      </c>
      <c r="F124" s="1">
        <f>IFERROR(__xludf.DUMMYFUNCTION("""COMPUTED_VALUE"""),2.4530488E7)</f>
        <v>24530488</v>
      </c>
    </row>
    <row r="125" ht="15.75" customHeight="1">
      <c r="A125" s="10">
        <f>IFERROR(__xludf.DUMMYFUNCTION("""COMPUTED_VALUE"""),41019.666666666664)</f>
        <v>41019.66667</v>
      </c>
      <c r="B125" s="1">
        <f>IFERROR(__xludf.DUMMYFUNCTION("""COMPUTED_VALUE"""),14.99)</f>
        <v>14.99</v>
      </c>
      <c r="C125" s="1">
        <f>IFERROR(__xludf.DUMMYFUNCTION("""COMPUTED_VALUE"""),15.67)</f>
        <v>15.67</v>
      </c>
      <c r="D125" s="1">
        <f>IFERROR(__xludf.DUMMYFUNCTION("""COMPUTED_VALUE"""),14.34)</f>
        <v>14.34</v>
      </c>
      <c r="E125" s="1">
        <f>IFERROR(__xludf.DUMMYFUNCTION("""COMPUTED_VALUE"""),15.16)</f>
        <v>15.16</v>
      </c>
      <c r="F125" s="1">
        <f>IFERROR(__xludf.DUMMYFUNCTION("""COMPUTED_VALUE"""),1.7825955E7)</f>
        <v>17825955</v>
      </c>
    </row>
    <row r="126" ht="15.75" customHeight="1">
      <c r="A126" s="10">
        <f>IFERROR(__xludf.DUMMYFUNCTION("""COMPUTED_VALUE"""),41026.666666666664)</f>
        <v>41026.66667</v>
      </c>
      <c r="B126" s="1">
        <f>IFERROR(__xludf.DUMMYFUNCTION("""COMPUTED_VALUE"""),14.98)</f>
        <v>14.98</v>
      </c>
      <c r="C126" s="1">
        <f>IFERROR(__xludf.DUMMYFUNCTION("""COMPUTED_VALUE"""),15.0)</f>
        <v>15</v>
      </c>
      <c r="D126" s="1">
        <f>IFERROR(__xludf.DUMMYFUNCTION("""COMPUTED_VALUE"""),11.65)</f>
        <v>11.65</v>
      </c>
      <c r="E126" s="1">
        <f>IFERROR(__xludf.DUMMYFUNCTION("""COMPUTED_VALUE"""),11.96)</f>
        <v>11.96</v>
      </c>
      <c r="F126" s="1">
        <f>IFERROR(__xludf.DUMMYFUNCTION("""COMPUTED_VALUE"""),5.3890133E7)</f>
        <v>53890133</v>
      </c>
    </row>
    <row r="127" ht="15.75" customHeight="1">
      <c r="A127" s="10">
        <f>IFERROR(__xludf.DUMMYFUNCTION("""COMPUTED_VALUE"""),41033.666666666664)</f>
        <v>41033.66667</v>
      </c>
      <c r="B127" s="1">
        <f>IFERROR(__xludf.DUMMYFUNCTION("""COMPUTED_VALUE"""),11.8)</f>
        <v>11.8</v>
      </c>
      <c r="C127" s="1">
        <f>IFERROR(__xludf.DUMMYFUNCTION("""COMPUTED_VALUE"""),11.85)</f>
        <v>11.85</v>
      </c>
      <c r="D127" s="1">
        <f>IFERROR(__xludf.DUMMYFUNCTION("""COMPUTED_VALUE"""),10.3)</f>
        <v>10.3</v>
      </c>
      <c r="E127" s="1">
        <f>IFERROR(__xludf.DUMMYFUNCTION("""COMPUTED_VALUE"""),10.45)</f>
        <v>10.45</v>
      </c>
      <c r="F127" s="1">
        <f>IFERROR(__xludf.DUMMYFUNCTION("""COMPUTED_VALUE"""),3.282572E7)</f>
        <v>32825720</v>
      </c>
    </row>
    <row r="128" ht="15.75" customHeight="1">
      <c r="A128" s="10">
        <f>IFERROR(__xludf.DUMMYFUNCTION("""COMPUTED_VALUE"""),41040.666666666664)</f>
        <v>41040.66667</v>
      </c>
      <c r="B128" s="1">
        <f>IFERROR(__xludf.DUMMYFUNCTION("""COMPUTED_VALUE"""),10.36)</f>
        <v>10.36</v>
      </c>
      <c r="C128" s="1">
        <f>IFERROR(__xludf.DUMMYFUNCTION("""COMPUTED_VALUE"""),11.2)</f>
        <v>11.2</v>
      </c>
      <c r="D128" s="1">
        <f>IFERROR(__xludf.DUMMYFUNCTION("""COMPUTED_VALUE"""),10.08)</f>
        <v>10.08</v>
      </c>
      <c r="E128" s="1">
        <f>IFERROR(__xludf.DUMMYFUNCTION("""COMPUTED_VALUE"""),11.05)</f>
        <v>11.05</v>
      </c>
      <c r="F128" s="1">
        <f>IFERROR(__xludf.DUMMYFUNCTION("""COMPUTED_VALUE"""),2.4399043E7)</f>
        <v>24399043</v>
      </c>
    </row>
    <row r="129" ht="15.75" customHeight="1">
      <c r="A129" s="10">
        <f>IFERROR(__xludf.DUMMYFUNCTION("""COMPUTED_VALUE"""),41047.666666666664)</f>
        <v>41047.66667</v>
      </c>
      <c r="B129" s="1">
        <f>IFERROR(__xludf.DUMMYFUNCTION("""COMPUTED_VALUE"""),11.01)</f>
        <v>11.01</v>
      </c>
      <c r="C129" s="1">
        <f>IFERROR(__xludf.DUMMYFUNCTION("""COMPUTED_VALUE"""),11.33)</f>
        <v>11.33</v>
      </c>
      <c r="D129" s="1">
        <f>IFERROR(__xludf.DUMMYFUNCTION("""COMPUTED_VALUE"""),9.34)</f>
        <v>9.34</v>
      </c>
      <c r="E129" s="1">
        <f>IFERROR(__xludf.DUMMYFUNCTION("""COMPUTED_VALUE"""),9.99)</f>
        <v>9.99</v>
      </c>
      <c r="F129" s="1">
        <f>IFERROR(__xludf.DUMMYFUNCTION("""COMPUTED_VALUE"""),2.2735812E7)</f>
        <v>22735812</v>
      </c>
    </row>
    <row r="130" ht="15.75" customHeight="1">
      <c r="A130" s="10">
        <f>IFERROR(__xludf.DUMMYFUNCTION("""COMPUTED_VALUE"""),41054.666666666664)</f>
        <v>41054.66667</v>
      </c>
      <c r="B130" s="1">
        <f>IFERROR(__xludf.DUMMYFUNCTION("""COMPUTED_VALUE"""),9.98)</f>
        <v>9.98</v>
      </c>
      <c r="C130" s="1">
        <f>IFERROR(__xludf.DUMMYFUNCTION("""COMPUTED_VALUE"""),10.5)</f>
        <v>10.5</v>
      </c>
      <c r="D130" s="1">
        <f>IFERROR(__xludf.DUMMYFUNCTION("""COMPUTED_VALUE"""),9.6)</f>
        <v>9.6</v>
      </c>
      <c r="E130" s="1">
        <f>IFERROR(__xludf.DUMMYFUNCTION("""COMPUTED_VALUE"""),10.03)</f>
        <v>10.03</v>
      </c>
      <c r="F130" s="1">
        <f>IFERROR(__xludf.DUMMYFUNCTION("""COMPUTED_VALUE"""),2.3353465E7)</f>
        <v>23353465</v>
      </c>
    </row>
    <row r="131" ht="15.75" customHeight="1">
      <c r="A131" s="10">
        <f>IFERROR(__xludf.DUMMYFUNCTION("""COMPUTED_VALUE"""),41061.666666666664)</f>
        <v>41061.66667</v>
      </c>
      <c r="B131" s="1">
        <f>IFERROR(__xludf.DUMMYFUNCTION("""COMPUTED_VALUE"""),10.15)</f>
        <v>10.15</v>
      </c>
      <c r="C131" s="1">
        <f>IFERROR(__xludf.DUMMYFUNCTION("""COMPUTED_VALUE"""),10.16)</f>
        <v>10.16</v>
      </c>
      <c r="D131" s="1">
        <f>IFERROR(__xludf.DUMMYFUNCTION("""COMPUTED_VALUE"""),8.67)</f>
        <v>8.67</v>
      </c>
      <c r="E131" s="1">
        <f>IFERROR(__xludf.DUMMYFUNCTION("""COMPUTED_VALUE"""),8.99)</f>
        <v>8.99</v>
      </c>
      <c r="F131" s="1">
        <f>IFERROR(__xludf.DUMMYFUNCTION("""COMPUTED_VALUE"""),2.2054597E7)</f>
        <v>22054597</v>
      </c>
    </row>
    <row r="132" ht="15.75" customHeight="1">
      <c r="A132" s="10">
        <f>IFERROR(__xludf.DUMMYFUNCTION("""COMPUTED_VALUE"""),41068.666666666664)</f>
        <v>41068.66667</v>
      </c>
      <c r="B132" s="1">
        <f>IFERROR(__xludf.DUMMYFUNCTION("""COMPUTED_VALUE"""),9.04)</f>
        <v>9.04</v>
      </c>
      <c r="C132" s="1">
        <f>IFERROR(__xludf.DUMMYFUNCTION("""COMPUTED_VALUE"""),9.77)</f>
        <v>9.77</v>
      </c>
      <c r="D132" s="1">
        <f>IFERROR(__xludf.DUMMYFUNCTION("""COMPUTED_VALUE"""),8.91)</f>
        <v>8.91</v>
      </c>
      <c r="E132" s="1">
        <f>IFERROR(__xludf.DUMMYFUNCTION("""COMPUTED_VALUE"""),9.38)</f>
        <v>9.38</v>
      </c>
      <c r="F132" s="1">
        <f>IFERROR(__xludf.DUMMYFUNCTION("""COMPUTED_VALUE"""),1.9017684E7)</f>
        <v>19017684</v>
      </c>
    </row>
    <row r="133" ht="15.75" customHeight="1">
      <c r="A133" s="10">
        <f>IFERROR(__xludf.DUMMYFUNCTION("""COMPUTED_VALUE"""),41075.666666666664)</f>
        <v>41075.66667</v>
      </c>
      <c r="B133" s="1">
        <f>IFERROR(__xludf.DUMMYFUNCTION("""COMPUTED_VALUE"""),9.5)</f>
        <v>9.5</v>
      </c>
      <c r="C133" s="1">
        <f>IFERROR(__xludf.DUMMYFUNCTION("""COMPUTED_VALUE"""),9.51)</f>
        <v>9.51</v>
      </c>
      <c r="D133" s="1">
        <f>IFERROR(__xludf.DUMMYFUNCTION("""COMPUTED_VALUE"""),8.72)</f>
        <v>8.72</v>
      </c>
      <c r="E133" s="1">
        <f>IFERROR(__xludf.DUMMYFUNCTION("""COMPUTED_VALUE"""),9.4)</f>
        <v>9.4</v>
      </c>
      <c r="F133" s="1">
        <f>IFERROR(__xludf.DUMMYFUNCTION("""COMPUTED_VALUE"""),1.7275938E7)</f>
        <v>17275938</v>
      </c>
    </row>
    <row r="134" ht="15.75" customHeight="1">
      <c r="A134" s="10">
        <f>IFERROR(__xludf.DUMMYFUNCTION("""COMPUTED_VALUE"""),41082.666666666664)</f>
        <v>41082.66667</v>
      </c>
      <c r="B134" s="1">
        <f>IFERROR(__xludf.DUMMYFUNCTION("""COMPUTED_VALUE"""),9.29)</f>
        <v>9.29</v>
      </c>
      <c r="C134" s="1">
        <f>IFERROR(__xludf.DUMMYFUNCTION("""COMPUTED_VALUE"""),10.07)</f>
        <v>10.07</v>
      </c>
      <c r="D134" s="1">
        <f>IFERROR(__xludf.DUMMYFUNCTION("""COMPUTED_VALUE"""),9.26)</f>
        <v>9.26</v>
      </c>
      <c r="E134" s="1">
        <f>IFERROR(__xludf.DUMMYFUNCTION("""COMPUTED_VALUE"""),9.69)</f>
        <v>9.69</v>
      </c>
      <c r="F134" s="1">
        <f>IFERROR(__xludf.DUMMYFUNCTION("""COMPUTED_VALUE"""),1.6163386E7)</f>
        <v>16163386</v>
      </c>
    </row>
    <row r="135" ht="15.75" customHeight="1">
      <c r="A135" s="10">
        <f>IFERROR(__xludf.DUMMYFUNCTION("""COMPUTED_VALUE"""),41089.666666666664)</f>
        <v>41089.66667</v>
      </c>
      <c r="B135" s="1">
        <f>IFERROR(__xludf.DUMMYFUNCTION("""COMPUTED_VALUE"""),9.69)</f>
        <v>9.69</v>
      </c>
      <c r="C135" s="1">
        <f>IFERROR(__xludf.DUMMYFUNCTION("""COMPUTED_VALUE"""),9.93)</f>
        <v>9.93</v>
      </c>
      <c r="D135" s="1">
        <f>IFERROR(__xludf.DUMMYFUNCTION("""COMPUTED_VALUE"""),9.37)</f>
        <v>9.37</v>
      </c>
      <c r="E135" s="1">
        <f>IFERROR(__xludf.DUMMYFUNCTION("""COMPUTED_VALUE"""),9.78)</f>
        <v>9.78</v>
      </c>
      <c r="F135" s="1">
        <f>IFERROR(__xludf.DUMMYFUNCTION("""COMPUTED_VALUE"""),1.3845507E7)</f>
        <v>13845507</v>
      </c>
    </row>
    <row r="136" ht="15.75" customHeight="1">
      <c r="A136" s="10">
        <f>IFERROR(__xludf.DUMMYFUNCTION("""COMPUTED_VALUE"""),41096.666666666664)</f>
        <v>41096.66667</v>
      </c>
      <c r="B136" s="1">
        <f>IFERROR(__xludf.DUMMYFUNCTION("""COMPUTED_VALUE"""),9.82)</f>
        <v>9.82</v>
      </c>
      <c r="C136" s="1">
        <f>IFERROR(__xludf.DUMMYFUNCTION("""COMPUTED_VALUE"""),12.2)</f>
        <v>12.2</v>
      </c>
      <c r="D136" s="1">
        <f>IFERROR(__xludf.DUMMYFUNCTION("""COMPUTED_VALUE"""),9.61)</f>
        <v>9.61</v>
      </c>
      <c r="E136" s="1">
        <f>IFERROR(__xludf.DUMMYFUNCTION("""COMPUTED_VALUE"""),11.7)</f>
        <v>11.7</v>
      </c>
      <c r="F136" s="1">
        <f>IFERROR(__xludf.DUMMYFUNCTION("""COMPUTED_VALUE"""),3.2580548E7)</f>
        <v>32580548</v>
      </c>
    </row>
    <row r="137" ht="15.75" customHeight="1">
      <c r="A137" s="10">
        <f>IFERROR(__xludf.DUMMYFUNCTION("""COMPUTED_VALUE"""),41103.666666666664)</f>
        <v>41103.66667</v>
      </c>
      <c r="B137" s="1">
        <f>IFERROR(__xludf.DUMMYFUNCTION("""COMPUTED_VALUE"""),11.86)</f>
        <v>11.86</v>
      </c>
      <c r="C137" s="1">
        <f>IFERROR(__xludf.DUMMYFUNCTION("""COMPUTED_VALUE"""),12.38)</f>
        <v>12.38</v>
      </c>
      <c r="D137" s="1">
        <f>IFERROR(__xludf.DUMMYFUNCTION("""COMPUTED_VALUE"""),11.36)</f>
        <v>11.36</v>
      </c>
      <c r="E137" s="1">
        <f>IFERROR(__xludf.DUMMYFUNCTION("""COMPUTED_VALUE"""),12.13)</f>
        <v>12.13</v>
      </c>
      <c r="F137" s="1">
        <f>IFERROR(__xludf.DUMMYFUNCTION("""COMPUTED_VALUE"""),2.8875033E7)</f>
        <v>28875033</v>
      </c>
    </row>
    <row r="138" ht="15.75" customHeight="1">
      <c r="A138" s="10">
        <f>IFERROR(__xludf.DUMMYFUNCTION("""COMPUTED_VALUE"""),41110.666666666664)</f>
        <v>41110.66667</v>
      </c>
      <c r="B138" s="1">
        <f>IFERROR(__xludf.DUMMYFUNCTION("""COMPUTED_VALUE"""),12.16)</f>
        <v>12.16</v>
      </c>
      <c r="C138" s="1">
        <f>IFERROR(__xludf.DUMMYFUNCTION("""COMPUTED_VALUE"""),12.22)</f>
        <v>12.22</v>
      </c>
      <c r="D138" s="1">
        <f>IFERROR(__xludf.DUMMYFUNCTION("""COMPUTED_VALUE"""),11.52)</f>
        <v>11.52</v>
      </c>
      <c r="E138" s="1">
        <f>IFERROR(__xludf.DUMMYFUNCTION("""COMPUTED_VALUE"""),11.69)</f>
        <v>11.69</v>
      </c>
      <c r="F138" s="1">
        <f>IFERROR(__xludf.DUMMYFUNCTION("""COMPUTED_VALUE"""),1.7694215E7)</f>
        <v>17694215</v>
      </c>
    </row>
    <row r="139" ht="15.75" customHeight="1">
      <c r="A139" s="10">
        <f>IFERROR(__xludf.DUMMYFUNCTION("""COMPUTED_VALUE"""),41117.666666666664)</f>
        <v>41117.66667</v>
      </c>
      <c r="B139" s="1">
        <f>IFERROR(__xludf.DUMMYFUNCTION("""COMPUTED_VALUE"""),11.53)</f>
        <v>11.53</v>
      </c>
      <c r="C139" s="1">
        <f>IFERROR(__xludf.DUMMYFUNCTION("""COMPUTED_VALUE"""),11.78)</f>
        <v>11.78</v>
      </c>
      <c r="D139" s="1">
        <f>IFERROR(__xludf.DUMMYFUNCTION("""COMPUTED_VALUE"""),8.02)</f>
        <v>8.02</v>
      </c>
      <c r="E139" s="1">
        <f>IFERROR(__xludf.DUMMYFUNCTION("""COMPUTED_VALUE"""),8.42)</f>
        <v>8.42</v>
      </c>
      <c r="F139" s="1">
        <f>IFERROR(__xludf.DUMMYFUNCTION("""COMPUTED_VALUE"""),5.5282723E7)</f>
        <v>55282723</v>
      </c>
    </row>
    <row r="140" ht="15.75" customHeight="1">
      <c r="A140" s="10">
        <f>IFERROR(__xludf.DUMMYFUNCTION("""COMPUTED_VALUE"""),41124.666666666664)</f>
        <v>41124.66667</v>
      </c>
      <c r="B140" s="1">
        <f>IFERROR(__xludf.DUMMYFUNCTION("""COMPUTED_VALUE"""),8.42)</f>
        <v>8.42</v>
      </c>
      <c r="C140" s="1">
        <f>IFERROR(__xludf.DUMMYFUNCTION("""COMPUTED_VALUE"""),8.57)</f>
        <v>8.57</v>
      </c>
      <c r="D140" s="1">
        <f>IFERROR(__xludf.DUMMYFUNCTION("""COMPUTED_VALUE"""),7.54)</f>
        <v>7.54</v>
      </c>
      <c r="E140" s="1">
        <f>IFERROR(__xludf.DUMMYFUNCTION("""COMPUTED_VALUE"""),7.7)</f>
        <v>7.7</v>
      </c>
      <c r="F140" s="1">
        <f>IFERROR(__xludf.DUMMYFUNCTION("""COMPUTED_VALUE"""),2.033738E7)</f>
        <v>20337380</v>
      </c>
    </row>
    <row r="141" ht="15.75" customHeight="1">
      <c r="A141" s="10">
        <f>IFERROR(__xludf.DUMMYFUNCTION("""COMPUTED_VALUE"""),41131.666666666664)</f>
        <v>41131.66667</v>
      </c>
      <c r="B141" s="1">
        <f>IFERROR(__xludf.DUMMYFUNCTION("""COMPUTED_VALUE"""),7.79)</f>
        <v>7.79</v>
      </c>
      <c r="C141" s="1">
        <f>IFERROR(__xludf.DUMMYFUNCTION("""COMPUTED_VALUE"""),8.65)</f>
        <v>8.65</v>
      </c>
      <c r="D141" s="1">
        <f>IFERROR(__xludf.DUMMYFUNCTION("""COMPUTED_VALUE"""),7.73)</f>
        <v>7.73</v>
      </c>
      <c r="E141" s="1">
        <f>IFERROR(__xludf.DUMMYFUNCTION("""COMPUTED_VALUE"""),8.56)</f>
        <v>8.56</v>
      </c>
      <c r="F141" s="1">
        <f>IFERROR(__xludf.DUMMYFUNCTION("""COMPUTED_VALUE"""),1.8442708E7)</f>
        <v>18442708</v>
      </c>
    </row>
    <row r="142" ht="15.75" customHeight="1">
      <c r="A142" s="10">
        <f>IFERROR(__xludf.DUMMYFUNCTION("""COMPUTED_VALUE"""),41138.666666666664)</f>
        <v>41138.66667</v>
      </c>
      <c r="B142" s="1">
        <f>IFERROR(__xludf.DUMMYFUNCTION("""COMPUTED_VALUE"""),8.75)</f>
        <v>8.75</v>
      </c>
      <c r="C142" s="1">
        <f>IFERROR(__xludf.DUMMYFUNCTION("""COMPUTED_VALUE"""),9.36)</f>
        <v>9.36</v>
      </c>
      <c r="D142" s="1">
        <f>IFERROR(__xludf.DUMMYFUNCTION("""COMPUTED_VALUE"""),8.36)</f>
        <v>8.36</v>
      </c>
      <c r="E142" s="1">
        <f>IFERROR(__xludf.DUMMYFUNCTION("""COMPUTED_VALUE"""),9.1)</f>
        <v>9.1</v>
      </c>
      <c r="F142" s="1">
        <f>IFERROR(__xludf.DUMMYFUNCTION("""COMPUTED_VALUE"""),2.1766694E7)</f>
        <v>21766694</v>
      </c>
    </row>
    <row r="143" ht="15.75" customHeight="1">
      <c r="A143" s="10">
        <f>IFERROR(__xludf.DUMMYFUNCTION("""COMPUTED_VALUE"""),41145.666666666664)</f>
        <v>41145.66667</v>
      </c>
      <c r="B143" s="1">
        <f>IFERROR(__xludf.DUMMYFUNCTION("""COMPUTED_VALUE"""),9.09)</f>
        <v>9.09</v>
      </c>
      <c r="C143" s="1">
        <f>IFERROR(__xludf.DUMMYFUNCTION("""COMPUTED_VALUE"""),9.52)</f>
        <v>9.52</v>
      </c>
      <c r="D143" s="1">
        <f>IFERROR(__xludf.DUMMYFUNCTION("""COMPUTED_VALUE"""),8.84)</f>
        <v>8.84</v>
      </c>
      <c r="E143" s="1">
        <f>IFERROR(__xludf.DUMMYFUNCTION("""COMPUTED_VALUE"""),9.02)</f>
        <v>9.02</v>
      </c>
      <c r="F143" s="1">
        <f>IFERROR(__xludf.DUMMYFUNCTION("""COMPUTED_VALUE"""),1.8118786E7)</f>
        <v>18118786</v>
      </c>
    </row>
    <row r="144" ht="15.75" customHeight="1">
      <c r="A144" s="10">
        <f>IFERROR(__xludf.DUMMYFUNCTION("""COMPUTED_VALUE"""),41152.666666666664)</f>
        <v>41152.66667</v>
      </c>
      <c r="B144" s="1">
        <f>IFERROR(__xludf.DUMMYFUNCTION("""COMPUTED_VALUE"""),9.05)</f>
        <v>9.05</v>
      </c>
      <c r="C144" s="1">
        <f>IFERROR(__xludf.DUMMYFUNCTION("""COMPUTED_VALUE"""),9.14)</f>
        <v>9.14</v>
      </c>
      <c r="D144" s="1">
        <f>IFERROR(__xludf.DUMMYFUNCTION("""COMPUTED_VALUE"""),8.44)</f>
        <v>8.44</v>
      </c>
      <c r="E144" s="1">
        <f>IFERROR(__xludf.DUMMYFUNCTION("""COMPUTED_VALUE"""),8.53)</f>
        <v>8.53</v>
      </c>
      <c r="F144" s="1">
        <f>IFERROR(__xludf.DUMMYFUNCTION("""COMPUTED_VALUE"""),1.3975366E7)</f>
        <v>13975366</v>
      </c>
    </row>
    <row r="145" ht="15.75" customHeight="1">
      <c r="A145" s="10">
        <f>IFERROR(__xludf.DUMMYFUNCTION("""COMPUTED_VALUE"""),41159.666666666664)</f>
        <v>41159.66667</v>
      </c>
      <c r="B145" s="1">
        <f>IFERROR(__xludf.DUMMYFUNCTION("""COMPUTED_VALUE"""),8.29)</f>
        <v>8.29</v>
      </c>
      <c r="C145" s="1">
        <f>IFERROR(__xludf.DUMMYFUNCTION("""COMPUTED_VALUE"""),8.29)</f>
        <v>8.29</v>
      </c>
      <c r="D145" s="1">
        <f>IFERROR(__xludf.DUMMYFUNCTION("""COMPUTED_VALUE"""),7.59)</f>
        <v>7.59</v>
      </c>
      <c r="E145" s="1">
        <f>IFERROR(__xludf.DUMMYFUNCTION("""COMPUTED_VALUE"""),8.09)</f>
        <v>8.09</v>
      </c>
      <c r="F145" s="1">
        <f>IFERROR(__xludf.DUMMYFUNCTION("""COMPUTED_VALUE"""),2.7563072E7)</f>
        <v>27563072</v>
      </c>
    </row>
    <row r="146" ht="15.75" customHeight="1">
      <c r="A146" s="10">
        <f>IFERROR(__xludf.DUMMYFUNCTION("""COMPUTED_VALUE"""),41166.666666666664)</f>
        <v>41166.66667</v>
      </c>
      <c r="B146" s="1">
        <f>IFERROR(__xludf.DUMMYFUNCTION("""COMPUTED_VALUE"""),8.05)</f>
        <v>8.05</v>
      </c>
      <c r="C146" s="1">
        <f>IFERROR(__xludf.DUMMYFUNCTION("""COMPUTED_VALUE"""),8.77)</f>
        <v>8.77</v>
      </c>
      <c r="D146" s="1">
        <f>IFERROR(__xludf.DUMMYFUNCTION("""COMPUTED_VALUE"""),7.87)</f>
        <v>7.87</v>
      </c>
      <c r="E146" s="1">
        <f>IFERROR(__xludf.DUMMYFUNCTION("""COMPUTED_VALUE"""),8.65)</f>
        <v>8.65</v>
      </c>
      <c r="F146" s="1">
        <f>IFERROR(__xludf.DUMMYFUNCTION("""COMPUTED_VALUE"""),1.9662404E7)</f>
        <v>19662404</v>
      </c>
    </row>
    <row r="147" ht="15.75" customHeight="1">
      <c r="A147" s="10">
        <f>IFERROR(__xludf.DUMMYFUNCTION("""COMPUTED_VALUE"""),41173.666666666664)</f>
        <v>41173.66667</v>
      </c>
      <c r="B147" s="1">
        <f>IFERROR(__xludf.DUMMYFUNCTION("""COMPUTED_VALUE"""),8.43)</f>
        <v>8.43</v>
      </c>
      <c r="C147" s="1">
        <f>IFERROR(__xludf.DUMMYFUNCTION("""COMPUTED_VALUE"""),8.53)</f>
        <v>8.53</v>
      </c>
      <c r="D147" s="1">
        <f>IFERROR(__xludf.DUMMYFUNCTION("""COMPUTED_VALUE"""),7.96)</f>
        <v>7.96</v>
      </c>
      <c r="E147" s="1">
        <f>IFERROR(__xludf.DUMMYFUNCTION("""COMPUTED_VALUE"""),8.26)</f>
        <v>8.26</v>
      </c>
      <c r="F147" s="1">
        <f>IFERROR(__xludf.DUMMYFUNCTION("""COMPUTED_VALUE"""),2.4182678E7)</f>
        <v>24182678</v>
      </c>
    </row>
    <row r="148" ht="15.75" customHeight="1">
      <c r="A148" s="10">
        <f>IFERROR(__xludf.DUMMYFUNCTION("""COMPUTED_VALUE"""),41180.666666666664)</f>
        <v>41180.66667</v>
      </c>
      <c r="B148" s="1">
        <f>IFERROR(__xludf.DUMMYFUNCTION("""COMPUTED_VALUE"""),8.12)</f>
        <v>8.12</v>
      </c>
      <c r="C148" s="1">
        <f>IFERROR(__xludf.DUMMYFUNCTION("""COMPUTED_VALUE"""),8.26)</f>
        <v>8.26</v>
      </c>
      <c r="D148" s="1">
        <f>IFERROR(__xludf.DUMMYFUNCTION("""COMPUTED_VALUE"""),7.58)</f>
        <v>7.58</v>
      </c>
      <c r="E148" s="1">
        <f>IFERROR(__xludf.DUMMYFUNCTION("""COMPUTED_VALUE"""),7.78)</f>
        <v>7.78</v>
      </c>
      <c r="F148" s="1">
        <f>IFERROR(__xludf.DUMMYFUNCTION("""COMPUTED_VALUE"""),1.9925062E7)</f>
        <v>19925062</v>
      </c>
    </row>
    <row r="149" ht="15.75" customHeight="1">
      <c r="A149" s="10">
        <f>IFERROR(__xludf.DUMMYFUNCTION("""COMPUTED_VALUE"""),41187.666666666664)</f>
        <v>41187.66667</v>
      </c>
      <c r="B149" s="1">
        <f>IFERROR(__xludf.DUMMYFUNCTION("""COMPUTED_VALUE"""),7.8)</f>
        <v>7.8</v>
      </c>
      <c r="C149" s="1">
        <f>IFERROR(__xludf.DUMMYFUNCTION("""COMPUTED_VALUE"""),9.74)</f>
        <v>9.74</v>
      </c>
      <c r="D149" s="1">
        <f>IFERROR(__xludf.DUMMYFUNCTION("""COMPUTED_VALUE"""),7.76)</f>
        <v>7.76</v>
      </c>
      <c r="E149" s="1">
        <f>IFERROR(__xludf.DUMMYFUNCTION("""COMPUTED_VALUE"""),9.51)</f>
        <v>9.51</v>
      </c>
      <c r="F149" s="1">
        <f>IFERROR(__xludf.DUMMYFUNCTION("""COMPUTED_VALUE"""),3.9889707E7)</f>
        <v>39889707</v>
      </c>
    </row>
    <row r="150" ht="15.75" customHeight="1">
      <c r="A150" s="10">
        <f>IFERROR(__xludf.DUMMYFUNCTION("""COMPUTED_VALUE"""),41194.666666666664)</f>
        <v>41194.66667</v>
      </c>
      <c r="B150" s="1">
        <f>IFERROR(__xludf.DUMMYFUNCTION("""COMPUTED_VALUE"""),10.19)</f>
        <v>10.19</v>
      </c>
      <c r="C150" s="1">
        <f>IFERROR(__xludf.DUMMYFUNCTION("""COMPUTED_VALUE"""),10.6)</f>
        <v>10.6</v>
      </c>
      <c r="D150" s="1">
        <f>IFERROR(__xludf.DUMMYFUNCTION("""COMPUTED_VALUE"""),9.11)</f>
        <v>9.11</v>
      </c>
      <c r="E150" s="1">
        <f>IFERROR(__xludf.DUMMYFUNCTION("""COMPUTED_VALUE"""),9.19)</f>
        <v>9.19</v>
      </c>
      <c r="F150" s="1">
        <f>IFERROR(__xludf.DUMMYFUNCTION("""COMPUTED_VALUE"""),3.6580337E7)</f>
        <v>36580337</v>
      </c>
    </row>
    <row r="151" ht="15.75" customHeight="1">
      <c r="A151" s="10">
        <f>IFERROR(__xludf.DUMMYFUNCTION("""COMPUTED_VALUE"""),41201.666666666664)</f>
        <v>41201.66667</v>
      </c>
      <c r="B151" s="1">
        <f>IFERROR(__xludf.DUMMYFUNCTION("""COMPUTED_VALUE"""),9.29)</f>
        <v>9.29</v>
      </c>
      <c r="C151" s="1">
        <f>IFERROR(__xludf.DUMMYFUNCTION("""COMPUTED_VALUE"""),9.98)</f>
        <v>9.98</v>
      </c>
      <c r="D151" s="1">
        <f>IFERROR(__xludf.DUMMYFUNCTION("""COMPUTED_VALUE"""),9.06)</f>
        <v>9.06</v>
      </c>
      <c r="E151" s="1">
        <f>IFERROR(__xludf.DUMMYFUNCTION("""COMPUTED_VALUE"""),9.28)</f>
        <v>9.28</v>
      </c>
      <c r="F151" s="1">
        <f>IFERROR(__xludf.DUMMYFUNCTION("""COMPUTED_VALUE"""),1.8040441E7)</f>
        <v>18040441</v>
      </c>
    </row>
    <row r="152" ht="15.75" customHeight="1">
      <c r="A152" s="10">
        <f>IFERROR(__xludf.DUMMYFUNCTION("""COMPUTED_VALUE"""),41208.666666666664)</f>
        <v>41208.66667</v>
      </c>
      <c r="B152" s="1">
        <f>IFERROR(__xludf.DUMMYFUNCTION("""COMPUTED_VALUE"""),9.19)</f>
        <v>9.19</v>
      </c>
      <c r="C152" s="1">
        <f>IFERROR(__xludf.DUMMYFUNCTION("""COMPUTED_VALUE"""),10.03)</f>
        <v>10.03</v>
      </c>
      <c r="D152" s="1">
        <f>IFERROR(__xludf.DUMMYFUNCTION("""COMPUTED_VALUE"""),8.2)</f>
        <v>8.2</v>
      </c>
      <c r="E152" s="1">
        <f>IFERROR(__xludf.DUMMYFUNCTION("""COMPUTED_VALUE"""),9.94)</f>
        <v>9.94</v>
      </c>
      <c r="F152" s="1">
        <f>IFERROR(__xludf.DUMMYFUNCTION("""COMPUTED_VALUE"""),4.9397598E7)</f>
        <v>49397598</v>
      </c>
    </row>
    <row r="153" ht="15.75" customHeight="1">
      <c r="A153" s="10">
        <f>IFERROR(__xludf.DUMMYFUNCTION("""COMPUTED_VALUE"""),41215.666666666664)</f>
        <v>41215.66667</v>
      </c>
      <c r="B153" s="1">
        <f>IFERROR(__xludf.DUMMYFUNCTION("""COMPUTED_VALUE"""),9.49)</f>
        <v>9.49</v>
      </c>
      <c r="C153" s="1">
        <f>IFERROR(__xludf.DUMMYFUNCTION("""COMPUTED_VALUE"""),12.14)</f>
        <v>12.14</v>
      </c>
      <c r="D153" s="1">
        <f>IFERROR(__xludf.DUMMYFUNCTION("""COMPUTED_VALUE"""),9.36)</f>
        <v>9.36</v>
      </c>
      <c r="E153" s="1">
        <f>IFERROR(__xludf.DUMMYFUNCTION("""COMPUTED_VALUE"""),10.99)</f>
        <v>10.99</v>
      </c>
      <c r="F153" s="1">
        <f>IFERROR(__xludf.DUMMYFUNCTION("""COMPUTED_VALUE"""),2.8521003E7)</f>
        <v>28521003</v>
      </c>
    </row>
    <row r="154" ht="15.75" customHeight="1">
      <c r="A154" s="10">
        <f>IFERROR(__xludf.DUMMYFUNCTION("""COMPUTED_VALUE"""),41222.666666666664)</f>
        <v>41222.66667</v>
      </c>
      <c r="B154" s="1">
        <f>IFERROR(__xludf.DUMMYFUNCTION("""COMPUTED_VALUE"""),10.65)</f>
        <v>10.65</v>
      </c>
      <c r="C154" s="1">
        <f>IFERROR(__xludf.DUMMYFUNCTION("""COMPUTED_VALUE"""),11.48)</f>
        <v>11.48</v>
      </c>
      <c r="D154" s="1">
        <f>IFERROR(__xludf.DUMMYFUNCTION("""COMPUTED_VALUE"""),10.64)</f>
        <v>10.64</v>
      </c>
      <c r="E154" s="1">
        <f>IFERROR(__xludf.DUMMYFUNCTION("""COMPUTED_VALUE"""),11.13)</f>
        <v>11.13</v>
      </c>
      <c r="F154" s="1">
        <f>IFERROR(__xludf.DUMMYFUNCTION("""COMPUTED_VALUE"""),2.2289676E7)</f>
        <v>22289676</v>
      </c>
    </row>
    <row r="155" ht="15.75" customHeight="1">
      <c r="A155" s="10">
        <f>IFERROR(__xludf.DUMMYFUNCTION("""COMPUTED_VALUE"""),41229.666666666664)</f>
        <v>41229.66667</v>
      </c>
      <c r="B155" s="1">
        <f>IFERROR(__xludf.DUMMYFUNCTION("""COMPUTED_VALUE"""),11.29)</f>
        <v>11.29</v>
      </c>
      <c r="C155" s="1">
        <f>IFERROR(__xludf.DUMMYFUNCTION("""COMPUTED_VALUE"""),11.87)</f>
        <v>11.87</v>
      </c>
      <c r="D155" s="1">
        <f>IFERROR(__xludf.DUMMYFUNCTION("""COMPUTED_VALUE"""),11.05)</f>
        <v>11.05</v>
      </c>
      <c r="E155" s="1">
        <f>IFERROR(__xludf.DUMMYFUNCTION("""COMPUTED_VALUE"""),11.56)</f>
        <v>11.56</v>
      </c>
      <c r="F155" s="1">
        <f>IFERROR(__xludf.DUMMYFUNCTION("""COMPUTED_VALUE"""),1.7433095E7)</f>
        <v>17433095</v>
      </c>
    </row>
    <row r="156" ht="15.75" customHeight="1">
      <c r="A156" s="10">
        <f>IFERROR(__xludf.DUMMYFUNCTION("""COMPUTED_VALUE"""),41236.666666666664)</f>
        <v>41236.66667</v>
      </c>
      <c r="B156" s="1">
        <f>IFERROR(__xludf.DUMMYFUNCTION("""COMPUTED_VALUE"""),11.72)</f>
        <v>11.72</v>
      </c>
      <c r="C156" s="1">
        <f>IFERROR(__xludf.DUMMYFUNCTION("""COMPUTED_VALUE"""),12.08)</f>
        <v>12.08</v>
      </c>
      <c r="D156" s="1">
        <f>IFERROR(__xludf.DUMMYFUNCTION("""COMPUTED_VALUE"""),11.45)</f>
        <v>11.45</v>
      </c>
      <c r="E156" s="1">
        <f>IFERROR(__xludf.DUMMYFUNCTION("""COMPUTED_VALUE"""),11.85)</f>
        <v>11.85</v>
      </c>
      <c r="F156" s="1">
        <f>IFERROR(__xludf.DUMMYFUNCTION("""COMPUTED_VALUE"""),8273614.0)</f>
        <v>8273614</v>
      </c>
    </row>
    <row r="157" ht="15.75" customHeight="1">
      <c r="A157" s="10">
        <f>IFERROR(__xludf.DUMMYFUNCTION("""COMPUTED_VALUE"""),41243.666666666664)</f>
        <v>41243.66667</v>
      </c>
      <c r="B157" s="1">
        <f>IFERROR(__xludf.DUMMYFUNCTION("""COMPUTED_VALUE"""),11.8)</f>
        <v>11.8</v>
      </c>
      <c r="C157" s="1">
        <f>IFERROR(__xludf.DUMMYFUNCTION("""COMPUTED_VALUE"""),11.94)</f>
        <v>11.94</v>
      </c>
      <c r="D157" s="1">
        <f>IFERROR(__xludf.DUMMYFUNCTION("""COMPUTED_VALUE"""),11.33)</f>
        <v>11.33</v>
      </c>
      <c r="E157" s="1">
        <f>IFERROR(__xludf.DUMMYFUNCTION("""COMPUTED_VALUE"""),11.67)</f>
        <v>11.67</v>
      </c>
      <c r="F157" s="1">
        <f>IFERROR(__xludf.DUMMYFUNCTION("""COMPUTED_VALUE"""),1.0005148E7)</f>
        <v>10005148</v>
      </c>
    </row>
    <row r="158" ht="15.75" customHeight="1">
      <c r="A158" s="10">
        <f>IFERROR(__xludf.DUMMYFUNCTION("""COMPUTED_VALUE"""),41250.666666666664)</f>
        <v>41250.66667</v>
      </c>
      <c r="B158" s="1">
        <f>IFERROR(__xludf.DUMMYFUNCTION("""COMPUTED_VALUE"""),11.69)</f>
        <v>11.69</v>
      </c>
      <c r="C158" s="1">
        <f>IFERROR(__xludf.DUMMYFUNCTION("""COMPUTED_VALUE"""),12.83)</f>
        <v>12.83</v>
      </c>
      <c r="D158" s="1">
        <f>IFERROR(__xludf.DUMMYFUNCTION("""COMPUTED_VALUE"""),10.64)</f>
        <v>10.64</v>
      </c>
      <c r="E158" s="1">
        <f>IFERROR(__xludf.DUMMYFUNCTION("""COMPUTED_VALUE"""),12.28)</f>
        <v>12.28</v>
      </c>
      <c r="F158" s="1">
        <f>IFERROR(__xludf.DUMMYFUNCTION("""COMPUTED_VALUE"""),3.761972E7)</f>
        <v>37619720</v>
      </c>
    </row>
    <row r="159" ht="15.75" customHeight="1">
      <c r="A159" s="10">
        <f>IFERROR(__xludf.DUMMYFUNCTION("""COMPUTED_VALUE"""),41257.666666666664)</f>
        <v>41257.66667</v>
      </c>
      <c r="B159" s="1">
        <f>IFERROR(__xludf.DUMMYFUNCTION("""COMPUTED_VALUE"""),12.29)</f>
        <v>12.29</v>
      </c>
      <c r="C159" s="1">
        <f>IFERROR(__xludf.DUMMYFUNCTION("""COMPUTED_VALUE"""),13.53)</f>
        <v>13.53</v>
      </c>
      <c r="D159" s="1">
        <f>IFERROR(__xludf.DUMMYFUNCTION("""COMPUTED_VALUE"""),12.06)</f>
        <v>12.06</v>
      </c>
      <c r="E159" s="1">
        <f>IFERROR(__xludf.DUMMYFUNCTION("""COMPUTED_VALUE"""),13.33)</f>
        <v>13.33</v>
      </c>
      <c r="F159" s="1">
        <f>IFERROR(__xludf.DUMMYFUNCTION("""COMPUTED_VALUE"""),2.0269994E7)</f>
        <v>20269994</v>
      </c>
    </row>
    <row r="160" ht="15.75" customHeight="1">
      <c r="A160" s="10">
        <f>IFERROR(__xludf.DUMMYFUNCTION("""COMPUTED_VALUE"""),41264.666666666664)</f>
        <v>41264.66667</v>
      </c>
      <c r="B160" s="1">
        <f>IFERROR(__xludf.DUMMYFUNCTION("""COMPUTED_VALUE"""),13.28)</f>
        <v>13.28</v>
      </c>
      <c r="C160" s="1">
        <f>IFERROR(__xludf.DUMMYFUNCTION("""COMPUTED_VALUE"""),13.97)</f>
        <v>13.97</v>
      </c>
      <c r="D160" s="1">
        <f>IFERROR(__xludf.DUMMYFUNCTION("""COMPUTED_VALUE"""),13.02)</f>
        <v>13.02</v>
      </c>
      <c r="E160" s="1">
        <f>IFERROR(__xludf.DUMMYFUNCTION("""COMPUTED_VALUE"""),13.05)</f>
        <v>13.05</v>
      </c>
      <c r="F160" s="1">
        <f>IFERROR(__xludf.DUMMYFUNCTION("""COMPUTED_VALUE"""),1.8112029E7)</f>
        <v>18112029</v>
      </c>
    </row>
    <row r="161" ht="15.75" customHeight="1">
      <c r="A161" s="10">
        <f>IFERROR(__xludf.DUMMYFUNCTION("""COMPUTED_VALUE"""),41271.666666666664)</f>
        <v>41271.66667</v>
      </c>
      <c r="B161" s="1">
        <f>IFERROR(__xludf.DUMMYFUNCTION("""COMPUTED_VALUE"""),13.08)</f>
        <v>13.08</v>
      </c>
      <c r="C161" s="1">
        <f>IFERROR(__xludf.DUMMYFUNCTION("""COMPUTED_VALUE"""),13.27)</f>
        <v>13.27</v>
      </c>
      <c r="D161" s="1">
        <f>IFERROR(__xludf.DUMMYFUNCTION("""COMPUTED_VALUE"""),12.65)</f>
        <v>12.65</v>
      </c>
      <c r="E161" s="1">
        <f>IFERROR(__xludf.DUMMYFUNCTION("""COMPUTED_VALUE"""),12.76)</f>
        <v>12.76</v>
      </c>
      <c r="F161" s="1">
        <f>IFERROR(__xludf.DUMMYFUNCTION("""COMPUTED_VALUE"""),6917670.0)</f>
        <v>6917670</v>
      </c>
    </row>
    <row r="162" ht="15.75" customHeight="1">
      <c r="A162" s="10">
        <f>IFERROR(__xludf.DUMMYFUNCTION("""COMPUTED_VALUE"""),41278.666666666664)</f>
        <v>41278.66667</v>
      </c>
      <c r="B162" s="1">
        <f>IFERROR(__xludf.DUMMYFUNCTION("""COMPUTED_VALUE"""),12.77)</f>
        <v>12.77</v>
      </c>
      <c r="C162" s="1">
        <f>IFERROR(__xludf.DUMMYFUNCTION("""COMPUTED_VALUE"""),13.99)</f>
        <v>13.99</v>
      </c>
      <c r="D162" s="1">
        <f>IFERROR(__xludf.DUMMYFUNCTION("""COMPUTED_VALUE"""),12.72)</f>
        <v>12.72</v>
      </c>
      <c r="E162" s="1">
        <f>IFERROR(__xludf.DUMMYFUNCTION("""COMPUTED_VALUE"""),13.71)</f>
        <v>13.71</v>
      </c>
      <c r="F162" s="1">
        <f>IFERROR(__xludf.DUMMYFUNCTION("""COMPUTED_VALUE"""),1.1896141E7)</f>
        <v>11896141</v>
      </c>
    </row>
    <row r="163" ht="15.75" customHeight="1">
      <c r="A163" s="10">
        <f>IFERROR(__xludf.DUMMYFUNCTION("""COMPUTED_VALUE"""),41285.666666666664)</f>
        <v>41285.66667</v>
      </c>
      <c r="B163" s="1">
        <f>IFERROR(__xludf.DUMMYFUNCTION("""COMPUTED_VALUE"""),13.76)</f>
        <v>13.76</v>
      </c>
      <c r="C163" s="1">
        <f>IFERROR(__xludf.DUMMYFUNCTION("""COMPUTED_VALUE"""),14.56)</f>
        <v>14.56</v>
      </c>
      <c r="D163" s="1">
        <f>IFERROR(__xludf.DUMMYFUNCTION("""COMPUTED_VALUE"""),13.51)</f>
        <v>13.51</v>
      </c>
      <c r="E163" s="1">
        <f>IFERROR(__xludf.DUMMYFUNCTION("""COMPUTED_VALUE"""),14.47)</f>
        <v>14.47</v>
      </c>
      <c r="F163" s="1">
        <f>IFERROR(__xludf.DUMMYFUNCTION("""COMPUTED_VALUE"""),2.0928309E7)</f>
        <v>20928309</v>
      </c>
    </row>
    <row r="164" ht="15.75" customHeight="1">
      <c r="A164" s="10">
        <f>IFERROR(__xludf.DUMMYFUNCTION("""COMPUTED_VALUE"""),41292.666666666664)</f>
        <v>41292.66667</v>
      </c>
      <c r="B164" s="1">
        <f>IFERROR(__xludf.DUMMYFUNCTION("""COMPUTED_VALUE"""),14.43)</f>
        <v>14.43</v>
      </c>
      <c r="C164" s="1">
        <f>IFERROR(__xludf.DUMMYFUNCTION("""COMPUTED_VALUE"""),14.93)</f>
        <v>14.93</v>
      </c>
      <c r="D164" s="1">
        <f>IFERROR(__xludf.DUMMYFUNCTION("""COMPUTED_VALUE"""),13.68)</f>
        <v>13.68</v>
      </c>
      <c r="E164" s="1">
        <f>IFERROR(__xludf.DUMMYFUNCTION("""COMPUTED_VALUE"""),14.17)</f>
        <v>14.17</v>
      </c>
      <c r="F164" s="1">
        <f>IFERROR(__xludf.DUMMYFUNCTION("""COMPUTED_VALUE"""),1.7262777E7)</f>
        <v>17262777</v>
      </c>
    </row>
    <row r="165" ht="15.75" customHeight="1">
      <c r="A165" s="10">
        <f>IFERROR(__xludf.DUMMYFUNCTION("""COMPUTED_VALUE"""),41299.666666666664)</f>
        <v>41299.66667</v>
      </c>
      <c r="B165" s="1">
        <f>IFERROR(__xludf.DUMMYFUNCTION("""COMPUTED_VALUE"""),14.24)</f>
        <v>14.24</v>
      </c>
      <c r="C165" s="1">
        <f>IFERROR(__xludf.DUMMYFUNCTION("""COMPUTED_VALUE"""),24.67)</f>
        <v>24.67</v>
      </c>
      <c r="D165" s="1">
        <f>IFERROR(__xludf.DUMMYFUNCTION("""COMPUTED_VALUE"""),13.8)</f>
        <v>13.8</v>
      </c>
      <c r="E165" s="1">
        <f>IFERROR(__xludf.DUMMYFUNCTION("""COMPUTED_VALUE"""),24.22)</f>
        <v>24.22</v>
      </c>
      <c r="F165" s="1">
        <f>IFERROR(__xludf.DUMMYFUNCTION("""COMPUTED_VALUE"""),5.8181581E7)</f>
        <v>58181581</v>
      </c>
    </row>
    <row r="166" ht="15.75" customHeight="1">
      <c r="A166" s="10">
        <f>IFERROR(__xludf.DUMMYFUNCTION("""COMPUTED_VALUE"""),41306.666666666664)</f>
        <v>41306.66667</v>
      </c>
      <c r="B166" s="1">
        <f>IFERROR(__xludf.DUMMYFUNCTION("""COMPUTED_VALUE"""),24.67)</f>
        <v>24.67</v>
      </c>
      <c r="C166" s="1">
        <f>IFERROR(__xludf.DUMMYFUNCTION("""COMPUTED_VALUE"""),25.32)</f>
        <v>25.32</v>
      </c>
      <c r="D166" s="1">
        <f>IFERROR(__xludf.DUMMYFUNCTION("""COMPUTED_VALUE"""),22.38)</f>
        <v>22.38</v>
      </c>
      <c r="E166" s="1">
        <f>IFERROR(__xludf.DUMMYFUNCTION("""COMPUTED_VALUE"""),23.54)</f>
        <v>23.54</v>
      </c>
      <c r="F166" s="1">
        <f>IFERROR(__xludf.DUMMYFUNCTION("""COMPUTED_VALUE"""),4.3271431E7)</f>
        <v>43271431</v>
      </c>
    </row>
    <row r="167" ht="15.75" customHeight="1">
      <c r="A167" s="10">
        <f>IFERROR(__xludf.DUMMYFUNCTION("""COMPUTED_VALUE"""),41313.666666666664)</f>
        <v>41313.66667</v>
      </c>
      <c r="B167" s="1">
        <f>IFERROR(__xludf.DUMMYFUNCTION("""COMPUTED_VALUE"""),23.3)</f>
        <v>23.3</v>
      </c>
      <c r="C167" s="1">
        <f>IFERROR(__xludf.DUMMYFUNCTION("""COMPUTED_VALUE"""),26.98)</f>
        <v>26.98</v>
      </c>
      <c r="D167" s="1">
        <f>IFERROR(__xludf.DUMMYFUNCTION("""COMPUTED_VALUE"""),23.25)</f>
        <v>23.25</v>
      </c>
      <c r="E167" s="1">
        <f>IFERROR(__xludf.DUMMYFUNCTION("""COMPUTED_VALUE"""),25.85)</f>
        <v>25.85</v>
      </c>
      <c r="F167" s="1">
        <f>IFERROR(__xludf.DUMMYFUNCTION("""COMPUTED_VALUE"""),3.6296717E7)</f>
        <v>36296717</v>
      </c>
    </row>
    <row r="168" ht="15.75" customHeight="1">
      <c r="A168" s="10">
        <f>IFERROR(__xludf.DUMMYFUNCTION("""COMPUTED_VALUE"""),41320.666666666664)</f>
        <v>41320.66667</v>
      </c>
      <c r="B168" s="1">
        <f>IFERROR(__xludf.DUMMYFUNCTION("""COMPUTED_VALUE"""),25.57)</f>
        <v>25.57</v>
      </c>
      <c r="C168" s="1">
        <f>IFERROR(__xludf.DUMMYFUNCTION("""COMPUTED_VALUE"""),27.14)</f>
        <v>27.14</v>
      </c>
      <c r="D168" s="1">
        <f>IFERROR(__xludf.DUMMYFUNCTION("""COMPUTED_VALUE"""),24.97)</f>
        <v>24.97</v>
      </c>
      <c r="E168" s="1">
        <f>IFERROR(__xludf.DUMMYFUNCTION("""COMPUTED_VALUE"""),27.07)</f>
        <v>27.07</v>
      </c>
      <c r="F168" s="1">
        <f>IFERROR(__xludf.DUMMYFUNCTION("""COMPUTED_VALUE"""),2.3336653E7)</f>
        <v>23336653</v>
      </c>
    </row>
    <row r="169" ht="15.75" customHeight="1">
      <c r="A169" s="10">
        <f>IFERROR(__xludf.DUMMYFUNCTION("""COMPUTED_VALUE"""),41327.666666666664)</f>
        <v>41327.66667</v>
      </c>
      <c r="B169" s="1">
        <f>IFERROR(__xludf.DUMMYFUNCTION("""COMPUTED_VALUE"""),27.29)</f>
        <v>27.29</v>
      </c>
      <c r="C169" s="1">
        <f>IFERROR(__xludf.DUMMYFUNCTION("""COMPUTED_VALUE"""),28.23)</f>
        <v>28.23</v>
      </c>
      <c r="D169" s="1">
        <f>IFERROR(__xludf.DUMMYFUNCTION("""COMPUTED_VALUE"""),25.49)</f>
        <v>25.49</v>
      </c>
      <c r="E169" s="1">
        <f>IFERROR(__xludf.DUMMYFUNCTION("""COMPUTED_VALUE"""),25.69)</f>
        <v>25.69</v>
      </c>
      <c r="F169" s="1">
        <f>IFERROR(__xludf.DUMMYFUNCTION("""COMPUTED_VALUE"""),2.0720687E7)</f>
        <v>20720687</v>
      </c>
    </row>
    <row r="170" ht="15.75" customHeight="1">
      <c r="A170" s="10">
        <f>IFERROR(__xludf.DUMMYFUNCTION("""COMPUTED_VALUE"""),41334.666666666664)</f>
        <v>41334.66667</v>
      </c>
      <c r="B170" s="1">
        <f>IFERROR(__xludf.DUMMYFUNCTION("""COMPUTED_VALUE"""),25.9)</f>
        <v>25.9</v>
      </c>
      <c r="C170" s="1">
        <f>IFERROR(__xludf.DUMMYFUNCTION("""COMPUTED_VALUE"""),27.45)</f>
        <v>27.45</v>
      </c>
      <c r="D170" s="1">
        <f>IFERROR(__xludf.DUMMYFUNCTION("""COMPUTED_VALUE"""),25.06)</f>
        <v>25.06</v>
      </c>
      <c r="E170" s="1">
        <f>IFERROR(__xludf.DUMMYFUNCTION("""COMPUTED_VALUE"""),27.05)</f>
        <v>27.05</v>
      </c>
      <c r="F170" s="1">
        <f>IFERROR(__xludf.DUMMYFUNCTION("""COMPUTED_VALUE"""),2.3499532E7)</f>
        <v>23499532</v>
      </c>
    </row>
    <row r="171" ht="15.75" customHeight="1">
      <c r="A171" s="10">
        <f>IFERROR(__xludf.DUMMYFUNCTION("""COMPUTED_VALUE"""),41341.666666666664)</f>
        <v>41341.66667</v>
      </c>
      <c r="B171" s="1">
        <f>IFERROR(__xludf.DUMMYFUNCTION("""COMPUTED_VALUE"""),26.91)</f>
        <v>26.91</v>
      </c>
      <c r="C171" s="1">
        <f>IFERROR(__xludf.DUMMYFUNCTION("""COMPUTED_VALUE"""),27.15)</f>
        <v>27.15</v>
      </c>
      <c r="D171" s="1">
        <f>IFERROR(__xludf.DUMMYFUNCTION("""COMPUTED_VALUE"""),25.17)</f>
        <v>25.17</v>
      </c>
      <c r="E171" s="1">
        <f>IFERROR(__xludf.DUMMYFUNCTION("""COMPUTED_VALUE"""),26.39)</f>
        <v>26.39</v>
      </c>
      <c r="F171" s="1">
        <f>IFERROR(__xludf.DUMMYFUNCTION("""COMPUTED_VALUE"""),2.1413744E7)</f>
        <v>21413744</v>
      </c>
    </row>
    <row r="172" ht="15.75" customHeight="1">
      <c r="A172" s="10">
        <f>IFERROR(__xludf.DUMMYFUNCTION("""COMPUTED_VALUE"""),41348.666666666664)</f>
        <v>41348.66667</v>
      </c>
      <c r="B172" s="1">
        <f>IFERROR(__xludf.DUMMYFUNCTION("""COMPUTED_VALUE"""),26.29)</f>
        <v>26.29</v>
      </c>
      <c r="C172" s="1">
        <f>IFERROR(__xludf.DUMMYFUNCTION("""COMPUTED_VALUE"""),27.88)</f>
        <v>27.88</v>
      </c>
      <c r="D172" s="1">
        <f>IFERROR(__xludf.DUMMYFUNCTION("""COMPUTED_VALUE"""),25.57)</f>
        <v>25.57</v>
      </c>
      <c r="E172" s="1">
        <f>IFERROR(__xludf.DUMMYFUNCTION("""COMPUTED_VALUE"""),26.41)</f>
        <v>26.41</v>
      </c>
      <c r="F172" s="1">
        <f>IFERROR(__xludf.DUMMYFUNCTION("""COMPUTED_VALUE"""),2.0748418E7)</f>
        <v>20748418</v>
      </c>
    </row>
    <row r="173" ht="15.75" customHeight="1">
      <c r="A173" s="10">
        <f>IFERROR(__xludf.DUMMYFUNCTION("""COMPUTED_VALUE"""),41355.666666666664)</f>
        <v>41355.66667</v>
      </c>
      <c r="B173" s="1">
        <f>IFERROR(__xludf.DUMMYFUNCTION("""COMPUTED_VALUE"""),25.91)</f>
        <v>25.91</v>
      </c>
      <c r="C173" s="1">
        <f>IFERROR(__xludf.DUMMYFUNCTION("""COMPUTED_VALUE"""),26.77)</f>
        <v>26.77</v>
      </c>
      <c r="D173" s="1">
        <f>IFERROR(__xludf.DUMMYFUNCTION("""COMPUTED_VALUE"""),25.61)</f>
        <v>25.61</v>
      </c>
      <c r="E173" s="1">
        <f>IFERROR(__xludf.DUMMYFUNCTION("""COMPUTED_VALUE"""),25.9)</f>
        <v>25.9</v>
      </c>
      <c r="F173" s="1">
        <f>IFERROR(__xludf.DUMMYFUNCTION("""COMPUTED_VALUE"""),1.1731435E7)</f>
        <v>11731435</v>
      </c>
    </row>
    <row r="174" ht="15.75" customHeight="1">
      <c r="A174" s="10">
        <f>IFERROR(__xludf.DUMMYFUNCTION("""COMPUTED_VALUE"""),41361.666666666664)</f>
        <v>41361.66667</v>
      </c>
      <c r="B174" s="1">
        <f>IFERROR(__xludf.DUMMYFUNCTION("""COMPUTED_VALUE"""),26.0)</f>
        <v>26</v>
      </c>
      <c r="C174" s="1">
        <f>IFERROR(__xludf.DUMMYFUNCTION("""COMPUTED_VALUE"""),28.15)</f>
        <v>28.15</v>
      </c>
      <c r="D174" s="1">
        <f>IFERROR(__xludf.DUMMYFUNCTION("""COMPUTED_VALUE"""),25.68)</f>
        <v>25.68</v>
      </c>
      <c r="E174" s="1">
        <f>IFERROR(__xludf.DUMMYFUNCTION("""COMPUTED_VALUE"""),27.04)</f>
        <v>27.04</v>
      </c>
      <c r="F174" s="1">
        <f>IFERROR(__xludf.DUMMYFUNCTION("""COMPUTED_VALUE"""),1.7419885E7)</f>
        <v>17419885</v>
      </c>
    </row>
    <row r="175" ht="15.75" customHeight="1">
      <c r="A175" s="10">
        <f>IFERROR(__xludf.DUMMYFUNCTION("""COMPUTED_VALUE"""),41369.666666666664)</f>
        <v>41369.66667</v>
      </c>
      <c r="B175" s="1">
        <f>IFERROR(__xludf.DUMMYFUNCTION("""COMPUTED_VALUE"""),27.28)</f>
        <v>27.28</v>
      </c>
      <c r="C175" s="1">
        <f>IFERROR(__xludf.DUMMYFUNCTION("""COMPUTED_VALUE"""),27.36)</f>
        <v>27.36</v>
      </c>
      <c r="D175" s="1">
        <f>IFERROR(__xludf.DUMMYFUNCTION("""COMPUTED_VALUE"""),23.22)</f>
        <v>23.22</v>
      </c>
      <c r="E175" s="1">
        <f>IFERROR(__xludf.DUMMYFUNCTION("""COMPUTED_VALUE"""),23.52)</f>
        <v>23.52</v>
      </c>
      <c r="F175" s="1">
        <f>IFERROR(__xludf.DUMMYFUNCTION("""COMPUTED_VALUE"""),2.8234687E7)</f>
        <v>28234687</v>
      </c>
    </row>
    <row r="176" ht="15.75" customHeight="1">
      <c r="A176" s="10">
        <f>IFERROR(__xludf.DUMMYFUNCTION("""COMPUTED_VALUE"""),41376.666666666664)</f>
        <v>41376.66667</v>
      </c>
      <c r="B176" s="1">
        <f>IFERROR(__xludf.DUMMYFUNCTION("""COMPUTED_VALUE"""),23.68)</f>
        <v>23.68</v>
      </c>
      <c r="C176" s="1">
        <f>IFERROR(__xludf.DUMMYFUNCTION("""COMPUTED_VALUE"""),25.38)</f>
        <v>25.38</v>
      </c>
      <c r="D176" s="1">
        <f>IFERROR(__xludf.DUMMYFUNCTION("""COMPUTED_VALUE"""),22.71)</f>
        <v>22.71</v>
      </c>
      <c r="E176" s="1">
        <f>IFERROR(__xludf.DUMMYFUNCTION("""COMPUTED_VALUE"""),24.74)</f>
        <v>24.74</v>
      </c>
      <c r="F176" s="1">
        <f>IFERROR(__xludf.DUMMYFUNCTION("""COMPUTED_VALUE"""),2.3777986E7)</f>
        <v>23777986</v>
      </c>
    </row>
    <row r="177" ht="15.75" customHeight="1">
      <c r="A177" s="10">
        <f>IFERROR(__xludf.DUMMYFUNCTION("""COMPUTED_VALUE"""),41383.666666666664)</f>
        <v>41383.66667</v>
      </c>
      <c r="B177" s="1">
        <f>IFERROR(__xludf.DUMMYFUNCTION("""COMPUTED_VALUE"""),25.16)</f>
        <v>25.16</v>
      </c>
      <c r="C177" s="1">
        <f>IFERROR(__xludf.DUMMYFUNCTION("""COMPUTED_VALUE"""),26.05)</f>
        <v>26.05</v>
      </c>
      <c r="D177" s="1">
        <f>IFERROR(__xludf.DUMMYFUNCTION("""COMPUTED_VALUE"""),23.11)</f>
        <v>23.11</v>
      </c>
      <c r="E177" s="1">
        <f>IFERROR(__xludf.DUMMYFUNCTION("""COMPUTED_VALUE"""),23.34)</f>
        <v>23.34</v>
      </c>
      <c r="F177" s="1">
        <f>IFERROR(__xludf.DUMMYFUNCTION("""COMPUTED_VALUE"""),2.1019603E7)</f>
        <v>21019603</v>
      </c>
    </row>
    <row r="178" ht="15.75" customHeight="1">
      <c r="A178" s="10">
        <f>IFERROR(__xludf.DUMMYFUNCTION("""COMPUTED_VALUE"""),41390.666666666664)</f>
        <v>41390.66667</v>
      </c>
      <c r="B178" s="1">
        <f>IFERROR(__xludf.DUMMYFUNCTION("""COMPUTED_VALUE"""),23.74)</f>
        <v>23.74</v>
      </c>
      <c r="C178" s="1">
        <f>IFERROR(__xludf.DUMMYFUNCTION("""COMPUTED_VALUE"""),32.04)</f>
        <v>32.04</v>
      </c>
      <c r="D178" s="1">
        <f>IFERROR(__xludf.DUMMYFUNCTION("""COMPUTED_VALUE"""),23.67)</f>
        <v>23.67</v>
      </c>
      <c r="E178" s="1">
        <f>IFERROR(__xludf.DUMMYFUNCTION("""COMPUTED_VALUE"""),30.79)</f>
        <v>30.79</v>
      </c>
      <c r="F178" s="1">
        <f>IFERROR(__xludf.DUMMYFUNCTION("""COMPUTED_VALUE"""),4.2534702E7)</f>
        <v>42534702</v>
      </c>
    </row>
    <row r="179" ht="15.75" customHeight="1">
      <c r="A179" s="10">
        <f>IFERROR(__xludf.DUMMYFUNCTION("""COMPUTED_VALUE"""),41397.666666666664)</f>
        <v>41397.66667</v>
      </c>
      <c r="B179" s="1">
        <f>IFERROR(__xludf.DUMMYFUNCTION("""COMPUTED_VALUE"""),30.94)</f>
        <v>30.94</v>
      </c>
      <c r="C179" s="1">
        <f>IFERROR(__xludf.DUMMYFUNCTION("""COMPUTED_VALUE"""),31.39)</f>
        <v>31.39</v>
      </c>
      <c r="D179" s="1">
        <f>IFERROR(__xludf.DUMMYFUNCTION("""COMPUTED_VALUE"""),30.03)</f>
        <v>30.03</v>
      </c>
      <c r="E179" s="1">
        <f>IFERROR(__xludf.DUMMYFUNCTION("""COMPUTED_VALUE"""),30.49)</f>
        <v>30.49</v>
      </c>
      <c r="F179" s="1">
        <f>IFERROR(__xludf.DUMMYFUNCTION("""COMPUTED_VALUE"""),1.400202E7)</f>
        <v>14002020</v>
      </c>
    </row>
    <row r="180" ht="15.75" customHeight="1">
      <c r="A180" s="10">
        <f>IFERROR(__xludf.DUMMYFUNCTION("""COMPUTED_VALUE"""),41404.666666666664)</f>
        <v>41404.66667</v>
      </c>
      <c r="B180" s="1">
        <f>IFERROR(__xludf.DUMMYFUNCTION("""COMPUTED_VALUE"""),29.95)</f>
        <v>29.95</v>
      </c>
      <c r="C180" s="1">
        <f>IFERROR(__xludf.DUMMYFUNCTION("""COMPUTED_VALUE"""),31.39)</f>
        <v>31.39</v>
      </c>
      <c r="D180" s="1">
        <f>IFERROR(__xludf.DUMMYFUNCTION("""COMPUTED_VALUE"""),29.15)</f>
        <v>29.15</v>
      </c>
      <c r="E180" s="1">
        <f>IFERROR(__xludf.DUMMYFUNCTION("""COMPUTED_VALUE"""),31.1)</f>
        <v>31.1</v>
      </c>
      <c r="F180" s="1">
        <f>IFERROR(__xludf.DUMMYFUNCTION("""COMPUTED_VALUE"""),1.7348895E7)</f>
        <v>17348895</v>
      </c>
    </row>
    <row r="181" ht="15.75" customHeight="1">
      <c r="A181" s="10">
        <f>IFERROR(__xludf.DUMMYFUNCTION("""COMPUTED_VALUE"""),41411.666666666664)</f>
        <v>41411.66667</v>
      </c>
      <c r="B181" s="1">
        <f>IFERROR(__xludf.DUMMYFUNCTION("""COMPUTED_VALUE"""),31.02)</f>
        <v>31.02</v>
      </c>
      <c r="C181" s="1">
        <f>IFERROR(__xludf.DUMMYFUNCTION("""COMPUTED_VALUE"""),35.55)</f>
        <v>35.55</v>
      </c>
      <c r="D181" s="1">
        <f>IFERROR(__xludf.DUMMYFUNCTION("""COMPUTED_VALUE"""),31.02)</f>
        <v>31.02</v>
      </c>
      <c r="E181" s="1">
        <f>IFERROR(__xludf.DUMMYFUNCTION("""COMPUTED_VALUE"""),34.14)</f>
        <v>34.14</v>
      </c>
      <c r="F181" s="1">
        <f>IFERROR(__xludf.DUMMYFUNCTION("""COMPUTED_VALUE"""),2.3459088E7)</f>
        <v>23459088</v>
      </c>
    </row>
    <row r="182" ht="15.75" customHeight="1">
      <c r="A182" s="10">
        <f>IFERROR(__xludf.DUMMYFUNCTION("""COMPUTED_VALUE"""),41418.666666666664)</f>
        <v>41418.66667</v>
      </c>
      <c r="B182" s="1">
        <f>IFERROR(__xludf.DUMMYFUNCTION("""COMPUTED_VALUE"""),34.06)</f>
        <v>34.06</v>
      </c>
      <c r="C182" s="1">
        <f>IFERROR(__xludf.DUMMYFUNCTION("""COMPUTED_VALUE"""),34.52)</f>
        <v>34.52</v>
      </c>
      <c r="D182" s="1">
        <f>IFERROR(__xludf.DUMMYFUNCTION("""COMPUTED_VALUE"""),31.65)</f>
        <v>31.65</v>
      </c>
      <c r="E182" s="1">
        <f>IFERROR(__xludf.DUMMYFUNCTION("""COMPUTED_VALUE"""),32.68)</f>
        <v>32.68</v>
      </c>
      <c r="F182" s="1">
        <f>IFERROR(__xludf.DUMMYFUNCTION("""COMPUTED_VALUE"""),1.0872425E7)</f>
        <v>10872425</v>
      </c>
    </row>
    <row r="183" ht="15.75" customHeight="1">
      <c r="A183" s="10">
        <f>IFERROR(__xludf.DUMMYFUNCTION("""COMPUTED_VALUE"""),41425.666666666664)</f>
        <v>41425.66667</v>
      </c>
      <c r="B183" s="1">
        <f>IFERROR(__xludf.DUMMYFUNCTION("""COMPUTED_VALUE"""),33.11)</f>
        <v>33.11</v>
      </c>
      <c r="C183" s="1">
        <f>IFERROR(__xludf.DUMMYFUNCTION("""COMPUTED_VALUE"""),33.71)</f>
        <v>33.71</v>
      </c>
      <c r="D183" s="1">
        <f>IFERROR(__xludf.DUMMYFUNCTION("""COMPUTED_VALUE"""),29.99)</f>
        <v>29.99</v>
      </c>
      <c r="E183" s="1">
        <f>IFERROR(__xludf.DUMMYFUNCTION("""COMPUTED_VALUE"""),32.32)</f>
        <v>32.32</v>
      </c>
      <c r="F183" s="1">
        <f>IFERROR(__xludf.DUMMYFUNCTION("""COMPUTED_VALUE"""),1.7597862E7)</f>
        <v>17597862</v>
      </c>
    </row>
    <row r="184" ht="15.75" customHeight="1">
      <c r="A184" s="10">
        <f>IFERROR(__xludf.DUMMYFUNCTION("""COMPUTED_VALUE"""),41432.666666666664)</f>
        <v>41432.66667</v>
      </c>
      <c r="B184" s="1">
        <f>IFERROR(__xludf.DUMMYFUNCTION("""COMPUTED_VALUE"""),32.44)</f>
        <v>32.44</v>
      </c>
      <c r="C184" s="1">
        <f>IFERROR(__xludf.DUMMYFUNCTION("""COMPUTED_VALUE"""),32.57)</f>
        <v>32.57</v>
      </c>
      <c r="D184" s="1">
        <f>IFERROR(__xludf.DUMMYFUNCTION("""COMPUTED_VALUE"""),30.57)</f>
        <v>30.57</v>
      </c>
      <c r="E184" s="1">
        <f>IFERROR(__xludf.DUMMYFUNCTION("""COMPUTED_VALUE"""),31.46)</f>
        <v>31.46</v>
      </c>
      <c r="F184" s="1">
        <f>IFERROR(__xludf.DUMMYFUNCTION("""COMPUTED_VALUE"""),1.6968109E7)</f>
        <v>16968109</v>
      </c>
    </row>
    <row r="185" ht="15.75" customHeight="1">
      <c r="A185" s="10">
        <f>IFERROR(__xludf.DUMMYFUNCTION("""COMPUTED_VALUE"""),41439.666666666664)</f>
        <v>41439.66667</v>
      </c>
      <c r="B185" s="1">
        <f>IFERROR(__xludf.DUMMYFUNCTION("""COMPUTED_VALUE"""),31.86)</f>
        <v>31.86</v>
      </c>
      <c r="C185" s="1">
        <f>IFERROR(__xludf.DUMMYFUNCTION("""COMPUTED_VALUE"""),31.9)</f>
        <v>31.9</v>
      </c>
      <c r="D185" s="1">
        <f>IFERROR(__xludf.DUMMYFUNCTION("""COMPUTED_VALUE"""),29.39)</f>
        <v>29.39</v>
      </c>
      <c r="E185" s="1">
        <f>IFERROR(__xludf.DUMMYFUNCTION("""COMPUTED_VALUE"""),30.57)</f>
        <v>30.57</v>
      </c>
      <c r="F185" s="1">
        <f>IFERROR(__xludf.DUMMYFUNCTION("""COMPUTED_VALUE"""),1.1166169E7)</f>
        <v>11166169</v>
      </c>
    </row>
    <row r="186" ht="15.75" customHeight="1">
      <c r="A186" s="10">
        <f>IFERROR(__xludf.DUMMYFUNCTION("""COMPUTED_VALUE"""),41446.666666666664)</f>
        <v>41446.66667</v>
      </c>
      <c r="B186" s="1">
        <f>IFERROR(__xludf.DUMMYFUNCTION("""COMPUTED_VALUE"""),32.22)</f>
        <v>32.22</v>
      </c>
      <c r="C186" s="1">
        <f>IFERROR(__xludf.DUMMYFUNCTION("""COMPUTED_VALUE"""),33.7)</f>
        <v>33.7</v>
      </c>
      <c r="D186" s="1">
        <f>IFERROR(__xludf.DUMMYFUNCTION("""COMPUTED_VALUE"""),30.6)</f>
        <v>30.6</v>
      </c>
      <c r="E186" s="1">
        <f>IFERROR(__xludf.DUMMYFUNCTION("""COMPUTED_VALUE"""),30.99)</f>
        <v>30.99</v>
      </c>
      <c r="F186" s="1">
        <f>IFERROR(__xludf.DUMMYFUNCTION("""COMPUTED_VALUE"""),1.7177174E7)</f>
        <v>17177174</v>
      </c>
    </row>
    <row r="187" ht="15.75" customHeight="1">
      <c r="A187" s="10">
        <f>IFERROR(__xludf.DUMMYFUNCTION("""COMPUTED_VALUE"""),41453.666666666664)</f>
        <v>41453.66667</v>
      </c>
      <c r="B187" s="1">
        <f>IFERROR(__xludf.DUMMYFUNCTION("""COMPUTED_VALUE"""),30.43)</f>
        <v>30.43</v>
      </c>
      <c r="C187" s="1">
        <f>IFERROR(__xludf.DUMMYFUNCTION("""COMPUTED_VALUE"""),31.3)</f>
        <v>31.3</v>
      </c>
      <c r="D187" s="1">
        <f>IFERROR(__xludf.DUMMYFUNCTION("""COMPUTED_VALUE"""),29.65)</f>
        <v>29.65</v>
      </c>
      <c r="E187" s="1">
        <f>IFERROR(__xludf.DUMMYFUNCTION("""COMPUTED_VALUE"""),30.16)</f>
        <v>30.16</v>
      </c>
      <c r="F187" s="1">
        <f>IFERROR(__xludf.DUMMYFUNCTION("""COMPUTED_VALUE"""),1.3654336E7)</f>
        <v>13654336</v>
      </c>
    </row>
    <row r="188" ht="15.75" customHeight="1">
      <c r="A188" s="10">
        <f>IFERROR(__xludf.DUMMYFUNCTION("""COMPUTED_VALUE"""),41460.666666666664)</f>
        <v>41460.66667</v>
      </c>
      <c r="B188" s="1">
        <f>IFERROR(__xludf.DUMMYFUNCTION("""COMPUTED_VALUE"""),30.65)</f>
        <v>30.65</v>
      </c>
      <c r="C188" s="1">
        <f>IFERROR(__xludf.DUMMYFUNCTION("""COMPUTED_VALUE"""),32.5)</f>
        <v>32.5</v>
      </c>
      <c r="D188" s="1">
        <f>IFERROR(__xludf.DUMMYFUNCTION("""COMPUTED_VALUE"""),30.29)</f>
        <v>30.29</v>
      </c>
      <c r="E188" s="1">
        <f>IFERROR(__xludf.DUMMYFUNCTION("""COMPUTED_VALUE"""),32.16)</f>
        <v>32.16</v>
      </c>
      <c r="F188" s="1">
        <f>IFERROR(__xludf.DUMMYFUNCTION("""COMPUTED_VALUE"""),8692696.0)</f>
        <v>8692696</v>
      </c>
    </row>
    <row r="189" ht="15.75" customHeight="1">
      <c r="A189" s="10">
        <f>IFERROR(__xludf.DUMMYFUNCTION("""COMPUTED_VALUE"""),41467.666666666664)</f>
        <v>41467.66667</v>
      </c>
      <c r="B189" s="1">
        <f>IFERROR(__xludf.DUMMYFUNCTION("""COMPUTED_VALUE"""),32.4)</f>
        <v>32.4</v>
      </c>
      <c r="C189" s="1">
        <f>IFERROR(__xludf.DUMMYFUNCTION("""COMPUTED_VALUE"""),36.78)</f>
        <v>36.78</v>
      </c>
      <c r="D189" s="1">
        <f>IFERROR(__xludf.DUMMYFUNCTION("""COMPUTED_VALUE"""),32.22)</f>
        <v>32.22</v>
      </c>
      <c r="E189" s="1">
        <f>IFERROR(__xludf.DUMMYFUNCTION("""COMPUTED_VALUE"""),36.75)</f>
        <v>36.75</v>
      </c>
      <c r="F189" s="1">
        <f>IFERROR(__xludf.DUMMYFUNCTION("""COMPUTED_VALUE"""),1.9693211E7)</f>
        <v>19693211</v>
      </c>
    </row>
    <row r="190" ht="15.75" customHeight="1">
      <c r="A190" s="10">
        <f>IFERROR(__xludf.DUMMYFUNCTION("""COMPUTED_VALUE"""),41474.666666666664)</f>
        <v>41474.66667</v>
      </c>
      <c r="B190" s="1">
        <f>IFERROR(__xludf.DUMMYFUNCTION("""COMPUTED_VALUE"""),37.09)</f>
        <v>37.09</v>
      </c>
      <c r="C190" s="1">
        <f>IFERROR(__xludf.DUMMYFUNCTION("""COMPUTED_VALUE"""),38.62)</f>
        <v>38.62</v>
      </c>
      <c r="D190" s="1">
        <f>IFERROR(__xludf.DUMMYFUNCTION("""COMPUTED_VALUE"""),36.02)</f>
        <v>36.02</v>
      </c>
      <c r="E190" s="1">
        <f>IFERROR(__xludf.DUMMYFUNCTION("""COMPUTED_VALUE"""),37.8)</f>
        <v>37.8</v>
      </c>
      <c r="F190" s="1">
        <f>IFERROR(__xludf.DUMMYFUNCTION("""COMPUTED_VALUE"""),1.6022672E7)</f>
        <v>16022672</v>
      </c>
    </row>
    <row r="191" ht="15.75" customHeight="1">
      <c r="A191" s="10">
        <f>IFERROR(__xludf.DUMMYFUNCTION("""COMPUTED_VALUE"""),41481.666666666664)</f>
        <v>41481.66667</v>
      </c>
      <c r="B191" s="1">
        <f>IFERROR(__xludf.DUMMYFUNCTION("""COMPUTED_VALUE"""),38.12)</f>
        <v>38.12</v>
      </c>
      <c r="C191" s="1">
        <f>IFERROR(__xludf.DUMMYFUNCTION("""COMPUTED_VALUE"""),38.39)</f>
        <v>38.39</v>
      </c>
      <c r="D191" s="1">
        <f>IFERROR(__xludf.DUMMYFUNCTION("""COMPUTED_VALUE"""),34.27)</f>
        <v>34.27</v>
      </c>
      <c r="E191" s="1">
        <f>IFERROR(__xludf.DUMMYFUNCTION("""COMPUTED_VALUE"""),35.19)</f>
        <v>35.19</v>
      </c>
      <c r="F191" s="1">
        <f>IFERROR(__xludf.DUMMYFUNCTION("""COMPUTED_VALUE"""),2.7870596E7)</f>
        <v>27870596</v>
      </c>
    </row>
    <row r="192" ht="15.75" customHeight="1">
      <c r="A192" s="10">
        <f>IFERROR(__xludf.DUMMYFUNCTION("""COMPUTED_VALUE"""),41488.666666666664)</f>
        <v>41488.66667</v>
      </c>
      <c r="B192" s="1">
        <f>IFERROR(__xludf.DUMMYFUNCTION("""COMPUTED_VALUE"""),35.15)</f>
        <v>35.15</v>
      </c>
      <c r="C192" s="1">
        <f>IFERROR(__xludf.DUMMYFUNCTION("""COMPUTED_VALUE"""),35.81)</f>
        <v>35.81</v>
      </c>
      <c r="D192" s="1">
        <f>IFERROR(__xludf.DUMMYFUNCTION("""COMPUTED_VALUE"""),34.54)</f>
        <v>34.54</v>
      </c>
      <c r="E192" s="1">
        <f>IFERROR(__xludf.DUMMYFUNCTION("""COMPUTED_VALUE"""),35.17)</f>
        <v>35.17</v>
      </c>
      <c r="F192" s="1">
        <f>IFERROR(__xludf.DUMMYFUNCTION("""COMPUTED_VALUE"""),9338202.0)</f>
        <v>9338202</v>
      </c>
    </row>
    <row r="193" ht="15.75" customHeight="1">
      <c r="A193" s="10">
        <f>IFERROR(__xludf.DUMMYFUNCTION("""COMPUTED_VALUE"""),41495.666666666664)</f>
        <v>41495.66667</v>
      </c>
      <c r="B193" s="1">
        <f>IFERROR(__xludf.DUMMYFUNCTION("""COMPUTED_VALUE"""),34.84)</f>
        <v>34.84</v>
      </c>
      <c r="C193" s="1">
        <f>IFERROR(__xludf.DUMMYFUNCTION("""COMPUTED_VALUE"""),36.8)</f>
        <v>36.8</v>
      </c>
      <c r="D193" s="1">
        <f>IFERROR(__xludf.DUMMYFUNCTION("""COMPUTED_VALUE"""),34.48)</f>
        <v>34.48</v>
      </c>
      <c r="E193" s="1">
        <f>IFERROR(__xludf.DUMMYFUNCTION("""COMPUTED_VALUE"""),36.11)</f>
        <v>36.11</v>
      </c>
      <c r="F193" s="1">
        <f>IFERROR(__xludf.DUMMYFUNCTION("""COMPUTED_VALUE"""),1.2413285E7)</f>
        <v>12413285</v>
      </c>
    </row>
    <row r="194" ht="15.75" customHeight="1">
      <c r="A194" s="10">
        <f>IFERROR(__xludf.DUMMYFUNCTION("""COMPUTED_VALUE"""),41502.666666666664)</f>
        <v>41502.66667</v>
      </c>
      <c r="B194" s="1">
        <f>IFERROR(__xludf.DUMMYFUNCTION("""COMPUTED_VALUE"""),35.9)</f>
        <v>35.9</v>
      </c>
      <c r="C194" s="1">
        <f>IFERROR(__xludf.DUMMYFUNCTION("""COMPUTED_VALUE"""),37.68)</f>
        <v>37.68</v>
      </c>
      <c r="D194" s="1">
        <f>IFERROR(__xludf.DUMMYFUNCTION("""COMPUTED_VALUE"""),35.77)</f>
        <v>35.77</v>
      </c>
      <c r="E194" s="1">
        <f>IFERROR(__xludf.DUMMYFUNCTION("""COMPUTED_VALUE"""),36.98)</f>
        <v>36.98</v>
      </c>
      <c r="F194" s="1">
        <f>IFERROR(__xludf.DUMMYFUNCTION("""COMPUTED_VALUE"""),1.3596324E7)</f>
        <v>13596324</v>
      </c>
    </row>
    <row r="195" ht="15.75" customHeight="1">
      <c r="A195" s="10">
        <f>IFERROR(__xludf.DUMMYFUNCTION("""COMPUTED_VALUE"""),41509.666666666664)</f>
        <v>41509.66667</v>
      </c>
      <c r="B195" s="1">
        <f>IFERROR(__xludf.DUMMYFUNCTION("""COMPUTED_VALUE"""),36.86)</f>
        <v>36.86</v>
      </c>
      <c r="C195" s="1">
        <f>IFERROR(__xludf.DUMMYFUNCTION("""COMPUTED_VALUE"""),39.77)</f>
        <v>39.77</v>
      </c>
      <c r="D195" s="1">
        <f>IFERROR(__xludf.DUMMYFUNCTION("""COMPUTED_VALUE"""),36.82)</f>
        <v>36.82</v>
      </c>
      <c r="E195" s="1">
        <f>IFERROR(__xludf.DUMMYFUNCTION("""COMPUTED_VALUE"""),39.77)</f>
        <v>39.77</v>
      </c>
      <c r="F195" s="1">
        <f>IFERROR(__xludf.DUMMYFUNCTION("""COMPUTED_VALUE"""),1.4189255E7)</f>
        <v>14189255</v>
      </c>
    </row>
    <row r="196" ht="15.75" customHeight="1">
      <c r="A196" s="10">
        <f>IFERROR(__xludf.DUMMYFUNCTION("""COMPUTED_VALUE"""),41516.666666666664)</f>
        <v>41516.66667</v>
      </c>
      <c r="B196" s="1">
        <f>IFERROR(__xludf.DUMMYFUNCTION("""COMPUTED_VALUE"""),39.44)</f>
        <v>39.44</v>
      </c>
      <c r="C196" s="1">
        <f>IFERROR(__xludf.DUMMYFUNCTION("""COMPUTED_VALUE"""),41.46)</f>
        <v>41.46</v>
      </c>
      <c r="D196" s="1">
        <f>IFERROR(__xludf.DUMMYFUNCTION("""COMPUTED_VALUE"""),39.15)</f>
        <v>39.15</v>
      </c>
      <c r="E196" s="1">
        <f>IFERROR(__xludf.DUMMYFUNCTION("""COMPUTED_VALUE"""),40.56)</f>
        <v>40.56</v>
      </c>
      <c r="F196" s="1">
        <f>IFERROR(__xludf.DUMMYFUNCTION("""COMPUTED_VALUE"""),1.540056E7)</f>
        <v>15400560</v>
      </c>
    </row>
    <row r="197" ht="15.75" customHeight="1">
      <c r="A197" s="10">
        <f>IFERROR(__xludf.DUMMYFUNCTION("""COMPUTED_VALUE"""),41523.666666666664)</f>
        <v>41523.66667</v>
      </c>
      <c r="B197" s="1">
        <f>IFERROR(__xludf.DUMMYFUNCTION("""COMPUTED_VALUE"""),41.11)</f>
        <v>41.11</v>
      </c>
      <c r="C197" s="1">
        <f>IFERROR(__xludf.DUMMYFUNCTION("""COMPUTED_VALUE"""),42.7)</f>
        <v>42.7</v>
      </c>
      <c r="D197" s="1">
        <f>IFERROR(__xludf.DUMMYFUNCTION("""COMPUTED_VALUE"""),40.65)</f>
        <v>40.65</v>
      </c>
      <c r="E197" s="1">
        <f>IFERROR(__xludf.DUMMYFUNCTION("""COMPUTED_VALUE"""),41.65)</f>
        <v>41.65</v>
      </c>
      <c r="F197" s="1">
        <f>IFERROR(__xludf.DUMMYFUNCTION("""COMPUTED_VALUE"""),1.0932384E7)</f>
        <v>10932384</v>
      </c>
    </row>
    <row r="198" ht="15.75" customHeight="1">
      <c r="A198" s="10">
        <f>IFERROR(__xludf.DUMMYFUNCTION("""COMPUTED_VALUE"""),41530.666666666664)</f>
        <v>41530.66667</v>
      </c>
      <c r="B198" s="1">
        <f>IFERROR(__xludf.DUMMYFUNCTION("""COMPUTED_VALUE"""),41.82)</f>
        <v>41.82</v>
      </c>
      <c r="C198" s="1">
        <f>IFERROR(__xludf.DUMMYFUNCTION("""COMPUTED_VALUE"""),44.88)</f>
        <v>44.88</v>
      </c>
      <c r="D198" s="1">
        <f>IFERROR(__xludf.DUMMYFUNCTION("""COMPUTED_VALUE"""),41.47)</f>
        <v>41.47</v>
      </c>
      <c r="E198" s="1">
        <f>IFERROR(__xludf.DUMMYFUNCTION("""COMPUTED_VALUE"""),43.66)</f>
        <v>43.66</v>
      </c>
      <c r="F198" s="1">
        <f>IFERROR(__xludf.DUMMYFUNCTION("""COMPUTED_VALUE"""),1.6789577E7)</f>
        <v>16789577</v>
      </c>
    </row>
    <row r="199" ht="15.75" customHeight="1">
      <c r="A199" s="10">
        <f>IFERROR(__xludf.DUMMYFUNCTION("""COMPUTED_VALUE"""),41537.666666666664)</f>
        <v>41537.66667</v>
      </c>
      <c r="B199" s="1">
        <f>IFERROR(__xludf.DUMMYFUNCTION("""COMPUTED_VALUE"""),44.29)</f>
        <v>44.29</v>
      </c>
      <c r="C199" s="1">
        <f>IFERROR(__xludf.DUMMYFUNCTION("""COMPUTED_VALUE"""),45.13)</f>
        <v>45.13</v>
      </c>
      <c r="D199" s="1">
        <f>IFERROR(__xludf.DUMMYFUNCTION("""COMPUTED_VALUE"""),42.53)</f>
        <v>42.53</v>
      </c>
      <c r="E199" s="1">
        <f>IFERROR(__xludf.DUMMYFUNCTION("""COMPUTED_VALUE"""),44.83)</f>
        <v>44.83</v>
      </c>
      <c r="F199" s="1">
        <f>IFERROR(__xludf.DUMMYFUNCTION("""COMPUTED_VALUE"""),1.3479583E7)</f>
        <v>13479583</v>
      </c>
    </row>
    <row r="200" ht="15.75" customHeight="1">
      <c r="A200" s="10">
        <f>IFERROR(__xludf.DUMMYFUNCTION("""COMPUTED_VALUE"""),41544.666666666664)</f>
        <v>41544.66667</v>
      </c>
      <c r="B200" s="1">
        <f>IFERROR(__xludf.DUMMYFUNCTION("""COMPUTED_VALUE"""),45.71)</f>
        <v>45.71</v>
      </c>
      <c r="C200" s="1">
        <f>IFERROR(__xludf.DUMMYFUNCTION("""COMPUTED_VALUE"""),45.77)</f>
        <v>45.77</v>
      </c>
      <c r="D200" s="1">
        <f>IFERROR(__xludf.DUMMYFUNCTION("""COMPUTED_VALUE"""),42.79)</f>
        <v>42.79</v>
      </c>
      <c r="E200" s="1">
        <f>IFERROR(__xludf.DUMMYFUNCTION("""COMPUTED_VALUE"""),44.63)</f>
        <v>44.63</v>
      </c>
      <c r="F200" s="1">
        <f>IFERROR(__xludf.DUMMYFUNCTION("""COMPUTED_VALUE"""),1.2331666E7)</f>
        <v>12331666</v>
      </c>
    </row>
    <row r="201" ht="15.75" customHeight="1">
      <c r="A201" s="10">
        <f>IFERROR(__xludf.DUMMYFUNCTION("""COMPUTED_VALUE"""),41551.666666666664)</f>
        <v>41551.66667</v>
      </c>
      <c r="B201" s="1">
        <f>IFERROR(__xludf.DUMMYFUNCTION("""COMPUTED_VALUE"""),43.96)</f>
        <v>43.96</v>
      </c>
      <c r="C201" s="1">
        <f>IFERROR(__xludf.DUMMYFUNCTION("""COMPUTED_VALUE"""),47.79)</f>
        <v>47.79</v>
      </c>
      <c r="D201" s="1">
        <f>IFERROR(__xludf.DUMMYFUNCTION("""COMPUTED_VALUE"""),43.6)</f>
        <v>43.6</v>
      </c>
      <c r="E201" s="1">
        <f>IFERROR(__xludf.DUMMYFUNCTION("""COMPUTED_VALUE"""),46.75)</f>
        <v>46.75</v>
      </c>
      <c r="F201" s="1">
        <f>IFERROR(__xludf.DUMMYFUNCTION("""COMPUTED_VALUE"""),1.6343784E7)</f>
        <v>16343784</v>
      </c>
    </row>
    <row r="202" ht="15.75" customHeight="1">
      <c r="A202" s="10">
        <f>IFERROR(__xludf.DUMMYFUNCTION("""COMPUTED_VALUE"""),41558.666666666664)</f>
        <v>41558.66667</v>
      </c>
      <c r="B202" s="1">
        <f>IFERROR(__xludf.DUMMYFUNCTION("""COMPUTED_VALUE"""),46.29)</f>
        <v>46.29</v>
      </c>
      <c r="C202" s="1">
        <f>IFERROR(__xludf.DUMMYFUNCTION("""COMPUTED_VALUE"""),46.71)</f>
        <v>46.71</v>
      </c>
      <c r="D202" s="1">
        <f>IFERROR(__xludf.DUMMYFUNCTION("""COMPUTED_VALUE"""),40.4)</f>
        <v>40.4</v>
      </c>
      <c r="E202" s="1">
        <f>IFERROR(__xludf.DUMMYFUNCTION("""COMPUTED_VALUE"""),42.98)</f>
        <v>42.98</v>
      </c>
      <c r="F202" s="1">
        <f>IFERROR(__xludf.DUMMYFUNCTION("""COMPUTED_VALUE"""),1.9321223E7)</f>
        <v>19321223</v>
      </c>
    </row>
    <row r="203" ht="15.75" customHeight="1">
      <c r="A203" s="10">
        <f>IFERROR(__xludf.DUMMYFUNCTION("""COMPUTED_VALUE"""),41565.666666666664)</f>
        <v>41565.66667</v>
      </c>
      <c r="B203" s="1">
        <f>IFERROR(__xludf.DUMMYFUNCTION("""COMPUTED_VALUE"""),44.29)</f>
        <v>44.29</v>
      </c>
      <c r="C203" s="1">
        <f>IFERROR(__xludf.DUMMYFUNCTION("""COMPUTED_VALUE"""),48.07)</f>
        <v>48.07</v>
      </c>
      <c r="D203" s="1">
        <f>IFERROR(__xludf.DUMMYFUNCTION("""COMPUTED_VALUE"""),43.71)</f>
        <v>43.71</v>
      </c>
      <c r="E203" s="1">
        <f>IFERROR(__xludf.DUMMYFUNCTION("""COMPUTED_VALUE"""),47.64)</f>
        <v>47.64</v>
      </c>
      <c r="F203" s="1">
        <f>IFERROR(__xludf.DUMMYFUNCTION("""COMPUTED_VALUE"""),1.9461532E7)</f>
        <v>19461532</v>
      </c>
    </row>
    <row r="204" ht="15.75" customHeight="1">
      <c r="A204" s="10">
        <f>IFERROR(__xludf.DUMMYFUNCTION("""COMPUTED_VALUE"""),41572.666666666664)</f>
        <v>41572.66667</v>
      </c>
      <c r="B204" s="1">
        <f>IFERROR(__xludf.DUMMYFUNCTION("""COMPUTED_VALUE"""),48.99)</f>
        <v>48.99</v>
      </c>
      <c r="C204" s="1">
        <f>IFERROR(__xludf.DUMMYFUNCTION("""COMPUTED_VALUE"""),55.59)</f>
        <v>55.59</v>
      </c>
      <c r="D204" s="1">
        <f>IFERROR(__xludf.DUMMYFUNCTION("""COMPUTED_VALUE"""),45.29)</f>
        <v>45.29</v>
      </c>
      <c r="E204" s="1">
        <f>IFERROR(__xludf.DUMMYFUNCTION("""COMPUTED_VALUE"""),46.86)</f>
        <v>46.86</v>
      </c>
      <c r="F204" s="1">
        <f>IFERROR(__xludf.DUMMYFUNCTION("""COMPUTED_VALUE"""),5.1751688E7)</f>
        <v>51751688</v>
      </c>
    </row>
    <row r="205" ht="15.75" customHeight="1">
      <c r="A205" s="10">
        <f>IFERROR(__xludf.DUMMYFUNCTION("""COMPUTED_VALUE"""),41579.666666666664)</f>
        <v>41579.66667</v>
      </c>
      <c r="B205" s="1">
        <f>IFERROR(__xludf.DUMMYFUNCTION("""COMPUTED_VALUE"""),46.43)</f>
        <v>46.43</v>
      </c>
      <c r="C205" s="1">
        <f>IFERROR(__xludf.DUMMYFUNCTION("""COMPUTED_VALUE"""),47.64)</f>
        <v>47.64</v>
      </c>
      <c r="D205" s="1">
        <f>IFERROR(__xludf.DUMMYFUNCTION("""COMPUTED_VALUE"""),44.17)</f>
        <v>44.17</v>
      </c>
      <c r="E205" s="1">
        <f>IFERROR(__xludf.DUMMYFUNCTION("""COMPUTED_VALUE"""),47.04)</f>
        <v>47.04</v>
      </c>
      <c r="F205" s="1">
        <f>IFERROR(__xludf.DUMMYFUNCTION("""COMPUTED_VALUE"""),1.82042E7)</f>
        <v>18204200</v>
      </c>
    </row>
    <row r="206" ht="15.75" customHeight="1">
      <c r="A206" s="10">
        <f>IFERROR(__xludf.DUMMYFUNCTION("""COMPUTED_VALUE"""),41586.666666666664)</f>
        <v>41586.66667</v>
      </c>
      <c r="B206" s="1">
        <f>IFERROR(__xludf.DUMMYFUNCTION("""COMPUTED_VALUE"""),47.28)</f>
        <v>47.28</v>
      </c>
      <c r="C206" s="1">
        <f>IFERROR(__xludf.DUMMYFUNCTION("""COMPUTED_VALUE"""),49.2)</f>
        <v>49.2</v>
      </c>
      <c r="D206" s="1">
        <f>IFERROR(__xludf.DUMMYFUNCTION("""COMPUTED_VALUE"""),46.45)</f>
        <v>46.45</v>
      </c>
      <c r="E206" s="1">
        <f>IFERROR(__xludf.DUMMYFUNCTION("""COMPUTED_VALUE"""),47.84)</f>
        <v>47.84</v>
      </c>
      <c r="F206" s="1">
        <f>IFERROR(__xludf.DUMMYFUNCTION("""COMPUTED_VALUE"""),1.4223568E7)</f>
        <v>14223568</v>
      </c>
    </row>
    <row r="207" ht="15.75" customHeight="1">
      <c r="A207" s="10">
        <f>IFERROR(__xludf.DUMMYFUNCTION("""COMPUTED_VALUE"""),41593.666666666664)</f>
        <v>41593.66667</v>
      </c>
      <c r="B207" s="1">
        <f>IFERROR(__xludf.DUMMYFUNCTION("""COMPUTED_VALUE"""),47.54)</f>
        <v>47.54</v>
      </c>
      <c r="C207" s="1">
        <f>IFERROR(__xludf.DUMMYFUNCTION("""COMPUTED_VALUE"""),49.98)</f>
        <v>49.98</v>
      </c>
      <c r="D207" s="1">
        <f>IFERROR(__xludf.DUMMYFUNCTION("""COMPUTED_VALUE"""),46.95)</f>
        <v>46.95</v>
      </c>
      <c r="E207" s="1">
        <f>IFERROR(__xludf.DUMMYFUNCTION("""COMPUTED_VALUE"""),49.97)</f>
        <v>49.97</v>
      </c>
      <c r="F207" s="1">
        <f>IFERROR(__xludf.DUMMYFUNCTION("""COMPUTED_VALUE"""),1.1625757E7)</f>
        <v>11625757</v>
      </c>
    </row>
    <row r="208" ht="15.75" customHeight="1">
      <c r="A208" s="10">
        <f>IFERROR(__xludf.DUMMYFUNCTION("""COMPUTED_VALUE"""),41600.666666666664)</f>
        <v>41600.66667</v>
      </c>
      <c r="B208" s="1">
        <f>IFERROR(__xludf.DUMMYFUNCTION("""COMPUTED_VALUE"""),50.0)</f>
        <v>50</v>
      </c>
      <c r="C208" s="1">
        <f>IFERROR(__xludf.DUMMYFUNCTION("""COMPUTED_VALUE"""),50.09)</f>
        <v>50.09</v>
      </c>
      <c r="D208" s="1">
        <f>IFERROR(__xludf.DUMMYFUNCTION("""COMPUTED_VALUE"""),47.75)</f>
        <v>47.75</v>
      </c>
      <c r="E208" s="1">
        <f>IFERROR(__xludf.DUMMYFUNCTION("""COMPUTED_VALUE"""),49.69)</f>
        <v>49.69</v>
      </c>
      <c r="F208" s="1">
        <f>IFERROR(__xludf.DUMMYFUNCTION("""COMPUTED_VALUE"""),1.2433629E7)</f>
        <v>12433629</v>
      </c>
    </row>
    <row r="209" ht="15.75" customHeight="1">
      <c r="A209" s="10">
        <f>IFERROR(__xludf.DUMMYFUNCTION("""COMPUTED_VALUE"""),41607.666666666664)</f>
        <v>41607.66667</v>
      </c>
      <c r="B209" s="1">
        <f>IFERROR(__xludf.DUMMYFUNCTION("""COMPUTED_VALUE"""),49.56)</f>
        <v>49.56</v>
      </c>
      <c r="C209" s="1">
        <f>IFERROR(__xludf.DUMMYFUNCTION("""COMPUTED_VALUE"""),52.54)</f>
        <v>52.54</v>
      </c>
      <c r="D209" s="1">
        <f>IFERROR(__xludf.DUMMYFUNCTION("""COMPUTED_VALUE"""),49.29)</f>
        <v>49.29</v>
      </c>
      <c r="E209" s="1">
        <f>IFERROR(__xludf.DUMMYFUNCTION("""COMPUTED_VALUE"""),52.26)</f>
        <v>52.26</v>
      </c>
      <c r="F209" s="1">
        <f>IFERROR(__xludf.DUMMYFUNCTION("""COMPUTED_VALUE"""),7699524.0)</f>
        <v>7699524</v>
      </c>
    </row>
    <row r="210" ht="15.75" customHeight="1">
      <c r="A210" s="10">
        <f>IFERROR(__xludf.DUMMYFUNCTION("""COMPUTED_VALUE"""),41614.666666666664)</f>
        <v>41614.66667</v>
      </c>
      <c r="B210" s="1">
        <f>IFERROR(__xludf.DUMMYFUNCTION("""COMPUTED_VALUE"""),52.14)</f>
        <v>52.14</v>
      </c>
      <c r="C210" s="1">
        <f>IFERROR(__xludf.DUMMYFUNCTION("""COMPUTED_VALUE"""),52.66)</f>
        <v>52.66</v>
      </c>
      <c r="D210" s="1">
        <f>IFERROR(__xludf.DUMMYFUNCTION("""COMPUTED_VALUE"""),50.29)</f>
        <v>50.29</v>
      </c>
      <c r="E210" s="1">
        <f>IFERROR(__xludf.DUMMYFUNCTION("""COMPUTED_VALUE"""),50.63)</f>
        <v>50.63</v>
      </c>
      <c r="F210" s="1">
        <f>IFERROR(__xludf.DUMMYFUNCTION("""COMPUTED_VALUE"""),1.005073E7)</f>
        <v>10050730</v>
      </c>
    </row>
    <row r="211" ht="15.75" customHeight="1">
      <c r="A211" s="10">
        <f>IFERROR(__xludf.DUMMYFUNCTION("""COMPUTED_VALUE"""),41621.666666666664)</f>
        <v>41621.66667</v>
      </c>
      <c r="B211" s="1">
        <f>IFERROR(__xludf.DUMMYFUNCTION("""COMPUTED_VALUE"""),50.74)</f>
        <v>50.74</v>
      </c>
      <c r="C211" s="1">
        <f>IFERROR(__xludf.DUMMYFUNCTION("""COMPUTED_VALUE"""),53.86)</f>
        <v>53.86</v>
      </c>
      <c r="D211" s="1">
        <f>IFERROR(__xludf.DUMMYFUNCTION("""COMPUTED_VALUE"""),50.47)</f>
        <v>50.47</v>
      </c>
      <c r="E211" s="1">
        <f>IFERROR(__xludf.DUMMYFUNCTION("""COMPUTED_VALUE"""),52.71)</f>
        <v>52.71</v>
      </c>
      <c r="F211" s="1">
        <f>IFERROR(__xludf.DUMMYFUNCTION("""COMPUTED_VALUE"""),1.2160452E7)</f>
        <v>12160452</v>
      </c>
    </row>
    <row r="212" ht="15.75" customHeight="1">
      <c r="A212" s="10">
        <f>IFERROR(__xludf.DUMMYFUNCTION("""COMPUTED_VALUE"""),41628.666666666664)</f>
        <v>41628.66667</v>
      </c>
      <c r="B212" s="1">
        <f>IFERROR(__xludf.DUMMYFUNCTION("""COMPUTED_VALUE"""),52.85)</f>
        <v>52.85</v>
      </c>
      <c r="C212" s="1">
        <f>IFERROR(__xludf.DUMMYFUNCTION("""COMPUTED_VALUE"""),54.27)</f>
        <v>54.27</v>
      </c>
      <c r="D212" s="1">
        <f>IFERROR(__xludf.DUMMYFUNCTION("""COMPUTED_VALUE"""),52.04)</f>
        <v>52.04</v>
      </c>
      <c r="E212" s="1">
        <f>IFERROR(__xludf.DUMMYFUNCTION("""COMPUTED_VALUE"""),53.67)</f>
        <v>53.67</v>
      </c>
      <c r="F212" s="1">
        <f>IFERROR(__xludf.DUMMYFUNCTION("""COMPUTED_VALUE"""),1.2144566E7)</f>
        <v>12144566</v>
      </c>
    </row>
    <row r="213" ht="15.75" customHeight="1">
      <c r="A213" s="10">
        <f>IFERROR(__xludf.DUMMYFUNCTION("""COMPUTED_VALUE"""),41635.666666666664)</f>
        <v>41635.66667</v>
      </c>
      <c r="B213" s="1">
        <f>IFERROR(__xludf.DUMMYFUNCTION("""COMPUTED_VALUE"""),54.1)</f>
        <v>54.1</v>
      </c>
      <c r="C213" s="1">
        <f>IFERROR(__xludf.DUMMYFUNCTION("""COMPUTED_VALUE"""),54.85)</f>
        <v>54.85</v>
      </c>
      <c r="D213" s="1">
        <f>IFERROR(__xludf.DUMMYFUNCTION("""COMPUTED_VALUE"""),52.26)</f>
        <v>52.26</v>
      </c>
      <c r="E213" s="1">
        <f>IFERROR(__xludf.DUMMYFUNCTION("""COMPUTED_VALUE"""),52.5)</f>
        <v>52.5</v>
      </c>
      <c r="F213" s="1">
        <f>IFERROR(__xludf.DUMMYFUNCTION("""COMPUTED_VALUE"""),6781506.0)</f>
        <v>6781506</v>
      </c>
    </row>
    <row r="214" ht="15.75" customHeight="1">
      <c r="A214" s="10">
        <f>IFERROR(__xludf.DUMMYFUNCTION("""COMPUTED_VALUE"""),41642.666666666664)</f>
        <v>41642.66667</v>
      </c>
      <c r="B214" s="1">
        <f>IFERROR(__xludf.DUMMYFUNCTION("""COMPUTED_VALUE"""),52.52)</f>
        <v>52.52</v>
      </c>
      <c r="C214" s="1">
        <f>IFERROR(__xludf.DUMMYFUNCTION("""COMPUTED_VALUE"""),52.79)</f>
        <v>52.79</v>
      </c>
      <c r="D214" s="1">
        <f>IFERROR(__xludf.DUMMYFUNCTION("""COMPUTED_VALUE"""),51.29)</f>
        <v>51.29</v>
      </c>
      <c r="E214" s="1">
        <f>IFERROR(__xludf.DUMMYFUNCTION("""COMPUTED_VALUE"""),51.87)</f>
        <v>51.87</v>
      </c>
      <c r="F214" s="1">
        <f>IFERROR(__xludf.DUMMYFUNCTION("""COMPUTED_VALUE"""),6965755.0)</f>
        <v>6965755</v>
      </c>
    </row>
    <row r="215" ht="15.75" customHeight="1">
      <c r="A215" s="10">
        <f>IFERROR(__xludf.DUMMYFUNCTION("""COMPUTED_VALUE"""),41649.666666666664)</f>
        <v>41649.66667</v>
      </c>
      <c r="B215" s="1">
        <f>IFERROR(__xludf.DUMMYFUNCTION("""COMPUTED_VALUE"""),51.89)</f>
        <v>51.89</v>
      </c>
      <c r="C215" s="1">
        <f>IFERROR(__xludf.DUMMYFUNCTION("""COMPUTED_VALUE"""),52.04)</f>
        <v>52.04</v>
      </c>
      <c r="D215" s="1">
        <f>IFERROR(__xludf.DUMMYFUNCTION("""COMPUTED_VALUE"""),47.22)</f>
        <v>47.22</v>
      </c>
      <c r="E215" s="1">
        <f>IFERROR(__xludf.DUMMYFUNCTION("""COMPUTED_VALUE"""),47.45)</f>
        <v>47.45</v>
      </c>
      <c r="F215" s="1">
        <f>IFERROR(__xludf.DUMMYFUNCTION("""COMPUTED_VALUE"""),1.5000016E7)</f>
        <v>15000016</v>
      </c>
    </row>
    <row r="216" ht="15.75" customHeight="1">
      <c r="A216" s="10">
        <f>IFERROR(__xludf.DUMMYFUNCTION("""COMPUTED_VALUE"""),41656.666666666664)</f>
        <v>41656.66667</v>
      </c>
      <c r="B216" s="1">
        <f>IFERROR(__xludf.DUMMYFUNCTION("""COMPUTED_VALUE"""),47.3)</f>
        <v>47.3</v>
      </c>
      <c r="C216" s="1">
        <f>IFERROR(__xludf.DUMMYFUNCTION("""COMPUTED_VALUE"""),49.81)</f>
        <v>49.81</v>
      </c>
      <c r="D216" s="1">
        <f>IFERROR(__xludf.DUMMYFUNCTION("""COMPUTED_VALUE"""),45.58)</f>
        <v>45.58</v>
      </c>
      <c r="E216" s="1">
        <f>IFERROR(__xludf.DUMMYFUNCTION("""COMPUTED_VALUE"""),47.15)</f>
        <v>47.15</v>
      </c>
      <c r="F216" s="1">
        <f>IFERROR(__xludf.DUMMYFUNCTION("""COMPUTED_VALUE"""),1.78674E7)</f>
        <v>17867400</v>
      </c>
    </row>
    <row r="217" ht="15.75" customHeight="1">
      <c r="A217" s="10">
        <f>IFERROR(__xludf.DUMMYFUNCTION("""COMPUTED_VALUE"""),41663.666666666664)</f>
        <v>41663.66667</v>
      </c>
      <c r="B217" s="1">
        <f>IFERROR(__xludf.DUMMYFUNCTION("""COMPUTED_VALUE"""),47.46)</f>
        <v>47.46</v>
      </c>
      <c r="C217" s="1">
        <f>IFERROR(__xludf.DUMMYFUNCTION("""COMPUTED_VALUE"""),56.52)</f>
        <v>56.52</v>
      </c>
      <c r="D217" s="1">
        <f>IFERROR(__xludf.DUMMYFUNCTION("""COMPUTED_VALUE"""),45.75)</f>
        <v>45.75</v>
      </c>
      <c r="E217" s="1">
        <f>IFERROR(__xludf.DUMMYFUNCTION("""COMPUTED_VALUE"""),55.15)</f>
        <v>55.15</v>
      </c>
      <c r="F217" s="1">
        <f>IFERROR(__xludf.DUMMYFUNCTION("""COMPUTED_VALUE"""),2.880642E7)</f>
        <v>28806420</v>
      </c>
    </row>
    <row r="218" ht="15.75" customHeight="1">
      <c r="A218" s="10">
        <f>IFERROR(__xludf.DUMMYFUNCTION("""COMPUTED_VALUE"""),41670.666666666664)</f>
        <v>41670.66667</v>
      </c>
      <c r="B218" s="1">
        <f>IFERROR(__xludf.DUMMYFUNCTION("""COMPUTED_VALUE"""),55.34)</f>
        <v>55.34</v>
      </c>
      <c r="C218" s="1">
        <f>IFERROR(__xludf.DUMMYFUNCTION("""COMPUTED_VALUE"""),58.91)</f>
        <v>58.91</v>
      </c>
      <c r="D218" s="1">
        <f>IFERROR(__xludf.DUMMYFUNCTION("""COMPUTED_VALUE"""),52.94)</f>
        <v>52.94</v>
      </c>
      <c r="E218" s="1">
        <f>IFERROR(__xludf.DUMMYFUNCTION("""COMPUTED_VALUE"""),58.48)</f>
        <v>58.48</v>
      </c>
      <c r="F218" s="1">
        <f>IFERROR(__xludf.DUMMYFUNCTION("""COMPUTED_VALUE"""),2.1059698E7)</f>
        <v>21059698</v>
      </c>
    </row>
    <row r="219" ht="15.75" customHeight="1">
      <c r="A219" s="10">
        <f>IFERROR(__xludf.DUMMYFUNCTION("""COMPUTED_VALUE"""),41677.666666666664)</f>
        <v>41677.66667</v>
      </c>
      <c r="B219" s="1">
        <f>IFERROR(__xludf.DUMMYFUNCTION("""COMPUTED_VALUE"""),58.74)</f>
        <v>58.74</v>
      </c>
      <c r="C219" s="1">
        <f>IFERROR(__xludf.DUMMYFUNCTION("""COMPUTED_VALUE"""),61.5)</f>
        <v>61.5</v>
      </c>
      <c r="D219" s="1">
        <f>IFERROR(__xludf.DUMMYFUNCTION("""COMPUTED_VALUE"""),56.72)</f>
        <v>56.72</v>
      </c>
      <c r="E219" s="1">
        <f>IFERROR(__xludf.DUMMYFUNCTION("""COMPUTED_VALUE"""),61.43)</f>
        <v>61.43</v>
      </c>
      <c r="F219" s="1">
        <f>IFERROR(__xludf.DUMMYFUNCTION("""COMPUTED_VALUE"""),1.4427878E7)</f>
        <v>14427878</v>
      </c>
    </row>
    <row r="220" ht="15.75" customHeight="1">
      <c r="A220" s="10">
        <f>IFERROR(__xludf.DUMMYFUNCTION("""COMPUTED_VALUE"""),41684.666666666664)</f>
        <v>41684.66667</v>
      </c>
      <c r="B220" s="1">
        <f>IFERROR(__xludf.DUMMYFUNCTION("""COMPUTED_VALUE"""),61.35)</f>
        <v>61.35</v>
      </c>
      <c r="C220" s="1">
        <f>IFERROR(__xludf.DUMMYFUNCTION("""COMPUTED_VALUE"""),62.78)</f>
        <v>62.78</v>
      </c>
      <c r="D220" s="1">
        <f>IFERROR(__xludf.DUMMYFUNCTION("""COMPUTED_VALUE"""),60.61)</f>
        <v>60.61</v>
      </c>
      <c r="E220" s="1">
        <f>IFERROR(__xludf.DUMMYFUNCTION("""COMPUTED_VALUE"""),62.22)</f>
        <v>62.22</v>
      </c>
      <c r="F220" s="1">
        <f>IFERROR(__xludf.DUMMYFUNCTION("""COMPUTED_VALUE"""),1.0575266E7)</f>
        <v>10575266</v>
      </c>
    </row>
    <row r="221" ht="15.75" customHeight="1">
      <c r="A221" s="10">
        <f>IFERROR(__xludf.DUMMYFUNCTION("""COMPUTED_VALUE"""),41691.666666666664)</f>
        <v>41691.66667</v>
      </c>
      <c r="B221" s="1">
        <f>IFERROR(__xludf.DUMMYFUNCTION("""COMPUTED_VALUE"""),62.42)</f>
        <v>62.42</v>
      </c>
      <c r="C221" s="1">
        <f>IFERROR(__xludf.DUMMYFUNCTION("""COMPUTED_VALUE"""),63.03)</f>
        <v>63.03</v>
      </c>
      <c r="D221" s="1">
        <f>IFERROR(__xludf.DUMMYFUNCTION("""COMPUTED_VALUE"""),61.14)</f>
        <v>61.14</v>
      </c>
      <c r="E221" s="1">
        <f>IFERROR(__xludf.DUMMYFUNCTION("""COMPUTED_VALUE"""),61.75)</f>
        <v>61.75</v>
      </c>
      <c r="F221" s="1">
        <f>IFERROR(__xludf.DUMMYFUNCTION("""COMPUTED_VALUE"""),8157886.0)</f>
        <v>8157886</v>
      </c>
    </row>
    <row r="222" ht="15.75" customHeight="1">
      <c r="A222" s="10">
        <f>IFERROR(__xludf.DUMMYFUNCTION("""COMPUTED_VALUE"""),41698.666666666664)</f>
        <v>41698.66667</v>
      </c>
      <c r="B222" s="1">
        <f>IFERROR(__xludf.DUMMYFUNCTION("""COMPUTED_VALUE"""),62.14)</f>
        <v>62.14</v>
      </c>
      <c r="C222" s="1">
        <f>IFERROR(__xludf.DUMMYFUNCTION("""COMPUTED_VALUE"""),65.4)</f>
        <v>65.4</v>
      </c>
      <c r="D222" s="1">
        <f>IFERROR(__xludf.DUMMYFUNCTION("""COMPUTED_VALUE"""),61.21)</f>
        <v>61.21</v>
      </c>
      <c r="E222" s="1">
        <f>IFERROR(__xludf.DUMMYFUNCTION("""COMPUTED_VALUE"""),63.66)</f>
        <v>63.66</v>
      </c>
      <c r="F222" s="1">
        <f>IFERROR(__xludf.DUMMYFUNCTION("""COMPUTED_VALUE"""),1.227901E7)</f>
        <v>12279010</v>
      </c>
    </row>
    <row r="223" ht="15.75" customHeight="1">
      <c r="A223" s="10">
        <f>IFERROR(__xludf.DUMMYFUNCTION("""COMPUTED_VALUE"""),41705.666666666664)</f>
        <v>41705.66667</v>
      </c>
      <c r="B223" s="1">
        <f>IFERROR(__xludf.DUMMYFUNCTION("""COMPUTED_VALUE"""),62.94)</f>
        <v>62.94</v>
      </c>
      <c r="C223" s="1">
        <f>IFERROR(__xludf.DUMMYFUNCTION("""COMPUTED_VALUE"""),65.43)</f>
        <v>65.43</v>
      </c>
      <c r="D223" s="1">
        <f>IFERROR(__xludf.DUMMYFUNCTION("""COMPUTED_VALUE"""),62.59)</f>
        <v>62.59</v>
      </c>
      <c r="E223" s="1">
        <f>IFERROR(__xludf.DUMMYFUNCTION("""COMPUTED_VALUE"""),64.05)</f>
        <v>64.05</v>
      </c>
      <c r="F223" s="1">
        <f>IFERROR(__xludf.DUMMYFUNCTION("""COMPUTED_VALUE"""),8603412.0)</f>
        <v>8603412</v>
      </c>
    </row>
    <row r="224" ht="15.75" customHeight="1">
      <c r="A224" s="10">
        <f>IFERROR(__xludf.DUMMYFUNCTION("""COMPUTED_VALUE"""),41712.666666666664)</f>
        <v>41712.66667</v>
      </c>
      <c r="B224" s="1">
        <f>IFERROR(__xludf.DUMMYFUNCTION("""COMPUTED_VALUE"""),64.04)</f>
        <v>64.04</v>
      </c>
      <c r="C224" s="1">
        <f>IFERROR(__xludf.DUMMYFUNCTION("""COMPUTED_VALUE"""),64.11)</f>
        <v>64.11</v>
      </c>
      <c r="D224" s="1">
        <f>IFERROR(__xludf.DUMMYFUNCTION("""COMPUTED_VALUE"""),60.43)</f>
        <v>60.43</v>
      </c>
      <c r="E224" s="1">
        <f>IFERROR(__xludf.DUMMYFUNCTION("""COMPUTED_VALUE"""),60.64)</f>
        <v>60.64</v>
      </c>
      <c r="F224" s="1">
        <f>IFERROR(__xludf.DUMMYFUNCTION("""COMPUTED_VALUE"""),9208698.0)</f>
        <v>9208698</v>
      </c>
    </row>
    <row r="225" ht="15.75" customHeight="1">
      <c r="A225" s="10">
        <f>IFERROR(__xludf.DUMMYFUNCTION("""COMPUTED_VALUE"""),41719.666666666664)</f>
        <v>41719.66667</v>
      </c>
      <c r="B225" s="1">
        <f>IFERROR(__xludf.DUMMYFUNCTION("""COMPUTED_VALUE"""),60.84)</f>
        <v>60.84</v>
      </c>
      <c r="C225" s="1">
        <f>IFERROR(__xludf.DUMMYFUNCTION("""COMPUTED_VALUE"""),61.74)</f>
        <v>61.74</v>
      </c>
      <c r="D225" s="1">
        <f>IFERROR(__xludf.DUMMYFUNCTION("""COMPUTED_VALUE"""),57.96)</f>
        <v>57.96</v>
      </c>
      <c r="E225" s="1">
        <f>IFERROR(__xludf.DUMMYFUNCTION("""COMPUTED_VALUE"""),58.0)</f>
        <v>58</v>
      </c>
      <c r="F225" s="1">
        <f>IFERROR(__xludf.DUMMYFUNCTION("""COMPUTED_VALUE"""),1.1037037E7)</f>
        <v>11037037</v>
      </c>
    </row>
    <row r="226" ht="15.75" customHeight="1">
      <c r="A226" s="10">
        <f>IFERROR(__xludf.DUMMYFUNCTION("""COMPUTED_VALUE"""),41726.666666666664)</f>
        <v>41726.66667</v>
      </c>
      <c r="B226" s="1">
        <f>IFERROR(__xludf.DUMMYFUNCTION("""COMPUTED_VALUE"""),57.92)</f>
        <v>57.92</v>
      </c>
      <c r="C226" s="1">
        <f>IFERROR(__xludf.DUMMYFUNCTION("""COMPUTED_VALUE"""),58.06)</f>
        <v>58.06</v>
      </c>
      <c r="D226" s="1">
        <f>IFERROR(__xludf.DUMMYFUNCTION("""COMPUTED_VALUE"""),50.82)</f>
        <v>50.82</v>
      </c>
      <c r="E226" s="1">
        <f>IFERROR(__xludf.DUMMYFUNCTION("""COMPUTED_VALUE"""),51.27)</f>
        <v>51.27</v>
      </c>
      <c r="F226" s="1">
        <f>IFERROR(__xludf.DUMMYFUNCTION("""COMPUTED_VALUE"""),2.1917171E7)</f>
        <v>21917171</v>
      </c>
    </row>
    <row r="227" ht="15.75" customHeight="1">
      <c r="A227" s="10">
        <f>IFERROR(__xludf.DUMMYFUNCTION("""COMPUTED_VALUE"""),41733.666666666664)</f>
        <v>41733.66667</v>
      </c>
      <c r="B227" s="1">
        <f>IFERROR(__xludf.DUMMYFUNCTION("""COMPUTED_VALUE"""),51.72)</f>
        <v>51.72</v>
      </c>
      <c r="C227" s="1">
        <f>IFERROR(__xludf.DUMMYFUNCTION("""COMPUTED_VALUE"""),53.01)</f>
        <v>53.01</v>
      </c>
      <c r="D227" s="1">
        <f>IFERROR(__xludf.DUMMYFUNCTION("""COMPUTED_VALUE"""),47.98)</f>
        <v>47.98</v>
      </c>
      <c r="E227" s="1">
        <f>IFERROR(__xludf.DUMMYFUNCTION("""COMPUTED_VALUE"""),48.19)</f>
        <v>48.19</v>
      </c>
      <c r="F227" s="1">
        <f>IFERROR(__xludf.DUMMYFUNCTION("""COMPUTED_VALUE"""),1.7809796E7)</f>
        <v>17809796</v>
      </c>
    </row>
    <row r="228" ht="15.75" customHeight="1">
      <c r="A228" s="10">
        <f>IFERROR(__xludf.DUMMYFUNCTION("""COMPUTED_VALUE"""),41740.666666666664)</f>
        <v>41740.66667</v>
      </c>
      <c r="B228" s="1">
        <f>IFERROR(__xludf.DUMMYFUNCTION("""COMPUTED_VALUE"""),48.71)</f>
        <v>48.71</v>
      </c>
      <c r="C228" s="1">
        <f>IFERROR(__xludf.DUMMYFUNCTION("""COMPUTED_VALUE"""),51.07)</f>
        <v>51.07</v>
      </c>
      <c r="D228" s="1">
        <f>IFERROR(__xludf.DUMMYFUNCTION("""COMPUTED_VALUE"""),46.23)</f>
        <v>46.23</v>
      </c>
      <c r="E228" s="1">
        <f>IFERROR(__xludf.DUMMYFUNCTION("""COMPUTED_VALUE"""),46.67)</f>
        <v>46.67</v>
      </c>
      <c r="F228" s="1">
        <f>IFERROR(__xludf.DUMMYFUNCTION("""COMPUTED_VALUE"""),1.9822324E7)</f>
        <v>19822324</v>
      </c>
    </row>
    <row r="229" ht="15.75" customHeight="1">
      <c r="A229" s="10">
        <f>IFERROR(__xludf.DUMMYFUNCTION("""COMPUTED_VALUE"""),41746.666666666664)</f>
        <v>41746.66667</v>
      </c>
      <c r="B229" s="1">
        <f>IFERROR(__xludf.DUMMYFUNCTION("""COMPUTED_VALUE"""),47.56)</f>
        <v>47.56</v>
      </c>
      <c r="C229" s="1">
        <f>IFERROR(__xludf.DUMMYFUNCTION("""COMPUTED_VALUE"""),49.96)</f>
        <v>49.96</v>
      </c>
      <c r="D229" s="1">
        <f>IFERROR(__xludf.DUMMYFUNCTION("""COMPUTED_VALUE"""),44.59)</f>
        <v>44.59</v>
      </c>
      <c r="E229" s="1">
        <f>IFERROR(__xludf.DUMMYFUNCTION("""COMPUTED_VALUE"""),49.39)</f>
        <v>49.39</v>
      </c>
      <c r="F229" s="1">
        <f>IFERROR(__xludf.DUMMYFUNCTION("""COMPUTED_VALUE"""),1.3870344E7)</f>
        <v>13870344</v>
      </c>
    </row>
    <row r="230" ht="15.75" customHeight="1">
      <c r="A230" s="10">
        <f>IFERROR(__xludf.DUMMYFUNCTION("""COMPUTED_VALUE"""),41754.666666666664)</f>
        <v>41754.66667</v>
      </c>
      <c r="B230" s="1">
        <f>IFERROR(__xludf.DUMMYFUNCTION("""COMPUTED_VALUE"""),49.9)</f>
        <v>49.9</v>
      </c>
      <c r="C230" s="1">
        <f>IFERROR(__xludf.DUMMYFUNCTION("""COMPUTED_VALUE"""),54.41)</f>
        <v>54.41</v>
      </c>
      <c r="D230" s="1">
        <f>IFERROR(__xludf.DUMMYFUNCTION("""COMPUTED_VALUE"""),46.0)</f>
        <v>46</v>
      </c>
      <c r="E230" s="1">
        <f>IFERROR(__xludf.DUMMYFUNCTION("""COMPUTED_VALUE"""),46.01)</f>
        <v>46.01</v>
      </c>
      <c r="F230" s="1">
        <f>IFERROR(__xludf.DUMMYFUNCTION("""COMPUTED_VALUE"""),3.0959333E7)</f>
        <v>30959333</v>
      </c>
    </row>
    <row r="231" ht="15.75" customHeight="1">
      <c r="A231" s="10">
        <f>IFERROR(__xludf.DUMMYFUNCTION("""COMPUTED_VALUE"""),41761.666666666664)</f>
        <v>41761.66667</v>
      </c>
      <c r="B231" s="1">
        <f>IFERROR(__xludf.DUMMYFUNCTION("""COMPUTED_VALUE"""),45.44)</f>
        <v>45.44</v>
      </c>
      <c r="C231" s="1">
        <f>IFERROR(__xludf.DUMMYFUNCTION("""COMPUTED_VALUE"""),49.38)</f>
        <v>49.38</v>
      </c>
      <c r="D231" s="1">
        <f>IFERROR(__xludf.DUMMYFUNCTION("""COMPUTED_VALUE"""),42.79)</f>
        <v>42.79</v>
      </c>
      <c r="E231" s="1">
        <f>IFERROR(__xludf.DUMMYFUNCTION("""COMPUTED_VALUE"""),48.66)</f>
        <v>48.66</v>
      </c>
      <c r="F231" s="1">
        <f>IFERROR(__xludf.DUMMYFUNCTION("""COMPUTED_VALUE"""),2.2447872E7)</f>
        <v>22447872</v>
      </c>
    </row>
    <row r="232" ht="15.75" customHeight="1">
      <c r="A232" s="10">
        <f>IFERROR(__xludf.DUMMYFUNCTION("""COMPUTED_VALUE"""),41768.666666666664)</f>
        <v>41768.66667</v>
      </c>
      <c r="B232" s="1">
        <f>IFERROR(__xludf.DUMMYFUNCTION("""COMPUTED_VALUE"""),48.33)</f>
        <v>48.33</v>
      </c>
      <c r="C232" s="1">
        <f>IFERROR(__xludf.DUMMYFUNCTION("""COMPUTED_VALUE"""),49.67)</f>
        <v>49.67</v>
      </c>
      <c r="D232" s="1">
        <f>IFERROR(__xludf.DUMMYFUNCTION("""COMPUTED_VALUE"""),44.91)</f>
        <v>44.91</v>
      </c>
      <c r="E232" s="1">
        <f>IFERROR(__xludf.DUMMYFUNCTION("""COMPUTED_VALUE"""),46.94)</f>
        <v>46.94</v>
      </c>
      <c r="F232" s="1">
        <f>IFERROR(__xludf.DUMMYFUNCTION("""COMPUTED_VALUE"""),1.5413223E7)</f>
        <v>15413223</v>
      </c>
    </row>
    <row r="233" ht="15.75" customHeight="1">
      <c r="A233" s="10">
        <f>IFERROR(__xludf.DUMMYFUNCTION("""COMPUTED_VALUE"""),41775.666666666664)</f>
        <v>41775.66667</v>
      </c>
      <c r="B233" s="1">
        <f>IFERROR(__xludf.DUMMYFUNCTION("""COMPUTED_VALUE"""),47.25)</f>
        <v>47.25</v>
      </c>
      <c r="C233" s="1">
        <f>IFERROR(__xludf.DUMMYFUNCTION("""COMPUTED_VALUE"""),50.63)</f>
        <v>50.63</v>
      </c>
      <c r="D233" s="1">
        <f>IFERROR(__xludf.DUMMYFUNCTION("""COMPUTED_VALUE"""),47.22)</f>
        <v>47.22</v>
      </c>
      <c r="E233" s="1">
        <f>IFERROR(__xludf.DUMMYFUNCTION("""COMPUTED_VALUE"""),49.98)</f>
        <v>49.98</v>
      </c>
      <c r="F233" s="1">
        <f>IFERROR(__xludf.DUMMYFUNCTION("""COMPUTED_VALUE"""),1.4942083E7)</f>
        <v>14942083</v>
      </c>
    </row>
    <row r="234" ht="15.75" customHeight="1">
      <c r="A234" s="10">
        <f>IFERROR(__xludf.DUMMYFUNCTION("""COMPUTED_VALUE"""),41782.666666666664)</f>
        <v>41782.66667</v>
      </c>
      <c r="B234" s="1">
        <f>IFERROR(__xludf.DUMMYFUNCTION("""COMPUTED_VALUE"""),49.57)</f>
        <v>49.57</v>
      </c>
      <c r="C234" s="1">
        <f>IFERROR(__xludf.DUMMYFUNCTION("""COMPUTED_VALUE"""),57.5)</f>
        <v>57.5</v>
      </c>
      <c r="D234" s="1">
        <f>IFERROR(__xludf.DUMMYFUNCTION("""COMPUTED_VALUE"""),49.51)</f>
        <v>49.51</v>
      </c>
      <c r="E234" s="1">
        <f>IFERROR(__xludf.DUMMYFUNCTION("""COMPUTED_VALUE"""),57.48)</f>
        <v>57.48</v>
      </c>
      <c r="F234" s="1">
        <f>IFERROR(__xludf.DUMMYFUNCTION("""COMPUTED_VALUE"""),2.1371951E7)</f>
        <v>21371951</v>
      </c>
    </row>
    <row r="235" ht="15.75" customHeight="1">
      <c r="A235" s="10">
        <f>IFERROR(__xludf.DUMMYFUNCTION("""COMPUTED_VALUE"""),41789.666666666664)</f>
        <v>41789.66667</v>
      </c>
      <c r="B235" s="1">
        <f>IFERROR(__xludf.DUMMYFUNCTION("""COMPUTED_VALUE"""),57.36)</f>
        <v>57.36</v>
      </c>
      <c r="C235" s="1">
        <f>IFERROR(__xludf.DUMMYFUNCTION("""COMPUTED_VALUE"""),60.25)</f>
        <v>60.25</v>
      </c>
      <c r="D235" s="1">
        <f>IFERROR(__xludf.DUMMYFUNCTION("""COMPUTED_VALUE"""),56.16)</f>
        <v>56.16</v>
      </c>
      <c r="E235" s="1">
        <f>IFERROR(__xludf.DUMMYFUNCTION("""COMPUTED_VALUE"""),59.69)</f>
        <v>59.69</v>
      </c>
      <c r="F235" s="1">
        <f>IFERROR(__xludf.DUMMYFUNCTION("""COMPUTED_VALUE"""),1.4107223E7)</f>
        <v>14107223</v>
      </c>
    </row>
    <row r="236" ht="15.75" customHeight="1">
      <c r="A236" s="10">
        <f>IFERROR(__xludf.DUMMYFUNCTION("""COMPUTED_VALUE"""),41796.666666666664)</f>
        <v>41796.66667</v>
      </c>
      <c r="B236" s="1">
        <f>IFERROR(__xludf.DUMMYFUNCTION("""COMPUTED_VALUE"""),59.93)</f>
        <v>59.93</v>
      </c>
      <c r="C236" s="1">
        <f>IFERROR(__xludf.DUMMYFUNCTION("""COMPUTED_VALUE"""),62.13)</f>
        <v>62.13</v>
      </c>
      <c r="D236" s="1">
        <f>IFERROR(__xludf.DUMMYFUNCTION("""COMPUTED_VALUE"""),58.93)</f>
        <v>58.93</v>
      </c>
      <c r="E236" s="1">
        <f>IFERROR(__xludf.DUMMYFUNCTION("""COMPUTED_VALUE"""),61.45)</f>
        <v>61.45</v>
      </c>
      <c r="F236" s="1">
        <f>IFERROR(__xludf.DUMMYFUNCTION("""COMPUTED_VALUE"""),1.2823902E7)</f>
        <v>12823902</v>
      </c>
    </row>
    <row r="237" ht="15.75" customHeight="1">
      <c r="A237" s="10">
        <f>IFERROR(__xludf.DUMMYFUNCTION("""COMPUTED_VALUE"""),41803.666666666664)</f>
        <v>41803.66667</v>
      </c>
      <c r="B237" s="1">
        <f>IFERROR(__xludf.DUMMYFUNCTION("""COMPUTED_VALUE"""),61.35)</f>
        <v>61.35</v>
      </c>
      <c r="C237" s="1">
        <f>IFERROR(__xludf.DUMMYFUNCTION("""COMPUTED_VALUE"""),62.29)</f>
        <v>62.29</v>
      </c>
      <c r="D237" s="1">
        <f>IFERROR(__xludf.DUMMYFUNCTION("""COMPUTED_VALUE"""),59.6)</f>
        <v>59.6</v>
      </c>
      <c r="E237" s="1">
        <f>IFERROR(__xludf.DUMMYFUNCTION("""COMPUTED_VALUE"""),61.1)</f>
        <v>61.1</v>
      </c>
      <c r="F237" s="1">
        <f>IFERROR(__xludf.DUMMYFUNCTION("""COMPUTED_VALUE"""),1.2147628E7)</f>
        <v>12147628</v>
      </c>
    </row>
    <row r="238" ht="15.75" customHeight="1">
      <c r="A238" s="10">
        <f>IFERROR(__xludf.DUMMYFUNCTION("""COMPUTED_VALUE"""),41810.666666666664)</f>
        <v>41810.66667</v>
      </c>
      <c r="B238" s="1">
        <f>IFERROR(__xludf.DUMMYFUNCTION("""COMPUTED_VALUE"""),60.93)</f>
        <v>60.93</v>
      </c>
      <c r="C238" s="1">
        <f>IFERROR(__xludf.DUMMYFUNCTION("""COMPUTED_VALUE"""),64.4)</f>
        <v>64.4</v>
      </c>
      <c r="D238" s="1">
        <f>IFERROR(__xludf.DUMMYFUNCTION("""COMPUTED_VALUE"""),60.49)</f>
        <v>60.49</v>
      </c>
      <c r="E238" s="1">
        <f>IFERROR(__xludf.DUMMYFUNCTION("""COMPUTED_VALUE"""),62.88)</f>
        <v>62.88</v>
      </c>
      <c r="F238" s="1">
        <f>IFERROR(__xludf.DUMMYFUNCTION("""COMPUTED_VALUE"""),1.2990774E7)</f>
        <v>12990774</v>
      </c>
    </row>
    <row r="239" ht="15.75" customHeight="1">
      <c r="A239" s="10">
        <f>IFERROR(__xludf.DUMMYFUNCTION("""COMPUTED_VALUE"""),41817.666666666664)</f>
        <v>41817.66667</v>
      </c>
      <c r="B239" s="1">
        <f>IFERROR(__xludf.DUMMYFUNCTION("""COMPUTED_VALUE"""),62.77)</f>
        <v>62.77</v>
      </c>
      <c r="C239" s="1">
        <f>IFERROR(__xludf.DUMMYFUNCTION("""COMPUTED_VALUE"""),64.28)</f>
        <v>64.28</v>
      </c>
      <c r="D239" s="1">
        <f>IFERROR(__xludf.DUMMYFUNCTION("""COMPUTED_VALUE"""),61.9)</f>
        <v>61.9</v>
      </c>
      <c r="E239" s="1">
        <f>IFERROR(__xludf.DUMMYFUNCTION("""COMPUTED_VALUE"""),63.15)</f>
        <v>63.15</v>
      </c>
      <c r="F239" s="1">
        <f>IFERROR(__xludf.DUMMYFUNCTION("""COMPUTED_VALUE"""),1.0956106E7)</f>
        <v>10956106</v>
      </c>
    </row>
    <row r="240" ht="15.75" customHeight="1">
      <c r="A240" s="10">
        <f>IFERROR(__xludf.DUMMYFUNCTION("""COMPUTED_VALUE"""),41823.666666666664)</f>
        <v>41823.66667</v>
      </c>
      <c r="B240" s="1">
        <f>IFERROR(__xludf.DUMMYFUNCTION("""COMPUTED_VALUE"""),63.27)</f>
        <v>63.27</v>
      </c>
      <c r="C240" s="1">
        <f>IFERROR(__xludf.DUMMYFUNCTION("""COMPUTED_VALUE"""),67.98)</f>
        <v>67.98</v>
      </c>
      <c r="D240" s="1">
        <f>IFERROR(__xludf.DUMMYFUNCTION("""COMPUTED_VALUE"""),62.81)</f>
        <v>62.81</v>
      </c>
      <c r="E240" s="1">
        <f>IFERROR(__xludf.DUMMYFUNCTION("""COMPUTED_VALUE"""),67.48)</f>
        <v>67.48</v>
      </c>
      <c r="F240" s="1">
        <f>IFERROR(__xludf.DUMMYFUNCTION("""COMPUTED_VALUE"""),1.104787E7)</f>
        <v>11047870</v>
      </c>
    </row>
    <row r="241" ht="15.75" customHeight="1">
      <c r="A241" s="10">
        <f>IFERROR(__xludf.DUMMYFUNCTION("""COMPUTED_VALUE"""),41831.666666666664)</f>
        <v>41831.66667</v>
      </c>
      <c r="B241" s="1">
        <f>IFERROR(__xludf.DUMMYFUNCTION("""COMPUTED_VALUE"""),67.44)</f>
        <v>67.44</v>
      </c>
      <c r="C241" s="1">
        <f>IFERROR(__xludf.DUMMYFUNCTION("""COMPUTED_VALUE"""),67.46)</f>
        <v>67.46</v>
      </c>
      <c r="D241" s="1">
        <f>IFERROR(__xludf.DUMMYFUNCTION("""COMPUTED_VALUE"""),61.17)</f>
        <v>61.17</v>
      </c>
      <c r="E241" s="1">
        <f>IFERROR(__xludf.DUMMYFUNCTION("""COMPUTED_VALUE"""),62.85)</f>
        <v>62.85</v>
      </c>
      <c r="F241" s="1">
        <f>IFERROR(__xludf.DUMMYFUNCTION("""COMPUTED_VALUE"""),1.4884409E7)</f>
        <v>14884409</v>
      </c>
    </row>
    <row r="242" ht="15.75" customHeight="1">
      <c r="A242" s="10">
        <f>IFERROR(__xludf.DUMMYFUNCTION("""COMPUTED_VALUE"""),41838.666666666664)</f>
        <v>41838.66667</v>
      </c>
      <c r="B242" s="1">
        <f>IFERROR(__xludf.DUMMYFUNCTION("""COMPUTED_VALUE"""),63.33)</f>
        <v>63.33</v>
      </c>
      <c r="C242" s="1">
        <f>IFERROR(__xludf.DUMMYFUNCTION("""COMPUTED_VALUE"""),65.1)</f>
        <v>65.1</v>
      </c>
      <c r="D242" s="1">
        <f>IFERROR(__xludf.DUMMYFUNCTION("""COMPUTED_VALUE"""),62.25)</f>
        <v>62.25</v>
      </c>
      <c r="E242" s="1">
        <f>IFERROR(__xludf.DUMMYFUNCTION("""COMPUTED_VALUE"""),63.45)</f>
        <v>63.45</v>
      </c>
      <c r="F242" s="1">
        <f>IFERROR(__xludf.DUMMYFUNCTION("""COMPUTED_VALUE"""),9922755.0)</f>
        <v>9922755</v>
      </c>
    </row>
    <row r="243" ht="15.75" customHeight="1">
      <c r="A243" s="10">
        <f>IFERROR(__xludf.DUMMYFUNCTION("""COMPUTED_VALUE"""),41845.666666666664)</f>
        <v>41845.66667</v>
      </c>
      <c r="B243" s="1">
        <f>IFERROR(__xludf.DUMMYFUNCTION("""COMPUTED_VALUE"""),64.52)</f>
        <v>64.52</v>
      </c>
      <c r="C243" s="1">
        <f>IFERROR(__xludf.DUMMYFUNCTION("""COMPUTED_VALUE"""),65.36)</f>
        <v>65.36</v>
      </c>
      <c r="D243" s="1">
        <f>IFERROR(__xludf.DUMMYFUNCTION("""COMPUTED_VALUE"""),59.86)</f>
        <v>59.86</v>
      </c>
      <c r="E243" s="1">
        <f>IFERROR(__xludf.DUMMYFUNCTION("""COMPUTED_VALUE"""),60.27)</f>
        <v>60.27</v>
      </c>
      <c r="F243" s="1">
        <f>IFERROR(__xludf.DUMMYFUNCTION("""COMPUTED_VALUE"""),1.9911667E7)</f>
        <v>19911667</v>
      </c>
    </row>
    <row r="244" ht="15.75" customHeight="1">
      <c r="A244" s="10">
        <f>IFERROR(__xludf.DUMMYFUNCTION("""COMPUTED_VALUE"""),41852.666666666664)</f>
        <v>41852.66667</v>
      </c>
      <c r="B244" s="1">
        <f>IFERROR(__xludf.DUMMYFUNCTION("""COMPUTED_VALUE"""),60.32)</f>
        <v>60.32</v>
      </c>
      <c r="C244" s="1">
        <f>IFERROR(__xludf.DUMMYFUNCTION("""COMPUTED_VALUE"""),62.18)</f>
        <v>62.18</v>
      </c>
      <c r="D244" s="1">
        <f>IFERROR(__xludf.DUMMYFUNCTION("""COMPUTED_VALUE"""),58.93)</f>
        <v>58.93</v>
      </c>
      <c r="E244" s="1">
        <f>IFERROR(__xludf.DUMMYFUNCTION("""COMPUTED_VALUE"""),60.77)</f>
        <v>60.77</v>
      </c>
      <c r="F244" s="1">
        <f>IFERROR(__xludf.DUMMYFUNCTION("""COMPUTED_VALUE"""),9904495.0)</f>
        <v>9904495</v>
      </c>
    </row>
    <row r="245" ht="15.75" customHeight="1">
      <c r="A245" s="10">
        <f>IFERROR(__xludf.DUMMYFUNCTION("""COMPUTED_VALUE"""),41859.666666666664)</f>
        <v>41859.66667</v>
      </c>
      <c r="B245" s="1">
        <f>IFERROR(__xludf.DUMMYFUNCTION("""COMPUTED_VALUE"""),61.03)</f>
        <v>61.03</v>
      </c>
      <c r="C245" s="1">
        <f>IFERROR(__xludf.DUMMYFUNCTION("""COMPUTED_VALUE"""),64.42)</f>
        <v>64.42</v>
      </c>
      <c r="D245" s="1">
        <f>IFERROR(__xludf.DUMMYFUNCTION("""COMPUTED_VALUE"""),60.04)</f>
        <v>60.04</v>
      </c>
      <c r="E245" s="1">
        <f>IFERROR(__xludf.DUMMYFUNCTION("""COMPUTED_VALUE"""),63.69)</f>
        <v>63.69</v>
      </c>
      <c r="F245" s="1">
        <f>IFERROR(__xludf.DUMMYFUNCTION("""COMPUTED_VALUE"""),1.1434529E7)</f>
        <v>11434529</v>
      </c>
    </row>
    <row r="246" ht="15.75" customHeight="1">
      <c r="A246" s="10">
        <f>IFERROR(__xludf.DUMMYFUNCTION("""COMPUTED_VALUE"""),41866.666666666664)</f>
        <v>41866.66667</v>
      </c>
      <c r="B246" s="1">
        <f>IFERROR(__xludf.DUMMYFUNCTION("""COMPUTED_VALUE"""),64.17)</f>
        <v>64.17</v>
      </c>
      <c r="C246" s="1">
        <f>IFERROR(__xludf.DUMMYFUNCTION("""COMPUTED_VALUE"""),66.0)</f>
        <v>66</v>
      </c>
      <c r="D246" s="1">
        <f>IFERROR(__xludf.DUMMYFUNCTION("""COMPUTED_VALUE"""),63.34)</f>
        <v>63.34</v>
      </c>
      <c r="E246" s="1">
        <f>IFERROR(__xludf.DUMMYFUNCTION("""COMPUTED_VALUE"""),65.58)</f>
        <v>65.58</v>
      </c>
      <c r="F246" s="1">
        <f>IFERROR(__xludf.DUMMYFUNCTION("""COMPUTED_VALUE"""),8842332.0)</f>
        <v>8842332</v>
      </c>
    </row>
    <row r="247" ht="15.75" customHeight="1">
      <c r="A247" s="10">
        <f>IFERROR(__xludf.DUMMYFUNCTION("""COMPUTED_VALUE"""),41873.666666666664)</f>
        <v>41873.66667</v>
      </c>
      <c r="B247" s="1">
        <f>IFERROR(__xludf.DUMMYFUNCTION("""COMPUTED_VALUE"""),66.01)</f>
        <v>66.01</v>
      </c>
      <c r="C247" s="1">
        <f>IFERROR(__xludf.DUMMYFUNCTION("""COMPUTED_VALUE"""),68.51)</f>
        <v>68.51</v>
      </c>
      <c r="D247" s="1">
        <f>IFERROR(__xludf.DUMMYFUNCTION("""COMPUTED_VALUE"""),65.89)</f>
        <v>65.89</v>
      </c>
      <c r="E247" s="1">
        <f>IFERROR(__xludf.DUMMYFUNCTION("""COMPUTED_VALUE"""),68.46)</f>
        <v>68.46</v>
      </c>
      <c r="F247" s="1">
        <f>IFERROR(__xludf.DUMMYFUNCTION("""COMPUTED_VALUE"""),8871386.0)</f>
        <v>8871386</v>
      </c>
    </row>
    <row r="248" ht="15.75" customHeight="1">
      <c r="A248" s="10">
        <f>IFERROR(__xludf.DUMMYFUNCTION("""COMPUTED_VALUE"""),41880.666666666664)</f>
        <v>41880.66667</v>
      </c>
      <c r="B248" s="1">
        <f>IFERROR(__xludf.DUMMYFUNCTION("""COMPUTED_VALUE"""),68.79)</f>
        <v>68.79</v>
      </c>
      <c r="C248" s="1">
        <f>IFERROR(__xludf.DUMMYFUNCTION("""COMPUTED_VALUE"""),69.33)</f>
        <v>69.33</v>
      </c>
      <c r="D248" s="1">
        <f>IFERROR(__xludf.DUMMYFUNCTION("""COMPUTED_VALUE"""),67.26)</f>
        <v>67.26</v>
      </c>
      <c r="E248" s="1">
        <f>IFERROR(__xludf.DUMMYFUNCTION("""COMPUTED_VALUE"""),68.23)</f>
        <v>68.23</v>
      </c>
      <c r="F248" s="1">
        <f>IFERROR(__xludf.DUMMYFUNCTION("""COMPUTED_VALUE"""),7356921.0)</f>
        <v>7356921</v>
      </c>
    </row>
    <row r="249" ht="15.75" customHeight="1">
      <c r="A249" s="10">
        <f>IFERROR(__xludf.DUMMYFUNCTION("""COMPUTED_VALUE"""),41887.666666666664)</f>
        <v>41887.66667</v>
      </c>
      <c r="B249" s="1">
        <f>IFERROR(__xludf.DUMMYFUNCTION("""COMPUTED_VALUE"""),68.31)</f>
        <v>68.31</v>
      </c>
      <c r="C249" s="1">
        <f>IFERROR(__xludf.DUMMYFUNCTION("""COMPUTED_VALUE"""),69.66)</f>
        <v>69.66</v>
      </c>
      <c r="D249" s="1">
        <f>IFERROR(__xludf.DUMMYFUNCTION("""COMPUTED_VALUE"""),67.15)</f>
        <v>67.15</v>
      </c>
      <c r="E249" s="1">
        <f>IFERROR(__xludf.DUMMYFUNCTION("""COMPUTED_VALUE"""),67.95)</f>
        <v>67.95</v>
      </c>
      <c r="F249" s="1">
        <f>IFERROR(__xludf.DUMMYFUNCTION("""COMPUTED_VALUE"""),6996815.0)</f>
        <v>6996815</v>
      </c>
    </row>
    <row r="250" ht="15.75" customHeight="1">
      <c r="A250" s="10">
        <f>IFERROR(__xludf.DUMMYFUNCTION("""COMPUTED_VALUE"""),41894.666666666664)</f>
        <v>41894.66667</v>
      </c>
      <c r="B250" s="1">
        <f>IFERROR(__xludf.DUMMYFUNCTION("""COMPUTED_VALUE"""),67.77)</f>
        <v>67.77</v>
      </c>
      <c r="C250" s="1">
        <f>IFERROR(__xludf.DUMMYFUNCTION("""COMPUTED_VALUE"""),69.9)</f>
        <v>69.9</v>
      </c>
      <c r="D250" s="1">
        <f>IFERROR(__xludf.DUMMYFUNCTION("""COMPUTED_VALUE"""),67.74)</f>
        <v>67.74</v>
      </c>
      <c r="E250" s="1">
        <f>IFERROR(__xludf.DUMMYFUNCTION("""COMPUTED_VALUE"""),68.08)</f>
        <v>68.08</v>
      </c>
      <c r="F250" s="1">
        <f>IFERROR(__xludf.DUMMYFUNCTION("""COMPUTED_VALUE"""),8263346.0)</f>
        <v>8263346</v>
      </c>
    </row>
    <row r="251" ht="15.75" customHeight="1">
      <c r="A251" s="10">
        <f>IFERROR(__xludf.DUMMYFUNCTION("""COMPUTED_VALUE"""),41901.666666666664)</f>
        <v>41901.66667</v>
      </c>
      <c r="B251" s="1">
        <f>IFERROR(__xludf.DUMMYFUNCTION("""COMPUTED_VALUE"""),68.22)</f>
        <v>68.22</v>
      </c>
      <c r="C251" s="1">
        <f>IFERROR(__xludf.DUMMYFUNCTION("""COMPUTED_VALUE"""),68.22)</f>
        <v>68.22</v>
      </c>
      <c r="D251" s="1">
        <f>IFERROR(__xludf.DUMMYFUNCTION("""COMPUTED_VALUE"""),63.66)</f>
        <v>63.66</v>
      </c>
      <c r="E251" s="1">
        <f>IFERROR(__xludf.DUMMYFUNCTION("""COMPUTED_VALUE"""),65.36)</f>
        <v>65.36</v>
      </c>
      <c r="F251" s="1">
        <f>IFERROR(__xludf.DUMMYFUNCTION("""COMPUTED_VALUE"""),1.1741505E7)</f>
        <v>11741505</v>
      </c>
    </row>
    <row r="252" ht="15.75" customHeight="1">
      <c r="A252" s="10">
        <f>IFERROR(__xludf.DUMMYFUNCTION("""COMPUTED_VALUE"""),41908.666666666664)</f>
        <v>41908.66667</v>
      </c>
      <c r="B252" s="1">
        <f>IFERROR(__xludf.DUMMYFUNCTION("""COMPUTED_VALUE"""),65.21)</f>
        <v>65.21</v>
      </c>
      <c r="C252" s="1">
        <f>IFERROR(__xludf.DUMMYFUNCTION("""COMPUTED_VALUE"""),65.28)</f>
        <v>65.28</v>
      </c>
      <c r="D252" s="1">
        <f>IFERROR(__xludf.DUMMYFUNCTION("""COMPUTED_VALUE"""),62.7)</f>
        <v>62.7</v>
      </c>
      <c r="E252" s="1">
        <f>IFERROR(__xludf.DUMMYFUNCTION("""COMPUTED_VALUE"""),64.11)</f>
        <v>64.11</v>
      </c>
      <c r="F252" s="1">
        <f>IFERROR(__xludf.DUMMYFUNCTION("""COMPUTED_VALUE"""),8209391.0)</f>
        <v>8209391</v>
      </c>
    </row>
    <row r="253" ht="15.75" customHeight="1">
      <c r="A253" s="10">
        <f>IFERROR(__xludf.DUMMYFUNCTION("""COMPUTED_VALUE"""),41915.666666666664)</f>
        <v>41915.66667</v>
      </c>
      <c r="B253" s="1">
        <f>IFERROR(__xludf.DUMMYFUNCTION("""COMPUTED_VALUE"""),63.36)</f>
        <v>63.36</v>
      </c>
      <c r="C253" s="1">
        <f>IFERROR(__xludf.DUMMYFUNCTION("""COMPUTED_VALUE"""),65.8)</f>
        <v>65.8</v>
      </c>
      <c r="D253" s="1">
        <f>IFERROR(__xludf.DUMMYFUNCTION("""COMPUTED_VALUE"""),62.47)</f>
        <v>62.47</v>
      </c>
      <c r="E253" s="1">
        <f>IFERROR(__xludf.DUMMYFUNCTION("""COMPUTED_VALUE"""),65.65)</f>
        <v>65.65</v>
      </c>
      <c r="F253" s="1">
        <f>IFERROR(__xludf.DUMMYFUNCTION("""COMPUTED_VALUE"""),1.0166175E7)</f>
        <v>10166175</v>
      </c>
    </row>
    <row r="254" ht="15.75" customHeight="1">
      <c r="A254" s="10">
        <f>IFERROR(__xludf.DUMMYFUNCTION("""COMPUTED_VALUE"""),41922.666666666664)</f>
        <v>41922.66667</v>
      </c>
      <c r="B254" s="1">
        <f>IFERROR(__xludf.DUMMYFUNCTION("""COMPUTED_VALUE"""),65.96)</f>
        <v>65.96</v>
      </c>
      <c r="C254" s="1">
        <f>IFERROR(__xludf.DUMMYFUNCTION("""COMPUTED_VALUE"""),66.86)</f>
        <v>66.86</v>
      </c>
      <c r="D254" s="1">
        <f>IFERROR(__xludf.DUMMYFUNCTION("""COMPUTED_VALUE"""),64.48)</f>
        <v>64.48</v>
      </c>
      <c r="E254" s="1">
        <f>IFERROR(__xludf.DUMMYFUNCTION("""COMPUTED_VALUE"""),64.58)</f>
        <v>64.58</v>
      </c>
      <c r="F254" s="1">
        <f>IFERROR(__xludf.DUMMYFUNCTION("""COMPUTED_VALUE"""),1.0838807E7)</f>
        <v>10838807</v>
      </c>
    </row>
    <row r="255" ht="15.75" customHeight="1">
      <c r="A255" s="10">
        <f>IFERROR(__xludf.DUMMYFUNCTION("""COMPUTED_VALUE"""),41929.666666666664)</f>
        <v>41929.66667</v>
      </c>
      <c r="B255" s="1">
        <f>IFERROR(__xludf.DUMMYFUNCTION("""COMPUTED_VALUE"""),64.46)</f>
        <v>64.46</v>
      </c>
      <c r="C255" s="1">
        <f>IFERROR(__xludf.DUMMYFUNCTION("""COMPUTED_VALUE"""),64.64)</f>
        <v>64.64</v>
      </c>
      <c r="D255" s="1">
        <f>IFERROR(__xludf.DUMMYFUNCTION("""COMPUTED_VALUE"""),47.29)</f>
        <v>47.29</v>
      </c>
      <c r="E255" s="1">
        <f>IFERROR(__xludf.DUMMYFUNCTION("""COMPUTED_VALUE"""),51.01)</f>
        <v>51.01</v>
      </c>
      <c r="F255" s="1">
        <f>IFERROR(__xludf.DUMMYFUNCTION("""COMPUTED_VALUE"""),3.8344151E7)</f>
        <v>38344151</v>
      </c>
    </row>
    <row r="256" ht="15.75" customHeight="1">
      <c r="A256" s="10">
        <f>IFERROR(__xludf.DUMMYFUNCTION("""COMPUTED_VALUE"""),41936.666666666664)</f>
        <v>41936.66667</v>
      </c>
      <c r="B256" s="1">
        <f>IFERROR(__xludf.DUMMYFUNCTION("""COMPUTED_VALUE"""),50.86)</f>
        <v>50.86</v>
      </c>
      <c r="C256" s="1">
        <f>IFERROR(__xludf.DUMMYFUNCTION("""COMPUTED_VALUE"""),55.29)</f>
        <v>55.29</v>
      </c>
      <c r="D256" s="1">
        <f>IFERROR(__xludf.DUMMYFUNCTION("""COMPUTED_VALUE"""),50.78)</f>
        <v>50.78</v>
      </c>
      <c r="E256" s="1">
        <f>IFERROR(__xludf.DUMMYFUNCTION("""COMPUTED_VALUE"""),55.0)</f>
        <v>55</v>
      </c>
      <c r="F256" s="1">
        <f>IFERROR(__xludf.DUMMYFUNCTION("""COMPUTED_VALUE"""),1.7099472E7)</f>
        <v>17099472</v>
      </c>
    </row>
    <row r="257" ht="15.75" customHeight="1">
      <c r="A257" s="10">
        <f>IFERROR(__xludf.DUMMYFUNCTION("""COMPUTED_VALUE"""),41943.666666666664)</f>
        <v>41943.66667</v>
      </c>
      <c r="B257" s="1">
        <f>IFERROR(__xludf.DUMMYFUNCTION("""COMPUTED_VALUE"""),54.84)</f>
        <v>54.84</v>
      </c>
      <c r="C257" s="1">
        <f>IFERROR(__xludf.DUMMYFUNCTION("""COMPUTED_VALUE"""),56.25)</f>
        <v>56.25</v>
      </c>
      <c r="D257" s="1">
        <f>IFERROR(__xludf.DUMMYFUNCTION("""COMPUTED_VALUE"""),53.51)</f>
        <v>53.51</v>
      </c>
      <c r="E257" s="1">
        <f>IFERROR(__xludf.DUMMYFUNCTION("""COMPUTED_VALUE"""),56.11)</f>
        <v>56.11</v>
      </c>
      <c r="F257" s="1">
        <f>IFERROR(__xludf.DUMMYFUNCTION("""COMPUTED_VALUE"""),1.0048955E7)</f>
        <v>10048955</v>
      </c>
    </row>
    <row r="258" ht="15.75" customHeight="1">
      <c r="A258" s="10">
        <f>IFERROR(__xludf.DUMMYFUNCTION("""COMPUTED_VALUE"""),41950.666666666664)</f>
        <v>41950.66667</v>
      </c>
      <c r="B258" s="1">
        <f>IFERROR(__xludf.DUMMYFUNCTION("""COMPUTED_VALUE"""),56.18)</f>
        <v>56.18</v>
      </c>
      <c r="C258" s="1">
        <f>IFERROR(__xludf.DUMMYFUNCTION("""COMPUTED_VALUE"""),56.5)</f>
        <v>56.5</v>
      </c>
      <c r="D258" s="1">
        <f>IFERROR(__xludf.DUMMYFUNCTION("""COMPUTED_VALUE"""),53.77)</f>
        <v>53.77</v>
      </c>
      <c r="E258" s="1">
        <f>IFERROR(__xludf.DUMMYFUNCTION("""COMPUTED_VALUE"""),54.88)</f>
        <v>54.88</v>
      </c>
      <c r="F258" s="1">
        <f>IFERROR(__xludf.DUMMYFUNCTION("""COMPUTED_VALUE"""),8848555.0)</f>
        <v>8848555</v>
      </c>
    </row>
    <row r="259" ht="15.75" customHeight="1">
      <c r="A259" s="10">
        <f>IFERROR(__xludf.DUMMYFUNCTION("""COMPUTED_VALUE"""),41957.66666666667)</f>
        <v>41957.66667</v>
      </c>
      <c r="B259" s="1">
        <f>IFERROR(__xludf.DUMMYFUNCTION("""COMPUTED_VALUE"""),54.76)</f>
        <v>54.76</v>
      </c>
      <c r="C259" s="1">
        <f>IFERROR(__xludf.DUMMYFUNCTION("""COMPUTED_VALUE"""),56.3)</f>
        <v>56.3</v>
      </c>
      <c r="D259" s="1">
        <f>IFERROR(__xludf.DUMMYFUNCTION("""COMPUTED_VALUE"""),53.86)</f>
        <v>53.86</v>
      </c>
      <c r="E259" s="1">
        <f>IFERROR(__xludf.DUMMYFUNCTION("""COMPUTED_VALUE"""),55.15)</f>
        <v>55.15</v>
      </c>
      <c r="F259" s="1">
        <f>IFERROR(__xludf.DUMMYFUNCTION("""COMPUTED_VALUE"""),8142615.0)</f>
        <v>8142615</v>
      </c>
    </row>
    <row r="260" ht="15.75" customHeight="1">
      <c r="A260" s="10">
        <f>IFERROR(__xludf.DUMMYFUNCTION("""COMPUTED_VALUE"""),41964.66666666667)</f>
        <v>41964.66667</v>
      </c>
      <c r="B260" s="1">
        <f>IFERROR(__xludf.DUMMYFUNCTION("""COMPUTED_VALUE"""),55.05)</f>
        <v>55.05</v>
      </c>
      <c r="C260" s="1">
        <f>IFERROR(__xludf.DUMMYFUNCTION("""COMPUTED_VALUE"""),55.64)</f>
        <v>55.64</v>
      </c>
      <c r="D260" s="1">
        <f>IFERROR(__xludf.DUMMYFUNCTION("""COMPUTED_VALUE"""),51.36)</f>
        <v>51.36</v>
      </c>
      <c r="E260" s="1">
        <f>IFERROR(__xludf.DUMMYFUNCTION("""COMPUTED_VALUE"""),51.47)</f>
        <v>51.47</v>
      </c>
      <c r="F260" s="1">
        <f>IFERROR(__xludf.DUMMYFUNCTION("""COMPUTED_VALUE"""),1.0710208E7)</f>
        <v>10710208</v>
      </c>
    </row>
    <row r="261" ht="15.75" customHeight="1">
      <c r="A261" s="10">
        <f>IFERROR(__xludf.DUMMYFUNCTION("""COMPUTED_VALUE"""),41971.66666666667)</f>
        <v>41971.66667</v>
      </c>
      <c r="B261" s="1">
        <f>IFERROR(__xludf.DUMMYFUNCTION("""COMPUTED_VALUE"""),51.51)</f>
        <v>51.51</v>
      </c>
      <c r="C261" s="1">
        <f>IFERROR(__xludf.DUMMYFUNCTION("""COMPUTED_VALUE"""),51.92)</f>
        <v>51.92</v>
      </c>
      <c r="D261" s="1">
        <f>IFERROR(__xludf.DUMMYFUNCTION("""COMPUTED_VALUE"""),49.14)</f>
        <v>49.14</v>
      </c>
      <c r="E261" s="1">
        <f>IFERROR(__xludf.DUMMYFUNCTION("""COMPUTED_VALUE"""),49.51)</f>
        <v>49.51</v>
      </c>
      <c r="F261" s="1">
        <f>IFERROR(__xludf.DUMMYFUNCTION("""COMPUTED_VALUE"""),8961761.0)</f>
        <v>8961761</v>
      </c>
    </row>
    <row r="262" ht="15.75" customHeight="1">
      <c r="A262" s="10">
        <f>IFERROR(__xludf.DUMMYFUNCTION("""COMPUTED_VALUE"""),41978.66666666667)</f>
        <v>41978.66667</v>
      </c>
      <c r="B262" s="1">
        <f>IFERROR(__xludf.DUMMYFUNCTION("""COMPUTED_VALUE"""),49.34)</f>
        <v>49.34</v>
      </c>
      <c r="C262" s="1">
        <f>IFERROR(__xludf.DUMMYFUNCTION("""COMPUTED_VALUE"""),51.14)</f>
        <v>51.14</v>
      </c>
      <c r="D262" s="1">
        <f>IFERROR(__xludf.DUMMYFUNCTION("""COMPUTED_VALUE"""),48.23)</f>
        <v>48.23</v>
      </c>
      <c r="E262" s="1">
        <f>IFERROR(__xludf.DUMMYFUNCTION("""COMPUTED_VALUE"""),50.13)</f>
        <v>50.13</v>
      </c>
      <c r="F262" s="1">
        <f>IFERROR(__xludf.DUMMYFUNCTION("""COMPUTED_VALUE"""),8837551.0)</f>
        <v>8837551</v>
      </c>
    </row>
    <row r="263" ht="15.75" customHeight="1">
      <c r="A263" s="10">
        <f>IFERROR(__xludf.DUMMYFUNCTION("""COMPUTED_VALUE"""),41985.66666666667)</f>
        <v>41985.66667</v>
      </c>
      <c r="B263" s="1">
        <f>IFERROR(__xludf.DUMMYFUNCTION("""COMPUTED_VALUE"""),49.98)</f>
        <v>49.98</v>
      </c>
      <c r="C263" s="1">
        <f>IFERROR(__xludf.DUMMYFUNCTION("""COMPUTED_VALUE"""),49.98)</f>
        <v>49.98</v>
      </c>
      <c r="D263" s="1">
        <f>IFERROR(__xludf.DUMMYFUNCTION("""COMPUTED_VALUE"""),46.98)</f>
        <v>46.98</v>
      </c>
      <c r="E263" s="1">
        <f>IFERROR(__xludf.DUMMYFUNCTION("""COMPUTED_VALUE"""),47.78)</f>
        <v>47.78</v>
      </c>
      <c r="F263" s="1">
        <f>IFERROR(__xludf.DUMMYFUNCTION("""COMPUTED_VALUE"""),9949133.0)</f>
        <v>9949133</v>
      </c>
    </row>
    <row r="264" ht="15.75" customHeight="1">
      <c r="A264" s="10">
        <f>IFERROR(__xludf.DUMMYFUNCTION("""COMPUTED_VALUE"""),41992.66666666667)</f>
        <v>41992.66667</v>
      </c>
      <c r="B264" s="1">
        <f>IFERROR(__xludf.DUMMYFUNCTION("""COMPUTED_VALUE"""),48.04)</f>
        <v>48.04</v>
      </c>
      <c r="C264" s="1">
        <f>IFERROR(__xludf.DUMMYFUNCTION("""COMPUTED_VALUE"""),48.93)</f>
        <v>48.93</v>
      </c>
      <c r="D264" s="1">
        <f>IFERROR(__xludf.DUMMYFUNCTION("""COMPUTED_VALUE"""),45.08)</f>
        <v>45.08</v>
      </c>
      <c r="E264" s="1">
        <f>IFERROR(__xludf.DUMMYFUNCTION("""COMPUTED_VALUE"""),48.59)</f>
        <v>48.59</v>
      </c>
      <c r="F264" s="1">
        <f>IFERROR(__xludf.DUMMYFUNCTION("""COMPUTED_VALUE"""),1.1412456E7)</f>
        <v>11412456</v>
      </c>
    </row>
    <row r="265" ht="15.75" customHeight="1">
      <c r="A265" s="10">
        <f>IFERROR(__xludf.DUMMYFUNCTION("""COMPUTED_VALUE"""),41999.66666666667)</f>
        <v>41999.66667</v>
      </c>
      <c r="B265" s="1">
        <f>IFERROR(__xludf.DUMMYFUNCTION("""COMPUTED_VALUE"""),48.54)</f>
        <v>48.54</v>
      </c>
      <c r="C265" s="1">
        <f>IFERROR(__xludf.DUMMYFUNCTION("""COMPUTED_VALUE"""),49.48)</f>
        <v>49.48</v>
      </c>
      <c r="D265" s="1">
        <f>IFERROR(__xludf.DUMMYFUNCTION("""COMPUTED_VALUE"""),47.47)</f>
        <v>47.47</v>
      </c>
      <c r="E265" s="1">
        <f>IFERROR(__xludf.DUMMYFUNCTION("""COMPUTED_VALUE"""),48.58)</f>
        <v>48.58</v>
      </c>
      <c r="F265" s="1">
        <f>IFERROR(__xludf.DUMMYFUNCTION("""COMPUTED_VALUE"""),4367924.0)</f>
        <v>4367924</v>
      </c>
    </row>
    <row r="266" ht="15.75" customHeight="1">
      <c r="A266" s="10">
        <f>IFERROR(__xludf.DUMMYFUNCTION("""COMPUTED_VALUE"""),42006.66666666667)</f>
        <v>42006.66667</v>
      </c>
      <c r="B266" s="1">
        <f>IFERROR(__xludf.DUMMYFUNCTION("""COMPUTED_VALUE"""),47.99)</f>
        <v>47.99</v>
      </c>
      <c r="C266" s="1">
        <f>IFERROR(__xludf.DUMMYFUNCTION("""COMPUTED_VALUE"""),50.33)</f>
        <v>50.33</v>
      </c>
      <c r="D266" s="1">
        <f>IFERROR(__xludf.DUMMYFUNCTION("""COMPUTED_VALUE"""),47.65)</f>
        <v>47.65</v>
      </c>
      <c r="E266" s="1">
        <f>IFERROR(__xludf.DUMMYFUNCTION("""COMPUTED_VALUE"""),49.85)</f>
        <v>49.85</v>
      </c>
      <c r="F266" s="1">
        <f>IFERROR(__xludf.DUMMYFUNCTION("""COMPUTED_VALUE"""),5388915.0)</f>
        <v>5388915</v>
      </c>
    </row>
    <row r="267" ht="15.75" customHeight="1">
      <c r="A267" s="10">
        <f>IFERROR(__xludf.DUMMYFUNCTION("""COMPUTED_VALUE"""),42013.66666666667)</f>
        <v>42013.66667</v>
      </c>
      <c r="B267" s="1">
        <f>IFERROR(__xludf.DUMMYFUNCTION("""COMPUTED_VALUE"""),49.16)</f>
        <v>49.16</v>
      </c>
      <c r="C267" s="1">
        <f>IFERROR(__xludf.DUMMYFUNCTION("""COMPUTED_VALUE"""),49.26)</f>
        <v>49.26</v>
      </c>
      <c r="D267" s="1">
        <f>IFERROR(__xludf.DUMMYFUNCTION("""COMPUTED_VALUE"""),45.66)</f>
        <v>45.66</v>
      </c>
      <c r="E267" s="1">
        <f>IFERROR(__xludf.DUMMYFUNCTION("""COMPUTED_VALUE"""),47.04)</f>
        <v>47.04</v>
      </c>
      <c r="F267" s="1">
        <f>IFERROR(__xludf.DUMMYFUNCTION("""COMPUTED_VALUE"""),9036452.0)</f>
        <v>9036452</v>
      </c>
    </row>
    <row r="268" ht="15.75" customHeight="1">
      <c r="A268" s="10">
        <f>IFERROR(__xludf.DUMMYFUNCTION("""COMPUTED_VALUE"""),42020.66666666667)</f>
        <v>42020.66667</v>
      </c>
      <c r="B268" s="1">
        <f>IFERROR(__xludf.DUMMYFUNCTION("""COMPUTED_VALUE"""),47.1)</f>
        <v>47.1</v>
      </c>
      <c r="C268" s="1">
        <f>IFERROR(__xludf.DUMMYFUNCTION("""COMPUTED_VALUE"""),48.25)</f>
        <v>48.25</v>
      </c>
      <c r="D268" s="1">
        <f>IFERROR(__xludf.DUMMYFUNCTION("""COMPUTED_VALUE"""),45.26)</f>
        <v>45.26</v>
      </c>
      <c r="E268" s="1">
        <f>IFERROR(__xludf.DUMMYFUNCTION("""COMPUTED_VALUE"""),48.19)</f>
        <v>48.19</v>
      </c>
      <c r="F268" s="1">
        <f>IFERROR(__xludf.DUMMYFUNCTION("""COMPUTED_VALUE"""),1.1847661E7)</f>
        <v>11847661</v>
      </c>
    </row>
    <row r="269" ht="15.75" customHeight="1">
      <c r="A269" s="10">
        <f>IFERROR(__xludf.DUMMYFUNCTION("""COMPUTED_VALUE"""),42027.66666666667)</f>
        <v>42027.66667</v>
      </c>
      <c r="B269" s="1">
        <f>IFERROR(__xludf.DUMMYFUNCTION("""COMPUTED_VALUE"""),48.61)</f>
        <v>48.61</v>
      </c>
      <c r="C269" s="1">
        <f>IFERROR(__xludf.DUMMYFUNCTION("""COMPUTED_VALUE"""),62.74)</f>
        <v>62.74</v>
      </c>
      <c r="D269" s="1">
        <f>IFERROR(__xludf.DUMMYFUNCTION("""COMPUTED_VALUE"""),47.71)</f>
        <v>47.71</v>
      </c>
      <c r="E269" s="1">
        <f>IFERROR(__xludf.DUMMYFUNCTION("""COMPUTED_VALUE"""),62.49)</f>
        <v>62.49</v>
      </c>
      <c r="F269" s="1">
        <f>IFERROR(__xludf.DUMMYFUNCTION("""COMPUTED_VALUE"""),2.3936829E7)</f>
        <v>23936829</v>
      </c>
    </row>
    <row r="270" ht="15.75" customHeight="1">
      <c r="A270" s="10">
        <f>IFERROR(__xludf.DUMMYFUNCTION("""COMPUTED_VALUE"""),42034.66666666667)</f>
        <v>42034.66667</v>
      </c>
      <c r="B270" s="1">
        <f>IFERROR(__xludf.DUMMYFUNCTION("""COMPUTED_VALUE"""),62.57)</f>
        <v>62.57</v>
      </c>
      <c r="C270" s="1">
        <f>IFERROR(__xludf.DUMMYFUNCTION("""COMPUTED_VALUE"""),65.34)</f>
        <v>65.34</v>
      </c>
      <c r="D270" s="1">
        <f>IFERROR(__xludf.DUMMYFUNCTION("""COMPUTED_VALUE"""),61.96)</f>
        <v>61.96</v>
      </c>
      <c r="E270" s="1">
        <f>IFERROR(__xludf.DUMMYFUNCTION("""COMPUTED_VALUE"""),63.11)</f>
        <v>63.11</v>
      </c>
      <c r="F270" s="1">
        <f>IFERROR(__xludf.DUMMYFUNCTION("""COMPUTED_VALUE"""),1.4108285E7)</f>
        <v>14108285</v>
      </c>
    </row>
    <row r="271" ht="15.75" customHeight="1">
      <c r="A271" s="10">
        <f>IFERROR(__xludf.DUMMYFUNCTION("""COMPUTED_VALUE"""),42041.66666666667)</f>
        <v>42041.66667</v>
      </c>
      <c r="B271" s="1">
        <f>IFERROR(__xludf.DUMMYFUNCTION("""COMPUTED_VALUE"""),62.84)</f>
        <v>62.84</v>
      </c>
      <c r="C271" s="1">
        <f>IFERROR(__xludf.DUMMYFUNCTION("""COMPUTED_VALUE"""),65.47)</f>
        <v>65.47</v>
      </c>
      <c r="D271" s="1">
        <f>IFERROR(__xludf.DUMMYFUNCTION("""COMPUTED_VALUE"""),61.96)</f>
        <v>61.96</v>
      </c>
      <c r="E271" s="1">
        <f>IFERROR(__xludf.DUMMYFUNCTION("""COMPUTED_VALUE"""),63.48)</f>
        <v>63.48</v>
      </c>
      <c r="F271" s="1">
        <f>IFERROR(__xludf.DUMMYFUNCTION("""COMPUTED_VALUE"""),9289804.0)</f>
        <v>9289804</v>
      </c>
    </row>
    <row r="272" ht="15.75" customHeight="1">
      <c r="A272" s="10">
        <f>IFERROR(__xludf.DUMMYFUNCTION("""COMPUTED_VALUE"""),42048.66666666667)</f>
        <v>42048.66667</v>
      </c>
      <c r="B272" s="1">
        <f>IFERROR(__xludf.DUMMYFUNCTION("""COMPUTED_VALUE"""),63.18)</f>
        <v>63.18</v>
      </c>
      <c r="C272" s="1">
        <f>IFERROR(__xludf.DUMMYFUNCTION("""COMPUTED_VALUE"""),66.63)</f>
        <v>66.63</v>
      </c>
      <c r="D272" s="1">
        <f>IFERROR(__xludf.DUMMYFUNCTION("""COMPUTED_VALUE"""),62.64)</f>
        <v>62.64</v>
      </c>
      <c r="E272" s="1">
        <f>IFERROR(__xludf.DUMMYFUNCTION("""COMPUTED_VALUE"""),66.59)</f>
        <v>66.59</v>
      </c>
      <c r="F272" s="1">
        <f>IFERROR(__xludf.DUMMYFUNCTION("""COMPUTED_VALUE"""),8427456.0)</f>
        <v>8427456</v>
      </c>
    </row>
    <row r="273" ht="15.75" customHeight="1">
      <c r="A273" s="10">
        <f>IFERROR(__xludf.DUMMYFUNCTION("""COMPUTED_VALUE"""),42055.66666666667)</f>
        <v>42055.66667</v>
      </c>
      <c r="B273" s="1">
        <f>IFERROR(__xludf.DUMMYFUNCTION("""COMPUTED_VALUE"""),66.39)</f>
        <v>66.39</v>
      </c>
      <c r="C273" s="1">
        <f>IFERROR(__xludf.DUMMYFUNCTION("""COMPUTED_VALUE"""),68.71)</f>
        <v>68.71</v>
      </c>
      <c r="D273" s="1">
        <f>IFERROR(__xludf.DUMMYFUNCTION("""COMPUTED_VALUE"""),65.94)</f>
        <v>65.94</v>
      </c>
      <c r="E273" s="1">
        <f>IFERROR(__xludf.DUMMYFUNCTION("""COMPUTED_VALUE"""),68.31)</f>
        <v>68.31</v>
      </c>
      <c r="F273" s="1">
        <f>IFERROR(__xludf.DUMMYFUNCTION("""COMPUTED_VALUE"""),5906805.0)</f>
        <v>5906805</v>
      </c>
    </row>
    <row r="274" ht="15.75" customHeight="1">
      <c r="A274" s="10">
        <f>IFERROR(__xludf.DUMMYFUNCTION("""COMPUTED_VALUE"""),42062.66666666667)</f>
        <v>42062.66667</v>
      </c>
      <c r="B274" s="1">
        <f>IFERROR(__xludf.DUMMYFUNCTION("""COMPUTED_VALUE"""),68.3)</f>
        <v>68.3</v>
      </c>
      <c r="C274" s="1">
        <f>IFERROR(__xludf.DUMMYFUNCTION("""COMPUTED_VALUE"""),69.5)</f>
        <v>69.5</v>
      </c>
      <c r="D274" s="1">
        <f>IFERROR(__xludf.DUMMYFUNCTION("""COMPUTED_VALUE"""),67.14)</f>
        <v>67.14</v>
      </c>
      <c r="E274" s="1">
        <f>IFERROR(__xludf.DUMMYFUNCTION("""COMPUTED_VALUE"""),67.84)</f>
        <v>67.84</v>
      </c>
      <c r="F274" s="1">
        <f>IFERROR(__xludf.DUMMYFUNCTION("""COMPUTED_VALUE"""),6333764.0)</f>
        <v>6333764</v>
      </c>
    </row>
    <row r="275" ht="15.75" customHeight="1">
      <c r="A275" s="10">
        <f>IFERROR(__xludf.DUMMYFUNCTION("""COMPUTED_VALUE"""),42069.66666666667)</f>
        <v>42069.66667</v>
      </c>
      <c r="B275" s="1">
        <f>IFERROR(__xludf.DUMMYFUNCTION("""COMPUTED_VALUE"""),67.75)</f>
        <v>67.75</v>
      </c>
      <c r="C275" s="1">
        <f>IFERROR(__xludf.DUMMYFUNCTION("""COMPUTED_VALUE"""),68.61)</f>
        <v>68.61</v>
      </c>
      <c r="D275" s="1">
        <f>IFERROR(__xludf.DUMMYFUNCTION("""COMPUTED_VALUE"""),64.84)</f>
        <v>64.84</v>
      </c>
      <c r="E275" s="1">
        <f>IFERROR(__xludf.DUMMYFUNCTION("""COMPUTED_VALUE"""),64.87)</f>
        <v>64.87</v>
      </c>
      <c r="F275" s="1">
        <f>IFERROR(__xludf.DUMMYFUNCTION("""COMPUTED_VALUE"""),8457834.0)</f>
        <v>8457834</v>
      </c>
    </row>
    <row r="276" ht="15.75" customHeight="1">
      <c r="A276" s="10">
        <f>IFERROR(__xludf.DUMMYFUNCTION("""COMPUTED_VALUE"""),42076.66666666667)</f>
        <v>42076.66667</v>
      </c>
      <c r="B276" s="1">
        <f>IFERROR(__xludf.DUMMYFUNCTION("""COMPUTED_VALUE"""),64.89)</f>
        <v>64.89</v>
      </c>
      <c r="C276" s="1">
        <f>IFERROR(__xludf.DUMMYFUNCTION("""COMPUTED_VALUE"""),65.09)</f>
        <v>65.09</v>
      </c>
      <c r="D276" s="1">
        <f>IFERROR(__xludf.DUMMYFUNCTION("""COMPUTED_VALUE"""),61.98)</f>
        <v>61.98</v>
      </c>
      <c r="E276" s="1">
        <f>IFERROR(__xludf.DUMMYFUNCTION("""COMPUTED_VALUE"""),62.63)</f>
        <v>62.63</v>
      </c>
      <c r="F276" s="1">
        <f>IFERROR(__xludf.DUMMYFUNCTION("""COMPUTED_VALUE"""),1.1156718E7)</f>
        <v>11156718</v>
      </c>
    </row>
    <row r="277" ht="15.75" customHeight="1">
      <c r="A277" s="10">
        <f>IFERROR(__xludf.DUMMYFUNCTION("""COMPUTED_VALUE"""),42083.66666666667)</f>
        <v>42083.66667</v>
      </c>
      <c r="B277" s="1">
        <f>IFERROR(__xludf.DUMMYFUNCTION("""COMPUTED_VALUE"""),61.49)</f>
        <v>61.49</v>
      </c>
      <c r="C277" s="1">
        <f>IFERROR(__xludf.DUMMYFUNCTION("""COMPUTED_VALUE"""),61.79)</f>
        <v>61.79</v>
      </c>
      <c r="D277" s="1">
        <f>IFERROR(__xludf.DUMMYFUNCTION("""COMPUTED_VALUE"""),59.3)</f>
        <v>59.3</v>
      </c>
      <c r="E277" s="1">
        <f>IFERROR(__xludf.DUMMYFUNCTION("""COMPUTED_VALUE"""),61.19)</f>
        <v>61.19</v>
      </c>
      <c r="F277" s="1">
        <f>IFERROR(__xludf.DUMMYFUNCTION("""COMPUTED_VALUE"""),1.2135835E7)</f>
        <v>12135835</v>
      </c>
    </row>
    <row r="278" ht="15.75" customHeight="1">
      <c r="A278" s="10">
        <f>IFERROR(__xludf.DUMMYFUNCTION("""COMPUTED_VALUE"""),42090.66666666667)</f>
        <v>42090.66667</v>
      </c>
      <c r="B278" s="1">
        <f>IFERROR(__xludf.DUMMYFUNCTION("""COMPUTED_VALUE"""),60.91)</f>
        <v>60.91</v>
      </c>
      <c r="C278" s="1">
        <f>IFERROR(__xludf.DUMMYFUNCTION("""COMPUTED_VALUE"""),63.1)</f>
        <v>63.1</v>
      </c>
      <c r="D278" s="1">
        <f>IFERROR(__xludf.DUMMYFUNCTION("""COMPUTED_VALUE"""),58.57)</f>
        <v>58.57</v>
      </c>
      <c r="E278" s="1">
        <f>IFERROR(__xludf.DUMMYFUNCTION("""COMPUTED_VALUE"""),59.25)</f>
        <v>59.25</v>
      </c>
      <c r="F278" s="1">
        <f>IFERROR(__xludf.DUMMYFUNCTION("""COMPUTED_VALUE"""),1.1156565E7)</f>
        <v>11156565</v>
      </c>
    </row>
    <row r="279" ht="15.75" customHeight="1">
      <c r="A279" s="10">
        <f>IFERROR(__xludf.DUMMYFUNCTION("""COMPUTED_VALUE"""),42096.66666666667)</f>
        <v>42096.66667</v>
      </c>
      <c r="B279" s="1">
        <f>IFERROR(__xludf.DUMMYFUNCTION("""COMPUTED_VALUE"""),59.72)</f>
        <v>59.72</v>
      </c>
      <c r="C279" s="1">
        <f>IFERROR(__xludf.DUMMYFUNCTION("""COMPUTED_VALUE"""),60.56)</f>
        <v>60.56</v>
      </c>
      <c r="D279" s="1">
        <f>IFERROR(__xludf.DUMMYFUNCTION("""COMPUTED_VALUE"""),58.7)</f>
        <v>58.7</v>
      </c>
      <c r="E279" s="1">
        <f>IFERROR(__xludf.DUMMYFUNCTION("""COMPUTED_VALUE"""),59.15)</f>
        <v>59.15</v>
      </c>
      <c r="F279" s="1">
        <f>IFERROR(__xludf.DUMMYFUNCTION("""COMPUTED_VALUE"""),7432134.0)</f>
        <v>7432134</v>
      </c>
    </row>
    <row r="280" ht="15.75" customHeight="1">
      <c r="A280" s="10">
        <f>IFERROR(__xludf.DUMMYFUNCTION("""COMPUTED_VALUE"""),42104.66666666667)</f>
        <v>42104.66667</v>
      </c>
      <c r="B280" s="1">
        <f>IFERROR(__xludf.DUMMYFUNCTION("""COMPUTED_VALUE"""),58.72)</f>
        <v>58.72</v>
      </c>
      <c r="C280" s="1">
        <f>IFERROR(__xludf.DUMMYFUNCTION("""COMPUTED_VALUE"""),65.0)</f>
        <v>65</v>
      </c>
      <c r="D280" s="1">
        <f>IFERROR(__xludf.DUMMYFUNCTION("""COMPUTED_VALUE"""),58.46)</f>
        <v>58.46</v>
      </c>
      <c r="E280" s="1">
        <f>IFERROR(__xludf.DUMMYFUNCTION("""COMPUTED_VALUE"""),64.94)</f>
        <v>64.94</v>
      </c>
      <c r="F280" s="1">
        <f>IFERROR(__xludf.DUMMYFUNCTION("""COMPUTED_VALUE"""),1.1265482E7)</f>
        <v>11265482</v>
      </c>
    </row>
    <row r="281" ht="15.75" customHeight="1">
      <c r="A281" s="10">
        <f>IFERROR(__xludf.DUMMYFUNCTION("""COMPUTED_VALUE"""),42111.66666666667)</f>
        <v>42111.66667</v>
      </c>
      <c r="B281" s="1">
        <f>IFERROR(__xludf.DUMMYFUNCTION("""COMPUTED_VALUE"""),67.24)</f>
        <v>67.24</v>
      </c>
      <c r="C281" s="1">
        <f>IFERROR(__xludf.DUMMYFUNCTION("""COMPUTED_VALUE"""),82.14)</f>
        <v>82.14</v>
      </c>
      <c r="D281" s="1">
        <f>IFERROR(__xludf.DUMMYFUNCTION("""COMPUTED_VALUE"""),67.06)</f>
        <v>67.06</v>
      </c>
      <c r="E281" s="1">
        <f>IFERROR(__xludf.DUMMYFUNCTION("""COMPUTED_VALUE"""),81.65)</f>
        <v>81.65</v>
      </c>
      <c r="F281" s="1">
        <f>IFERROR(__xludf.DUMMYFUNCTION("""COMPUTED_VALUE"""),3.9773545E7)</f>
        <v>39773545</v>
      </c>
    </row>
    <row r="282" ht="15.75" customHeight="1">
      <c r="A282" s="10">
        <f>IFERROR(__xludf.DUMMYFUNCTION("""COMPUTED_VALUE"""),42118.66666666667)</f>
        <v>42118.66667</v>
      </c>
      <c r="B282" s="1">
        <f>IFERROR(__xludf.DUMMYFUNCTION("""COMPUTED_VALUE"""),81.79)</f>
        <v>81.79</v>
      </c>
      <c r="C282" s="1">
        <f>IFERROR(__xludf.DUMMYFUNCTION("""COMPUTED_VALUE"""),82.3)</f>
        <v>82.3</v>
      </c>
      <c r="D282" s="1">
        <f>IFERROR(__xludf.DUMMYFUNCTION("""COMPUTED_VALUE"""),78.96)</f>
        <v>78.96</v>
      </c>
      <c r="E282" s="1">
        <f>IFERROR(__xludf.DUMMYFUNCTION("""COMPUTED_VALUE"""),79.77)</f>
        <v>79.77</v>
      </c>
      <c r="F282" s="1">
        <f>IFERROR(__xludf.DUMMYFUNCTION("""COMPUTED_VALUE"""),1.1787715E7)</f>
        <v>11787715</v>
      </c>
    </row>
    <row r="283" ht="15.75" customHeight="1">
      <c r="A283" s="10">
        <f>IFERROR(__xludf.DUMMYFUNCTION("""COMPUTED_VALUE"""),42125.66666666667)</f>
        <v>42125.66667</v>
      </c>
      <c r="B283" s="1">
        <f>IFERROR(__xludf.DUMMYFUNCTION("""COMPUTED_VALUE"""),80.41)</f>
        <v>80.41</v>
      </c>
      <c r="C283" s="1">
        <f>IFERROR(__xludf.DUMMYFUNCTION("""COMPUTED_VALUE"""),81.79)</f>
        <v>81.79</v>
      </c>
      <c r="D283" s="1">
        <f>IFERROR(__xludf.DUMMYFUNCTION("""COMPUTED_VALUE"""),78.89)</f>
        <v>78.89</v>
      </c>
      <c r="E283" s="1">
        <f>IFERROR(__xludf.DUMMYFUNCTION("""COMPUTED_VALUE"""),79.58)</f>
        <v>79.58</v>
      </c>
      <c r="F283" s="1">
        <f>IFERROR(__xludf.DUMMYFUNCTION("""COMPUTED_VALUE"""),7583612.0)</f>
        <v>7583612</v>
      </c>
    </row>
    <row r="284" ht="15.75" customHeight="1">
      <c r="A284" s="10">
        <f>IFERROR(__xludf.DUMMYFUNCTION("""COMPUTED_VALUE"""),42132.66666666667)</f>
        <v>42132.66667</v>
      </c>
      <c r="B284" s="1">
        <f>IFERROR(__xludf.DUMMYFUNCTION("""COMPUTED_VALUE"""),79.55)</f>
        <v>79.55</v>
      </c>
      <c r="C284" s="1">
        <f>IFERROR(__xludf.DUMMYFUNCTION("""COMPUTED_VALUE"""),82.44)</f>
        <v>82.44</v>
      </c>
      <c r="D284" s="1">
        <f>IFERROR(__xludf.DUMMYFUNCTION("""COMPUTED_VALUE"""),78.9)</f>
        <v>78.9</v>
      </c>
      <c r="E284" s="1">
        <f>IFERROR(__xludf.DUMMYFUNCTION("""COMPUTED_VALUE"""),82.09)</f>
        <v>82.09</v>
      </c>
      <c r="F284" s="1">
        <f>IFERROR(__xludf.DUMMYFUNCTION("""COMPUTED_VALUE"""),1.009096E7)</f>
        <v>10090960</v>
      </c>
    </row>
    <row r="285" ht="15.75" customHeight="1">
      <c r="A285" s="10">
        <f>IFERROR(__xludf.DUMMYFUNCTION("""COMPUTED_VALUE"""),42139.66666666667)</f>
        <v>42139.66667</v>
      </c>
      <c r="B285" s="1">
        <f>IFERROR(__xludf.DUMMYFUNCTION("""COMPUTED_VALUE"""),82.33)</f>
        <v>82.33</v>
      </c>
      <c r="C285" s="1">
        <f>IFERROR(__xludf.DUMMYFUNCTION("""COMPUTED_VALUE"""),88.35)</f>
        <v>88.35</v>
      </c>
      <c r="D285" s="1">
        <f>IFERROR(__xludf.DUMMYFUNCTION("""COMPUTED_VALUE"""),82.19)</f>
        <v>82.19</v>
      </c>
      <c r="E285" s="1">
        <f>IFERROR(__xludf.DUMMYFUNCTION("""COMPUTED_VALUE"""),87.61)</f>
        <v>87.61</v>
      </c>
      <c r="F285" s="1">
        <f>IFERROR(__xludf.DUMMYFUNCTION("""COMPUTED_VALUE"""),1.3270964E7)</f>
        <v>13270964</v>
      </c>
    </row>
    <row r="286" ht="15.75" customHeight="1">
      <c r="A286" s="10">
        <f>IFERROR(__xludf.DUMMYFUNCTION("""COMPUTED_VALUE"""),42146.66666666667)</f>
        <v>42146.66667</v>
      </c>
      <c r="B286" s="1">
        <f>IFERROR(__xludf.DUMMYFUNCTION("""COMPUTED_VALUE"""),87.54)</f>
        <v>87.54</v>
      </c>
      <c r="C286" s="1">
        <f>IFERROR(__xludf.DUMMYFUNCTION("""COMPUTED_VALUE"""),89.79)</f>
        <v>89.79</v>
      </c>
      <c r="D286" s="1">
        <f>IFERROR(__xludf.DUMMYFUNCTION("""COMPUTED_VALUE"""),87.02)</f>
        <v>87.02</v>
      </c>
      <c r="E286" s="1">
        <f>IFERROR(__xludf.DUMMYFUNCTION("""COMPUTED_VALUE"""),88.84)</f>
        <v>88.84</v>
      </c>
      <c r="F286" s="1">
        <f>IFERROR(__xludf.DUMMYFUNCTION("""COMPUTED_VALUE"""),9557634.0)</f>
        <v>9557634</v>
      </c>
    </row>
    <row r="287" ht="15.75" customHeight="1">
      <c r="A287" s="10">
        <f>IFERROR(__xludf.DUMMYFUNCTION("""COMPUTED_VALUE"""),42153.66666666667)</f>
        <v>42153.66667</v>
      </c>
      <c r="B287" s="1">
        <f>IFERROR(__xludf.DUMMYFUNCTION("""COMPUTED_VALUE"""),88.87)</f>
        <v>88.87</v>
      </c>
      <c r="C287" s="1">
        <f>IFERROR(__xludf.DUMMYFUNCTION("""COMPUTED_VALUE"""),90.21)</f>
        <v>90.21</v>
      </c>
      <c r="D287" s="1">
        <f>IFERROR(__xludf.DUMMYFUNCTION("""COMPUTED_VALUE"""),87.79)</f>
        <v>87.79</v>
      </c>
      <c r="E287" s="1">
        <f>IFERROR(__xludf.DUMMYFUNCTION("""COMPUTED_VALUE"""),89.15)</f>
        <v>89.15</v>
      </c>
      <c r="F287" s="1">
        <f>IFERROR(__xludf.DUMMYFUNCTION("""COMPUTED_VALUE"""),5812241.0)</f>
        <v>5812241</v>
      </c>
    </row>
    <row r="288" ht="15.75" customHeight="1">
      <c r="A288" s="10">
        <f>IFERROR(__xludf.DUMMYFUNCTION("""COMPUTED_VALUE"""),42160.66666666667)</f>
        <v>42160.66667</v>
      </c>
      <c r="B288" s="1">
        <f>IFERROR(__xludf.DUMMYFUNCTION("""COMPUTED_VALUE"""),88.92)</f>
        <v>88.92</v>
      </c>
      <c r="C288" s="1">
        <f>IFERROR(__xludf.DUMMYFUNCTION("""COMPUTED_VALUE"""),90.54)</f>
        <v>90.54</v>
      </c>
      <c r="D288" s="1">
        <f>IFERROR(__xludf.DUMMYFUNCTION("""COMPUTED_VALUE"""),87.94)</f>
        <v>87.94</v>
      </c>
      <c r="E288" s="1">
        <f>IFERROR(__xludf.DUMMYFUNCTION("""COMPUTED_VALUE"""),90.46)</f>
        <v>90.46</v>
      </c>
      <c r="F288" s="1">
        <f>IFERROR(__xludf.DUMMYFUNCTION("""COMPUTED_VALUE"""),6484497.0)</f>
        <v>6484497</v>
      </c>
    </row>
    <row r="289" ht="15.75" customHeight="1">
      <c r="A289" s="10">
        <f>IFERROR(__xludf.DUMMYFUNCTION("""COMPUTED_VALUE"""),42167.66666666667)</f>
        <v>42167.66667</v>
      </c>
      <c r="B289" s="1">
        <f>IFERROR(__xludf.DUMMYFUNCTION("""COMPUTED_VALUE"""),90.72)</f>
        <v>90.72</v>
      </c>
      <c r="C289" s="1">
        <f>IFERROR(__xludf.DUMMYFUNCTION("""COMPUTED_VALUE"""),98.97)</f>
        <v>98.97</v>
      </c>
      <c r="D289" s="1">
        <f>IFERROR(__xludf.DUMMYFUNCTION("""COMPUTED_VALUE"""),89.0)</f>
        <v>89</v>
      </c>
      <c r="E289" s="1">
        <f>IFERROR(__xludf.DUMMYFUNCTION("""COMPUTED_VALUE"""),94.42)</f>
        <v>94.42</v>
      </c>
      <c r="F289" s="1">
        <f>IFERROR(__xludf.DUMMYFUNCTION("""COMPUTED_VALUE"""),1.8171083E7)</f>
        <v>18171083</v>
      </c>
    </row>
    <row r="290" ht="15.75" customHeight="1">
      <c r="A290" s="10">
        <f>IFERROR(__xludf.DUMMYFUNCTION("""COMPUTED_VALUE"""),42174.66666666667)</f>
        <v>42174.66667</v>
      </c>
      <c r="B290" s="1">
        <f>IFERROR(__xludf.DUMMYFUNCTION("""COMPUTED_VALUE"""),92.87)</f>
        <v>92.87</v>
      </c>
      <c r="C290" s="1">
        <f>IFERROR(__xludf.DUMMYFUNCTION("""COMPUTED_VALUE"""),96.42)</f>
        <v>96.42</v>
      </c>
      <c r="D290" s="1">
        <f>IFERROR(__xludf.DUMMYFUNCTION("""COMPUTED_VALUE"""),91.66)</f>
        <v>91.66</v>
      </c>
      <c r="E290" s="1">
        <f>IFERROR(__xludf.DUMMYFUNCTION("""COMPUTED_VALUE"""),93.87)</f>
        <v>93.87</v>
      </c>
      <c r="F290" s="1">
        <f>IFERROR(__xludf.DUMMYFUNCTION("""COMPUTED_VALUE"""),1.0540002E7)</f>
        <v>10540002</v>
      </c>
    </row>
    <row r="291" ht="15.75" customHeight="1">
      <c r="A291" s="10">
        <f>IFERROR(__xludf.DUMMYFUNCTION("""COMPUTED_VALUE"""),42181.66666666667)</f>
        <v>42181.66667</v>
      </c>
      <c r="B291" s="1">
        <f>IFERROR(__xludf.DUMMYFUNCTION("""COMPUTED_VALUE"""),95.04)</f>
        <v>95.04</v>
      </c>
      <c r="C291" s="1">
        <f>IFERROR(__xludf.DUMMYFUNCTION("""COMPUTED_VALUE"""),100.89)</f>
        <v>100.89</v>
      </c>
      <c r="D291" s="1">
        <f>IFERROR(__xludf.DUMMYFUNCTION("""COMPUTED_VALUE"""),93.09)</f>
        <v>93.09</v>
      </c>
      <c r="E291" s="1">
        <f>IFERROR(__xludf.DUMMYFUNCTION("""COMPUTED_VALUE"""),93.09)</f>
        <v>93.09</v>
      </c>
      <c r="F291" s="1">
        <f>IFERROR(__xludf.DUMMYFUNCTION("""COMPUTED_VALUE"""),2.5919434E7)</f>
        <v>25919434</v>
      </c>
    </row>
    <row r="292" ht="15.75" customHeight="1">
      <c r="A292" s="10">
        <f>IFERROR(__xludf.DUMMYFUNCTION("""COMPUTED_VALUE"""),42187.66666666667)</f>
        <v>42187.66667</v>
      </c>
      <c r="B292" s="1">
        <f>IFERROR(__xludf.DUMMYFUNCTION("""COMPUTED_VALUE"""),91.51)</f>
        <v>91.51</v>
      </c>
      <c r="C292" s="1">
        <f>IFERROR(__xludf.DUMMYFUNCTION("""COMPUTED_VALUE"""),95.24)</f>
        <v>95.24</v>
      </c>
      <c r="D292" s="1">
        <f>IFERROR(__xludf.DUMMYFUNCTION("""COMPUTED_VALUE"""),91.12)</f>
        <v>91.12</v>
      </c>
      <c r="E292" s="1">
        <f>IFERROR(__xludf.DUMMYFUNCTION("""COMPUTED_VALUE"""),94.04)</f>
        <v>94.04</v>
      </c>
      <c r="F292" s="1">
        <f>IFERROR(__xludf.DUMMYFUNCTION("""COMPUTED_VALUE"""),9601285.0)</f>
        <v>9601285</v>
      </c>
    </row>
    <row r="293" ht="15.75" customHeight="1">
      <c r="A293" s="10">
        <f>IFERROR(__xludf.DUMMYFUNCTION("""COMPUTED_VALUE"""),42195.66666666667)</f>
        <v>42195.66667</v>
      </c>
      <c r="B293" s="1">
        <f>IFERROR(__xludf.DUMMYFUNCTION("""COMPUTED_VALUE"""),93.47)</f>
        <v>93.47</v>
      </c>
      <c r="C293" s="1">
        <f>IFERROR(__xludf.DUMMYFUNCTION("""COMPUTED_VALUE"""),98.5)</f>
        <v>98.5</v>
      </c>
      <c r="D293" s="1">
        <f>IFERROR(__xludf.DUMMYFUNCTION("""COMPUTED_VALUE"""),92.28)</f>
        <v>92.28</v>
      </c>
      <c r="E293" s="1">
        <f>IFERROR(__xludf.DUMMYFUNCTION("""COMPUTED_VALUE"""),97.23)</f>
        <v>97.23</v>
      </c>
      <c r="F293" s="1">
        <f>IFERROR(__xludf.DUMMYFUNCTION("""COMPUTED_VALUE"""),1.2105751E7)</f>
        <v>12105751</v>
      </c>
    </row>
    <row r="294" ht="15.75" customHeight="1">
      <c r="A294" s="10">
        <f>IFERROR(__xludf.DUMMYFUNCTION("""COMPUTED_VALUE"""),42202.66666666667)</f>
        <v>42202.66667</v>
      </c>
      <c r="B294" s="1">
        <f>IFERROR(__xludf.DUMMYFUNCTION("""COMPUTED_VALUE"""),98.1)</f>
        <v>98.1</v>
      </c>
      <c r="C294" s="1">
        <f>IFERROR(__xludf.DUMMYFUNCTION("""COMPUTED_VALUE"""),117.88)</f>
        <v>117.88</v>
      </c>
      <c r="D294" s="1">
        <f>IFERROR(__xludf.DUMMYFUNCTION("""COMPUTED_VALUE"""),97.05)</f>
        <v>97.05</v>
      </c>
      <c r="E294" s="1">
        <f>IFERROR(__xludf.DUMMYFUNCTION("""COMPUTED_VALUE"""),114.77)</f>
        <v>114.77</v>
      </c>
      <c r="F294" s="1">
        <f>IFERROR(__xludf.DUMMYFUNCTION("""COMPUTED_VALUE"""),1.27059598E8)</f>
        <v>127059598</v>
      </c>
    </row>
    <row r="295" ht="15.75" customHeight="1">
      <c r="A295" s="10">
        <f>IFERROR(__xludf.DUMMYFUNCTION("""COMPUTED_VALUE"""),42209.66666666667)</f>
        <v>42209.66667</v>
      </c>
      <c r="B295" s="1">
        <f>IFERROR(__xludf.DUMMYFUNCTION("""COMPUTED_VALUE"""),114.7)</f>
        <v>114.7</v>
      </c>
      <c r="C295" s="1">
        <f>IFERROR(__xludf.DUMMYFUNCTION("""COMPUTED_VALUE"""),114.7)</f>
        <v>114.7</v>
      </c>
      <c r="D295" s="1">
        <f>IFERROR(__xludf.DUMMYFUNCTION("""COMPUTED_VALUE"""),108.9)</f>
        <v>108.9</v>
      </c>
      <c r="E295" s="1">
        <f>IFERROR(__xludf.DUMMYFUNCTION("""COMPUTED_VALUE"""),109.34)</f>
        <v>109.34</v>
      </c>
      <c r="F295" s="1">
        <f>IFERROR(__xludf.DUMMYFUNCTION("""COMPUTED_VALUE"""),6.3694722E7)</f>
        <v>63694722</v>
      </c>
    </row>
    <row r="296" ht="15.75" customHeight="1">
      <c r="A296" s="10">
        <f>IFERROR(__xludf.DUMMYFUNCTION("""COMPUTED_VALUE"""),42216.66666666667)</f>
        <v>42216.66667</v>
      </c>
      <c r="B296" s="1">
        <f>IFERROR(__xludf.DUMMYFUNCTION("""COMPUTED_VALUE"""),107.79)</f>
        <v>107.79</v>
      </c>
      <c r="C296" s="1">
        <f>IFERROR(__xludf.DUMMYFUNCTION("""COMPUTED_VALUE"""),115.0)</f>
        <v>115</v>
      </c>
      <c r="D296" s="1">
        <f>IFERROR(__xludf.DUMMYFUNCTION("""COMPUTED_VALUE"""),103.88)</f>
        <v>103.88</v>
      </c>
      <c r="E296" s="1">
        <f>IFERROR(__xludf.DUMMYFUNCTION("""COMPUTED_VALUE"""),114.31)</f>
        <v>114.31</v>
      </c>
      <c r="F296" s="1">
        <f>IFERROR(__xludf.DUMMYFUNCTION("""COMPUTED_VALUE"""),5.9732476E7)</f>
        <v>59732476</v>
      </c>
    </row>
    <row r="297" ht="15.75" customHeight="1">
      <c r="A297" s="10">
        <f>IFERROR(__xludf.DUMMYFUNCTION("""COMPUTED_VALUE"""),42223.66666666667)</f>
        <v>42223.66667</v>
      </c>
      <c r="B297" s="1">
        <f>IFERROR(__xludf.DUMMYFUNCTION("""COMPUTED_VALUE"""),114.6)</f>
        <v>114.6</v>
      </c>
      <c r="C297" s="1">
        <f>IFERROR(__xludf.DUMMYFUNCTION("""COMPUTED_VALUE"""),129.29)</f>
        <v>129.29</v>
      </c>
      <c r="D297" s="1">
        <f>IFERROR(__xludf.DUMMYFUNCTION("""COMPUTED_VALUE"""),111.78)</f>
        <v>111.78</v>
      </c>
      <c r="E297" s="1">
        <f>IFERROR(__xludf.DUMMYFUNCTION("""COMPUTED_VALUE"""),123.52)</f>
        <v>123.52</v>
      </c>
      <c r="F297" s="1">
        <f>IFERROR(__xludf.DUMMYFUNCTION("""COMPUTED_VALUE"""),1.08822041E8)</f>
        <v>108822041</v>
      </c>
    </row>
    <row r="298" ht="15.75" customHeight="1">
      <c r="A298" s="10">
        <f>IFERROR(__xludf.DUMMYFUNCTION("""COMPUTED_VALUE"""),42230.66666666667)</f>
        <v>42230.66667</v>
      </c>
      <c r="B298" s="1">
        <f>IFERROR(__xludf.DUMMYFUNCTION("""COMPUTED_VALUE"""),126.09)</f>
        <v>126.09</v>
      </c>
      <c r="C298" s="1">
        <f>IFERROR(__xludf.DUMMYFUNCTION("""COMPUTED_VALUE"""),126.5)</f>
        <v>126.5</v>
      </c>
      <c r="D298" s="1">
        <f>IFERROR(__xludf.DUMMYFUNCTION("""COMPUTED_VALUE"""),118.66)</f>
        <v>118.66</v>
      </c>
      <c r="E298" s="1">
        <f>IFERROR(__xludf.DUMMYFUNCTION("""COMPUTED_VALUE"""),123.39)</f>
        <v>123.39</v>
      </c>
      <c r="F298" s="1">
        <f>IFERROR(__xludf.DUMMYFUNCTION("""COMPUTED_VALUE"""),6.2855077E7)</f>
        <v>62855077</v>
      </c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