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trlProps/ctrlProp6.xml" ContentType="application/vnd.ms-excel.controlproperties+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4ac7544383a9385/Desktop/Suyash/Valuation ^0 Financial Modelling/Projects/Valuation Project/Hindustan Unilever Ltd/"/>
    </mc:Choice>
  </mc:AlternateContent>
  <xr:revisionPtr revIDLastSave="6925" documentId="13_ncr:1_{B8FB72B3-0541-4C23-800A-D9FADB084A00}" xr6:coauthVersionLast="47" xr6:coauthVersionMax="47" xr10:uidLastSave="{D027AFA5-FB90-4791-A8CD-B3DFC62AD84D}"/>
  <bookViews>
    <workbookView xWindow="-108" yWindow="-108" windowWidth="23256" windowHeight="12456" tabRatio="919" xr2:uid="{00000000-000D-0000-FFFF-FFFF00000000}"/>
  </bookViews>
  <sheets>
    <sheet name="Cover Sheet&gt;" sheetId="1" r:id="rId1"/>
    <sheet name="Input Sheet" sheetId="27" r:id="rId2"/>
    <sheet name="Damodaran Data" sheetId="29" r:id="rId3"/>
    <sheet name="Control Sheet" sheetId="2" r:id="rId4"/>
    <sheet name="Schedules" sheetId="3" r:id="rId5"/>
    <sheet name="3Statement Model" sheetId="4" r:id="rId6"/>
    <sheet name="CommonSize Statement" sheetId="37" r:id="rId7"/>
    <sheet name="Ratio Analysis" sheetId="14" r:id="rId8"/>
    <sheet name="DuPont Analysis" sheetId="36" r:id="rId9"/>
    <sheet name="ROIIC Profiling- Saber" sheetId="35" r:id="rId10"/>
    <sheet name="DCF&gt;" sheetId="15" r:id="rId11"/>
    <sheet name="WACC" sheetId="28" r:id="rId12"/>
    <sheet name="DCFVal" sheetId="17" r:id="rId13"/>
    <sheet name="Relative&gt;" sheetId="31" r:id="rId14"/>
    <sheet name="Comps_Description " sheetId="38" r:id="rId15"/>
    <sheet name="Benchmarking" sheetId="39" r:id="rId16"/>
    <sheet name="Relative_Val" sheetId="43" r:id="rId17"/>
    <sheet name="Valuation Summary" sheetId="47" r:id="rId18"/>
    <sheet name="Workings&gt;" sheetId="26" r:id="rId19"/>
    <sheet name="Assumptions Working" sheetId="18" r:id="rId20"/>
    <sheet name="Report" sheetId="41" r:id="rId21"/>
    <sheet name="Growth Drivers" sheetId="25" r:id="rId22"/>
    <sheet name="Option value" sheetId="30" r:id="rId23"/>
    <sheet name="Client Data&gt;" sheetId="7" r:id="rId24"/>
    <sheet name=" Income Statement" sheetId="11" r:id="rId25"/>
    <sheet name=" Income Statement (2)" sheetId="22" state="hidden" r:id="rId26"/>
    <sheet name="Balance Sheet" sheetId="12" r:id="rId27"/>
    <sheet name="Cash Flow Statement" sheetId="24" r:id="rId28"/>
  </sheets>
  <externalReferences>
    <externalReference r:id="rId29"/>
  </externalReferences>
  <definedNames>
    <definedName name="CIQWBGuid" localSheetId="24" hidden="1">"96240483-c32e-4a08-b79f-43f13c36ee0e"</definedName>
    <definedName name="CIQWBGuid" localSheetId="25" hidden="1">"96240483-c32e-4a08-b79f-43f13c36ee0e"</definedName>
    <definedName name="CIQWBGuid" localSheetId="26" hidden="1">"96240483-c32e-4a08-b79f-43f13c36ee0e"</definedName>
    <definedName name="CIQWBGuid" localSheetId="27" hidden="1">"96240483-c32e-4a08-b79f-43f13c36ee0e"</definedName>
    <definedName name="CIQWBGuid" hidden="1">"9bd8df8b-044c-4dd6-a0df-b0c3f83b8dd9"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8" hidden="1">"08/31/2023 15:55:21"</definedName>
    <definedName name="IQ_NAMES_REVISION_DATE_" localSheetId="9" hidden="1">"08/31/2023 15:55:21"</definedName>
    <definedName name="IQ_NAMES_REVISION_DATE_" hidden="1">"06/08/2021 20:37:46"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4">' Income Statement'!$B$2:$G$53</definedName>
    <definedName name="_xlnm.Print_Area" localSheetId="25">' Income Statement (2)'!$B$2:$G$42</definedName>
    <definedName name="_xlnm.Print_Area" localSheetId="26">'Balance Sheet'!$B$2:$I$53</definedName>
    <definedName name="_xlnm.Print_Area" localSheetId="27">'Cash Flow Statement'!$B$2:$I$6</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43" l="1"/>
  <c r="B2" i="36"/>
  <c r="R359" i="41"/>
  <c r="Q359" i="41"/>
  <c r="P359" i="41"/>
  <c r="O359" i="41"/>
  <c r="N359" i="41"/>
  <c r="M359" i="41"/>
  <c r="L359" i="41"/>
  <c r="K359" i="41"/>
  <c r="J359" i="41"/>
  <c r="I359" i="41"/>
  <c r="H359" i="41"/>
  <c r="G359" i="41"/>
  <c r="F359" i="41"/>
  <c r="E359" i="41"/>
  <c r="D359" i="41"/>
  <c r="C359" i="41"/>
  <c r="C13" i="47"/>
  <c r="C12" i="47"/>
  <c r="C11" i="47"/>
  <c r="B3" i="47"/>
  <c r="D72" i="37"/>
  <c r="R408" i="41"/>
  <c r="Q408" i="41"/>
  <c r="P408" i="41"/>
  <c r="O408" i="41"/>
  <c r="N408" i="41"/>
  <c r="M408" i="41"/>
  <c r="L408" i="41"/>
  <c r="K408" i="41"/>
  <c r="J408" i="41"/>
  <c r="I408" i="41"/>
  <c r="H408" i="41"/>
  <c r="G408" i="41"/>
  <c r="F408" i="41"/>
  <c r="E408" i="41"/>
  <c r="D408" i="41"/>
  <c r="C408" i="41"/>
  <c r="R398" i="41"/>
  <c r="Q398" i="41"/>
  <c r="P398" i="41"/>
  <c r="O398" i="41"/>
  <c r="N398" i="41"/>
  <c r="M398" i="41"/>
  <c r="L398" i="41"/>
  <c r="K398" i="41"/>
  <c r="J398" i="41"/>
  <c r="I398" i="41"/>
  <c r="H398" i="41"/>
  <c r="G398" i="41"/>
  <c r="F398" i="41"/>
  <c r="E398" i="41"/>
  <c r="D398" i="41"/>
  <c r="C398" i="41"/>
  <c r="R394" i="41"/>
  <c r="Q394" i="41"/>
  <c r="P394" i="41"/>
  <c r="O394" i="41"/>
  <c r="N394" i="41"/>
  <c r="M394" i="41"/>
  <c r="L394" i="41"/>
  <c r="K394" i="41"/>
  <c r="J394" i="41"/>
  <c r="I394" i="41"/>
  <c r="H394" i="41"/>
  <c r="G394" i="41"/>
  <c r="F394" i="41"/>
  <c r="E394" i="41"/>
  <c r="R393" i="41"/>
  <c r="Q393" i="41"/>
  <c r="P393" i="41"/>
  <c r="O393" i="41"/>
  <c r="N393" i="41"/>
  <c r="M393" i="41"/>
  <c r="L393" i="41"/>
  <c r="K393" i="41"/>
  <c r="J393" i="41"/>
  <c r="I393" i="41"/>
  <c r="H393" i="41"/>
  <c r="G393" i="41"/>
  <c r="F393" i="41"/>
  <c r="E393" i="41"/>
  <c r="R392" i="41"/>
  <c r="Q392" i="41"/>
  <c r="P392" i="41"/>
  <c r="O392" i="41"/>
  <c r="N392" i="41"/>
  <c r="M392" i="41"/>
  <c r="L392" i="41"/>
  <c r="K392" i="41"/>
  <c r="J392" i="41"/>
  <c r="I392" i="41"/>
  <c r="H392" i="41"/>
  <c r="G392" i="41"/>
  <c r="F392" i="41"/>
  <c r="E392" i="41"/>
  <c r="R389" i="41"/>
  <c r="Q389" i="41"/>
  <c r="P389" i="41"/>
  <c r="O389" i="41"/>
  <c r="N389" i="41"/>
  <c r="M389" i="41"/>
  <c r="L389" i="41"/>
  <c r="K389" i="41"/>
  <c r="J389" i="41"/>
  <c r="I389" i="41"/>
  <c r="H389" i="41"/>
  <c r="G389" i="41"/>
  <c r="F389" i="41"/>
  <c r="E389" i="41"/>
  <c r="D389" i="41"/>
  <c r="R388" i="41"/>
  <c r="Q388" i="41"/>
  <c r="P388" i="41"/>
  <c r="O388" i="41"/>
  <c r="N388" i="41"/>
  <c r="M388" i="41"/>
  <c r="L388" i="41"/>
  <c r="K388" i="41"/>
  <c r="J388" i="41"/>
  <c r="I388" i="41"/>
  <c r="H388" i="41"/>
  <c r="G388" i="41"/>
  <c r="F388" i="41"/>
  <c r="E388" i="41"/>
  <c r="D388" i="41"/>
  <c r="C389" i="41"/>
  <c r="C388" i="41"/>
  <c r="R387" i="41"/>
  <c r="Q387" i="41"/>
  <c r="P387" i="41"/>
  <c r="O387" i="41"/>
  <c r="N387" i="41"/>
  <c r="M387" i="41"/>
  <c r="L387" i="41"/>
  <c r="K387" i="41"/>
  <c r="J387" i="41"/>
  <c r="I387" i="41"/>
  <c r="H387" i="41"/>
  <c r="G387" i="41"/>
  <c r="F387" i="41"/>
  <c r="E387" i="41"/>
  <c r="D387" i="41"/>
  <c r="C387" i="41"/>
  <c r="R381" i="41"/>
  <c r="Q381" i="41"/>
  <c r="P381" i="41"/>
  <c r="O381" i="41"/>
  <c r="N381" i="41"/>
  <c r="M381" i="41"/>
  <c r="L381" i="41"/>
  <c r="K381" i="41"/>
  <c r="J381" i="41"/>
  <c r="I381" i="41"/>
  <c r="H381" i="41"/>
  <c r="G381" i="41"/>
  <c r="F381" i="41"/>
  <c r="E381" i="41"/>
  <c r="D381" i="41"/>
  <c r="C381" i="41"/>
  <c r="R379" i="41"/>
  <c r="Q379" i="41"/>
  <c r="P379" i="41"/>
  <c r="O379" i="41"/>
  <c r="N379" i="41"/>
  <c r="M379" i="41"/>
  <c r="L379" i="41"/>
  <c r="K379" i="41"/>
  <c r="J379" i="41"/>
  <c r="I379" i="41"/>
  <c r="H379" i="41"/>
  <c r="G379" i="41"/>
  <c r="F379" i="41"/>
  <c r="E379" i="41"/>
  <c r="D379" i="41"/>
  <c r="C379" i="41"/>
  <c r="R377" i="41"/>
  <c r="R378" i="41" s="1"/>
  <c r="Q377" i="41"/>
  <c r="Q378" i="41" s="1"/>
  <c r="P377" i="41"/>
  <c r="P378" i="41" s="1"/>
  <c r="O377" i="41"/>
  <c r="O378" i="41" s="1"/>
  <c r="N377" i="41"/>
  <c r="N378" i="41" s="1"/>
  <c r="M377" i="41"/>
  <c r="M378" i="41" s="1"/>
  <c r="L377" i="41"/>
  <c r="L378" i="41" s="1"/>
  <c r="K377" i="41"/>
  <c r="K378" i="41" s="1"/>
  <c r="J377" i="41"/>
  <c r="J378" i="41" s="1"/>
  <c r="I377" i="41"/>
  <c r="I378" i="41" s="1"/>
  <c r="H377" i="41"/>
  <c r="H378" i="41" s="1"/>
  <c r="G377" i="41"/>
  <c r="G378" i="41" s="1"/>
  <c r="F377" i="41"/>
  <c r="F378" i="41" s="1"/>
  <c r="E377" i="41"/>
  <c r="E378" i="41" s="1"/>
  <c r="D377" i="41"/>
  <c r="D378" i="41" s="1"/>
  <c r="C377" i="41"/>
  <c r="C378" i="41" s="1"/>
  <c r="R358" i="41"/>
  <c r="Q358" i="41"/>
  <c r="P358" i="41"/>
  <c r="O358" i="41"/>
  <c r="N358" i="41"/>
  <c r="M358" i="41"/>
  <c r="L358" i="41"/>
  <c r="K358" i="41"/>
  <c r="J358" i="41"/>
  <c r="I358" i="41"/>
  <c r="H358" i="41"/>
  <c r="G358" i="41"/>
  <c r="F358" i="41"/>
  <c r="E358" i="41"/>
  <c r="D358" i="41"/>
  <c r="C358" i="41"/>
  <c r="R357" i="41"/>
  <c r="Q357" i="41"/>
  <c r="P357" i="41"/>
  <c r="O357" i="41"/>
  <c r="N357" i="41"/>
  <c r="M357" i="41"/>
  <c r="L357" i="41"/>
  <c r="K357" i="41"/>
  <c r="J357" i="41"/>
  <c r="I357" i="41"/>
  <c r="H357" i="41"/>
  <c r="G357" i="41"/>
  <c r="F357" i="41"/>
  <c r="E357" i="41"/>
  <c r="D357" i="41"/>
  <c r="C357" i="41"/>
  <c r="I706" i="18"/>
  <c r="H719" i="18"/>
  <c r="N716" i="18"/>
  <c r="M716" i="18"/>
  <c r="L716" i="18"/>
  <c r="K716" i="18"/>
  <c r="J716" i="18"/>
  <c r="I716" i="18"/>
  <c r="H716" i="18"/>
  <c r="G716" i="18"/>
  <c r="F716" i="18"/>
  <c r="E716" i="18"/>
  <c r="E115" i="4"/>
  <c r="I719" i="18"/>
  <c r="R356" i="41"/>
  <c r="Q356" i="41"/>
  <c r="P356" i="41"/>
  <c r="O356" i="41"/>
  <c r="N356" i="41"/>
  <c r="M356" i="41"/>
  <c r="L356" i="41"/>
  <c r="K356" i="41"/>
  <c r="J356" i="41"/>
  <c r="I356" i="41"/>
  <c r="H356" i="41"/>
  <c r="G356" i="41"/>
  <c r="F356" i="41"/>
  <c r="E356" i="41"/>
  <c r="D356" i="41"/>
  <c r="C356" i="41"/>
  <c r="R354" i="41"/>
  <c r="Q354" i="41"/>
  <c r="P354" i="41"/>
  <c r="O354" i="41"/>
  <c r="N354" i="41"/>
  <c r="M354" i="41"/>
  <c r="L354" i="41"/>
  <c r="K354" i="41"/>
  <c r="J354" i="41"/>
  <c r="I354" i="41"/>
  <c r="H354" i="41"/>
  <c r="G354" i="41"/>
  <c r="F354" i="41"/>
  <c r="E354" i="41"/>
  <c r="D354" i="41"/>
  <c r="C354" i="41"/>
  <c r="R353" i="41"/>
  <c r="Q353" i="41"/>
  <c r="P353" i="41"/>
  <c r="O353" i="41"/>
  <c r="N353" i="41"/>
  <c r="M353" i="41"/>
  <c r="L353" i="41"/>
  <c r="K353" i="41"/>
  <c r="J353" i="41"/>
  <c r="I353" i="41"/>
  <c r="E618" i="18"/>
  <c r="R339" i="41"/>
  <c r="Q339" i="41"/>
  <c r="P339" i="41"/>
  <c r="O339" i="41"/>
  <c r="N339" i="41"/>
  <c r="M339" i="41"/>
  <c r="L339" i="41"/>
  <c r="K339" i="41"/>
  <c r="J339" i="41"/>
  <c r="I339" i="41"/>
  <c r="H339" i="41"/>
  <c r="G339" i="41"/>
  <c r="F339" i="41"/>
  <c r="E339" i="41"/>
  <c r="D339" i="41"/>
  <c r="C339" i="41"/>
  <c r="R338" i="41"/>
  <c r="Q338" i="41"/>
  <c r="P338" i="41"/>
  <c r="O338" i="41"/>
  <c r="N338" i="41"/>
  <c r="M338" i="41"/>
  <c r="L338" i="41"/>
  <c r="K338" i="41"/>
  <c r="J338" i="41"/>
  <c r="I338" i="41"/>
  <c r="H338" i="41"/>
  <c r="G338" i="41"/>
  <c r="F338" i="41"/>
  <c r="E338" i="41"/>
  <c r="D338" i="41"/>
  <c r="D335" i="41"/>
  <c r="E335" i="41" s="1"/>
  <c r="F335" i="41" s="1"/>
  <c r="G335" i="41" s="1"/>
  <c r="H335" i="41" s="1"/>
  <c r="I335" i="41" s="1"/>
  <c r="J335" i="41" s="1"/>
  <c r="K335" i="41" s="1"/>
  <c r="L335" i="41" s="1"/>
  <c r="M335" i="41" s="1"/>
  <c r="N335" i="41" s="1"/>
  <c r="O335" i="41" s="1"/>
  <c r="P335" i="41" s="1"/>
  <c r="Q335" i="41" s="1"/>
  <c r="R335" i="41" s="1"/>
  <c r="C75" i="43"/>
  <c r="C74" i="43"/>
  <c r="C73" i="43"/>
  <c r="C72" i="43"/>
  <c r="B69" i="43"/>
  <c r="C69" i="43" s="1"/>
  <c r="C67" i="43"/>
  <c r="C66" i="43"/>
  <c r="C70" i="43" s="1"/>
  <c r="C76" i="43" s="1"/>
  <c r="C65" i="43"/>
  <c r="C51" i="43"/>
  <c r="C50" i="43"/>
  <c r="C32" i="43"/>
  <c r="C56" i="43"/>
  <c r="C55" i="43"/>
  <c r="C54" i="43"/>
  <c r="C53" i="43"/>
  <c r="B50" i="43"/>
  <c r="C48" i="43"/>
  <c r="C47" i="43"/>
  <c r="C46" i="43"/>
  <c r="C30" i="43"/>
  <c r="C29" i="43"/>
  <c r="C28" i="43"/>
  <c r="C38" i="43"/>
  <c r="C35" i="43"/>
  <c r="C36" i="43"/>
  <c r="C37" i="43"/>
  <c r="E43" i="17"/>
  <c r="AP23" i="43"/>
  <c r="H23" i="43"/>
  <c r="E23" i="43"/>
  <c r="AP22" i="43"/>
  <c r="H22" i="43"/>
  <c r="E22" i="43"/>
  <c r="AP21" i="43"/>
  <c r="H21" i="43"/>
  <c r="E21" i="43"/>
  <c r="AP20" i="43"/>
  <c r="H20" i="43"/>
  <c r="E20" i="43"/>
  <c r="AP19" i="43"/>
  <c r="H19" i="43"/>
  <c r="E19" i="43"/>
  <c r="AP18" i="43"/>
  <c r="H18" i="43"/>
  <c r="E18" i="43"/>
  <c r="D21" i="43"/>
  <c r="D23" i="43"/>
  <c r="D22" i="43"/>
  <c r="D20" i="43"/>
  <c r="D19" i="43"/>
  <c r="D18" i="43"/>
  <c r="AO10" i="43"/>
  <c r="AN10" i="43"/>
  <c r="AM10" i="43"/>
  <c r="AL10" i="43"/>
  <c r="AK10" i="43"/>
  <c r="AJ10" i="43"/>
  <c r="AI10" i="43"/>
  <c r="AH10" i="43"/>
  <c r="AG10" i="43"/>
  <c r="AF10" i="43"/>
  <c r="AE10" i="43"/>
  <c r="AD10" i="43"/>
  <c r="AC10" i="43"/>
  <c r="AB10" i="43"/>
  <c r="AA10" i="43"/>
  <c r="Z10" i="43"/>
  <c r="Y10" i="43"/>
  <c r="X10" i="43"/>
  <c r="W10" i="43"/>
  <c r="V10" i="43"/>
  <c r="U10" i="43"/>
  <c r="T10" i="43"/>
  <c r="S10" i="43"/>
  <c r="R10" i="43"/>
  <c r="Q10" i="43"/>
  <c r="P10" i="43"/>
  <c r="O10" i="43"/>
  <c r="N10" i="43"/>
  <c r="M10" i="43"/>
  <c r="L10" i="43"/>
  <c r="K10" i="43"/>
  <c r="J10" i="43"/>
  <c r="I10" i="43"/>
  <c r="F10" i="43"/>
  <c r="G16" i="43"/>
  <c r="G15" i="43"/>
  <c r="G14" i="43"/>
  <c r="G13" i="43"/>
  <c r="G12" i="43"/>
  <c r="G11" i="43"/>
  <c r="B32" i="43"/>
  <c r="J9" i="43"/>
  <c r="K9" i="43" s="1"/>
  <c r="L9" i="43" s="1"/>
  <c r="M9" i="43" s="1"/>
  <c r="N9" i="43" s="1"/>
  <c r="O9" i="43" s="1"/>
  <c r="P9" i="43" s="1"/>
  <c r="Q9" i="43" s="1"/>
  <c r="R9" i="43" s="1"/>
  <c r="S9" i="43" s="1"/>
  <c r="T8" i="43"/>
  <c r="J8" i="43"/>
  <c r="K8" i="43" s="1"/>
  <c r="L8" i="43" s="1"/>
  <c r="M8" i="43" s="1"/>
  <c r="N8" i="43" s="1"/>
  <c r="O8" i="43" s="1"/>
  <c r="P8" i="43" s="1"/>
  <c r="Q8" i="43" s="1"/>
  <c r="R8" i="43" s="1"/>
  <c r="S8" i="43" s="1"/>
  <c r="D331" i="41"/>
  <c r="E331" i="41" s="1"/>
  <c r="F331" i="41" s="1"/>
  <c r="G331" i="41" s="1"/>
  <c r="H331" i="41" s="1"/>
  <c r="I331" i="41" s="1"/>
  <c r="J331" i="41" s="1"/>
  <c r="K331" i="41" s="1"/>
  <c r="L331" i="41" s="1"/>
  <c r="M331" i="41" s="1"/>
  <c r="N331" i="41" s="1"/>
  <c r="O331" i="41" s="1"/>
  <c r="P331" i="41" s="1"/>
  <c r="Q331" i="41" s="1"/>
  <c r="R331" i="41" s="1"/>
  <c r="I460" i="41"/>
  <c r="H460" i="41"/>
  <c r="G460" i="41"/>
  <c r="F460" i="41"/>
  <c r="E460" i="41"/>
  <c r="D460" i="41"/>
  <c r="C460" i="41"/>
  <c r="I479" i="41"/>
  <c r="I480" i="41"/>
  <c r="H480" i="41"/>
  <c r="G480" i="41"/>
  <c r="F480" i="41"/>
  <c r="E480" i="41"/>
  <c r="D480" i="41"/>
  <c r="C480" i="41"/>
  <c r="H479" i="41"/>
  <c r="G479" i="41"/>
  <c r="F479" i="41"/>
  <c r="E479" i="41"/>
  <c r="D479" i="41"/>
  <c r="C479" i="41"/>
  <c r="L477" i="41"/>
  <c r="K477" i="41"/>
  <c r="L476" i="41"/>
  <c r="K476" i="41"/>
  <c r="L475" i="41"/>
  <c r="K475" i="41"/>
  <c r="L474" i="41"/>
  <c r="K474" i="41"/>
  <c r="D473" i="41"/>
  <c r="E473" i="41" s="1"/>
  <c r="F473" i="41" s="1"/>
  <c r="G473" i="41" s="1"/>
  <c r="H473" i="41" s="1"/>
  <c r="I473" i="41" s="1"/>
  <c r="D459" i="41"/>
  <c r="E459" i="41" s="1"/>
  <c r="F459" i="41" s="1"/>
  <c r="G459" i="41" s="1"/>
  <c r="H459" i="41" s="1"/>
  <c r="I459" i="41" s="1"/>
  <c r="R329" i="41"/>
  <c r="Q329" i="41"/>
  <c r="P329" i="41"/>
  <c r="O329" i="41"/>
  <c r="N329" i="41"/>
  <c r="M329" i="41"/>
  <c r="L329" i="41"/>
  <c r="K329" i="41"/>
  <c r="J329" i="41"/>
  <c r="I329" i="41"/>
  <c r="D327" i="41"/>
  <c r="E327" i="41" s="1"/>
  <c r="F327" i="41" s="1"/>
  <c r="G327" i="41" s="1"/>
  <c r="H327" i="41" s="1"/>
  <c r="I327" i="41" s="1"/>
  <c r="J327" i="41" s="1"/>
  <c r="K327" i="41" s="1"/>
  <c r="L327" i="41" s="1"/>
  <c r="M327" i="41" s="1"/>
  <c r="N327" i="41" s="1"/>
  <c r="O327" i="41" s="1"/>
  <c r="P327" i="41" s="1"/>
  <c r="Q327" i="41" s="1"/>
  <c r="R327" i="41" s="1"/>
  <c r="M66" i="28"/>
  <c r="M67" i="28"/>
  <c r="M68" i="28"/>
  <c r="M72" i="28"/>
  <c r="M74" i="28"/>
  <c r="M75" i="28"/>
  <c r="K376" i="18"/>
  <c r="J376" i="18"/>
  <c r="I376" i="18"/>
  <c r="H376" i="18"/>
  <c r="G376" i="18"/>
  <c r="F376" i="18"/>
  <c r="K375" i="18"/>
  <c r="J375" i="18"/>
  <c r="I375" i="18"/>
  <c r="H375" i="18"/>
  <c r="G375" i="18"/>
  <c r="F375" i="18"/>
  <c r="E376" i="18"/>
  <c r="E375" i="18"/>
  <c r="N373" i="18"/>
  <c r="M373" i="18"/>
  <c r="N372" i="18"/>
  <c r="M372" i="18"/>
  <c r="N371" i="18"/>
  <c r="M371" i="18"/>
  <c r="N370" i="18"/>
  <c r="M370" i="18"/>
  <c r="F369" i="18"/>
  <c r="G369" i="18" s="1"/>
  <c r="H369" i="18" s="1"/>
  <c r="I369" i="18" s="1"/>
  <c r="J369" i="18" s="1"/>
  <c r="K369" i="18" s="1"/>
  <c r="B2" i="39"/>
  <c r="B2" i="38"/>
  <c r="H61" i="39"/>
  <c r="H62" i="39" s="1"/>
  <c r="H60" i="39"/>
  <c r="C58" i="39"/>
  <c r="C57" i="39"/>
  <c r="C56" i="39"/>
  <c r="C55" i="39"/>
  <c r="C54" i="39"/>
  <c r="C53" i="39"/>
  <c r="C47" i="39"/>
  <c r="C48" i="39" s="1"/>
  <c r="C46" i="39"/>
  <c r="H33" i="39"/>
  <c r="H34" i="39" s="1"/>
  <c r="C33" i="39"/>
  <c r="C34" i="39" s="1"/>
  <c r="H32" i="39"/>
  <c r="C32" i="39"/>
  <c r="J21" i="17"/>
  <c r="I21" i="17"/>
  <c r="H21" i="17"/>
  <c r="G21" i="17"/>
  <c r="F21" i="17"/>
  <c r="E21" i="17"/>
  <c r="I98" i="37"/>
  <c r="H98" i="37"/>
  <c r="G98" i="37"/>
  <c r="F98" i="37"/>
  <c r="E98" i="37"/>
  <c r="D98" i="37"/>
  <c r="I96" i="37"/>
  <c r="H96" i="37"/>
  <c r="G96" i="37"/>
  <c r="F96" i="37"/>
  <c r="E96" i="37"/>
  <c r="D96" i="37"/>
  <c r="I95" i="37"/>
  <c r="H95" i="37"/>
  <c r="G95" i="37"/>
  <c r="F95" i="37"/>
  <c r="E95" i="37"/>
  <c r="D95" i="37"/>
  <c r="I94" i="37"/>
  <c r="H94" i="37"/>
  <c r="G94" i="37"/>
  <c r="F94" i="37"/>
  <c r="E94" i="37"/>
  <c r="D94" i="37"/>
  <c r="I93" i="37"/>
  <c r="H93" i="37"/>
  <c r="G93" i="37"/>
  <c r="F93" i="37"/>
  <c r="E93" i="37"/>
  <c r="D93" i="37"/>
  <c r="I92" i="37"/>
  <c r="H92" i="37"/>
  <c r="G92" i="37"/>
  <c r="F92" i="37"/>
  <c r="E92" i="37"/>
  <c r="D92" i="37"/>
  <c r="I91" i="37"/>
  <c r="H91" i="37"/>
  <c r="G91" i="37"/>
  <c r="F91" i="37"/>
  <c r="E91" i="37"/>
  <c r="D91" i="37"/>
  <c r="I90" i="37"/>
  <c r="H90" i="37"/>
  <c r="G90" i="37"/>
  <c r="F90" i="37"/>
  <c r="E90" i="37"/>
  <c r="D90" i="37"/>
  <c r="I89" i="37"/>
  <c r="H89" i="37"/>
  <c r="G89" i="37"/>
  <c r="F89" i="37"/>
  <c r="E89" i="37"/>
  <c r="D89" i="37"/>
  <c r="I87" i="37"/>
  <c r="H87" i="37"/>
  <c r="G87" i="37"/>
  <c r="F87" i="37"/>
  <c r="E87" i="37"/>
  <c r="D87" i="37"/>
  <c r="I84" i="37"/>
  <c r="H84" i="37"/>
  <c r="G84" i="37"/>
  <c r="F84" i="37"/>
  <c r="E84" i="37"/>
  <c r="D84" i="37"/>
  <c r="I83" i="37"/>
  <c r="H83" i="37"/>
  <c r="G83" i="37"/>
  <c r="F83" i="37"/>
  <c r="E83" i="37"/>
  <c r="D83" i="37"/>
  <c r="I82" i="37"/>
  <c r="H82" i="37"/>
  <c r="G82" i="37"/>
  <c r="F82" i="37"/>
  <c r="E82" i="37"/>
  <c r="D82" i="37"/>
  <c r="I81" i="37"/>
  <c r="H81" i="37"/>
  <c r="G81" i="37"/>
  <c r="F81" i="37"/>
  <c r="E81" i="37"/>
  <c r="D81" i="37"/>
  <c r="I80" i="37"/>
  <c r="H80" i="37"/>
  <c r="G80" i="37"/>
  <c r="F80" i="37"/>
  <c r="E80" i="37"/>
  <c r="D80" i="37"/>
  <c r="I79" i="37"/>
  <c r="H79" i="37"/>
  <c r="G79" i="37"/>
  <c r="F79" i="37"/>
  <c r="E79" i="37"/>
  <c r="D79" i="37"/>
  <c r="I78" i="37"/>
  <c r="H78" i="37"/>
  <c r="G78" i="37"/>
  <c r="F78" i="37"/>
  <c r="E78" i="37"/>
  <c r="D78" i="37"/>
  <c r="I76" i="37"/>
  <c r="H76" i="37"/>
  <c r="G76" i="37"/>
  <c r="F76" i="37"/>
  <c r="E76" i="37"/>
  <c r="D76" i="37"/>
  <c r="I75" i="37"/>
  <c r="H75" i="37"/>
  <c r="G75" i="37"/>
  <c r="F75" i="37"/>
  <c r="E75" i="37"/>
  <c r="D75" i="37"/>
  <c r="I74" i="37"/>
  <c r="H74" i="37"/>
  <c r="G74" i="37"/>
  <c r="F74" i="37"/>
  <c r="E74" i="37"/>
  <c r="D74" i="37"/>
  <c r="I73" i="37"/>
  <c r="H73" i="37"/>
  <c r="G73" i="37"/>
  <c r="F73" i="37"/>
  <c r="E73" i="37"/>
  <c r="D73" i="37"/>
  <c r="I72" i="37"/>
  <c r="H72" i="37"/>
  <c r="G72" i="37"/>
  <c r="F72" i="37"/>
  <c r="E72" i="37"/>
  <c r="I68" i="37"/>
  <c r="H68" i="37"/>
  <c r="G68" i="37"/>
  <c r="F68" i="37"/>
  <c r="E68" i="37"/>
  <c r="D68" i="37"/>
  <c r="I66" i="37"/>
  <c r="H66" i="37"/>
  <c r="G66" i="37"/>
  <c r="F66" i="37"/>
  <c r="E66" i="37"/>
  <c r="D66" i="37"/>
  <c r="I65" i="37"/>
  <c r="H65" i="37"/>
  <c r="G65" i="37"/>
  <c r="F65" i="37"/>
  <c r="E65" i="37"/>
  <c r="D65" i="37"/>
  <c r="I64" i="37"/>
  <c r="H64" i="37"/>
  <c r="G64" i="37"/>
  <c r="F64" i="37"/>
  <c r="E64" i="37"/>
  <c r="D64" i="37"/>
  <c r="I63" i="37"/>
  <c r="H63" i="37"/>
  <c r="G63" i="37"/>
  <c r="F63" i="37"/>
  <c r="E63" i="37"/>
  <c r="D63" i="37"/>
  <c r="I62" i="37"/>
  <c r="H62" i="37"/>
  <c r="G62" i="37"/>
  <c r="F62" i="37"/>
  <c r="E62" i="37"/>
  <c r="D62" i="37"/>
  <c r="I61" i="37"/>
  <c r="H61" i="37"/>
  <c r="G61" i="37"/>
  <c r="F61" i="37"/>
  <c r="E61" i="37"/>
  <c r="D61" i="37"/>
  <c r="I60" i="37"/>
  <c r="H60" i="37"/>
  <c r="G60" i="37"/>
  <c r="F60" i="37"/>
  <c r="E60" i="37"/>
  <c r="D60" i="37"/>
  <c r="I59" i="37"/>
  <c r="H59" i="37"/>
  <c r="G59" i="37"/>
  <c r="F59" i="37"/>
  <c r="E59" i="37"/>
  <c r="D59" i="37"/>
  <c r="I55" i="37"/>
  <c r="H55" i="37"/>
  <c r="G55" i="37"/>
  <c r="F55" i="37"/>
  <c r="E55" i="37"/>
  <c r="D55" i="37"/>
  <c r="I54" i="37"/>
  <c r="H54" i="37"/>
  <c r="G54" i="37"/>
  <c r="F54" i="37"/>
  <c r="E54" i="37"/>
  <c r="D54" i="37"/>
  <c r="I53" i="37"/>
  <c r="H53" i="37"/>
  <c r="G53" i="37"/>
  <c r="F53" i="37"/>
  <c r="E53" i="37"/>
  <c r="D53" i="37"/>
  <c r="I52" i="37"/>
  <c r="H52" i="37"/>
  <c r="G52" i="37"/>
  <c r="F52" i="37"/>
  <c r="E52" i="37"/>
  <c r="D52" i="37"/>
  <c r="I51" i="37"/>
  <c r="H51" i="37"/>
  <c r="G51" i="37"/>
  <c r="F51" i="37"/>
  <c r="E51" i="37"/>
  <c r="D51" i="37"/>
  <c r="I50" i="37"/>
  <c r="H50" i="37"/>
  <c r="G50" i="37"/>
  <c r="F50" i="37"/>
  <c r="E50" i="37"/>
  <c r="D50" i="37"/>
  <c r="I46" i="37"/>
  <c r="H46" i="37"/>
  <c r="G46" i="37"/>
  <c r="F46" i="37"/>
  <c r="E46" i="37"/>
  <c r="D46" i="37"/>
  <c r="I45" i="37"/>
  <c r="H45" i="37"/>
  <c r="G45" i="37"/>
  <c r="F45" i="37"/>
  <c r="E45" i="37"/>
  <c r="D45" i="37"/>
  <c r="I44" i="37"/>
  <c r="H44" i="37"/>
  <c r="G44" i="37"/>
  <c r="F44" i="37"/>
  <c r="E44" i="37"/>
  <c r="D44" i="37"/>
  <c r="I43" i="37"/>
  <c r="H43" i="37"/>
  <c r="G43" i="37"/>
  <c r="F43" i="37"/>
  <c r="E43" i="37"/>
  <c r="D43" i="37"/>
  <c r="I42" i="37"/>
  <c r="H42" i="37"/>
  <c r="G42" i="37"/>
  <c r="F42" i="37"/>
  <c r="E42" i="37"/>
  <c r="D42" i="37"/>
  <c r="I36" i="37"/>
  <c r="H36" i="37"/>
  <c r="G36" i="37"/>
  <c r="F36" i="37"/>
  <c r="E36" i="37"/>
  <c r="D36" i="37"/>
  <c r="I35" i="37"/>
  <c r="H35" i="37"/>
  <c r="G35" i="37"/>
  <c r="F35" i="37"/>
  <c r="E35" i="37"/>
  <c r="D35" i="37"/>
  <c r="I33" i="37"/>
  <c r="H33" i="37"/>
  <c r="G33" i="37"/>
  <c r="F33" i="37"/>
  <c r="E33" i="37"/>
  <c r="D33" i="37"/>
  <c r="S31" i="37"/>
  <c r="R31" i="37"/>
  <c r="Q31" i="37"/>
  <c r="P31" i="37"/>
  <c r="O31" i="37"/>
  <c r="N31" i="37"/>
  <c r="M31" i="37"/>
  <c r="L31" i="37"/>
  <c r="K31" i="37"/>
  <c r="J31" i="37"/>
  <c r="I31" i="37"/>
  <c r="H31" i="37"/>
  <c r="G31" i="37"/>
  <c r="F31" i="37"/>
  <c r="E31" i="37"/>
  <c r="D31" i="37"/>
  <c r="S30" i="37"/>
  <c r="R30" i="37"/>
  <c r="Q30" i="37"/>
  <c r="P30" i="37"/>
  <c r="O30" i="37"/>
  <c r="N30" i="37"/>
  <c r="M30" i="37"/>
  <c r="L30" i="37"/>
  <c r="K30" i="37"/>
  <c r="J30" i="37"/>
  <c r="I30" i="37"/>
  <c r="H30" i="37"/>
  <c r="G30" i="37"/>
  <c r="F30" i="37"/>
  <c r="E30" i="37"/>
  <c r="D30" i="37"/>
  <c r="S29" i="37"/>
  <c r="R29" i="37"/>
  <c r="Q29" i="37"/>
  <c r="P29" i="37"/>
  <c r="O29" i="37"/>
  <c r="N29" i="37"/>
  <c r="M29" i="37"/>
  <c r="L29" i="37"/>
  <c r="K29" i="37"/>
  <c r="J29" i="37"/>
  <c r="I29" i="37"/>
  <c r="H29" i="37"/>
  <c r="G29" i="37"/>
  <c r="F29" i="37"/>
  <c r="E29" i="37"/>
  <c r="D29" i="37"/>
  <c r="I28" i="37"/>
  <c r="H28" i="37"/>
  <c r="G28" i="37"/>
  <c r="F28" i="37"/>
  <c r="E28" i="37"/>
  <c r="D28" i="37"/>
  <c r="I26" i="37"/>
  <c r="H26" i="37"/>
  <c r="G26" i="37"/>
  <c r="F26" i="37"/>
  <c r="E26" i="37"/>
  <c r="D26" i="37"/>
  <c r="I25" i="37"/>
  <c r="H25" i="37"/>
  <c r="G25" i="37"/>
  <c r="F25" i="37"/>
  <c r="E25" i="37"/>
  <c r="D25" i="37"/>
  <c r="D15" i="37"/>
  <c r="S22" i="37"/>
  <c r="R22" i="37"/>
  <c r="Q22" i="37"/>
  <c r="P22" i="37"/>
  <c r="O22" i="37"/>
  <c r="N22" i="37"/>
  <c r="M22" i="37"/>
  <c r="L22" i="37"/>
  <c r="K22" i="37"/>
  <c r="J22" i="37"/>
  <c r="I22" i="37"/>
  <c r="H22" i="37"/>
  <c r="G22" i="37"/>
  <c r="F22" i="37"/>
  <c r="E22" i="37"/>
  <c r="D22" i="37"/>
  <c r="S20" i="37"/>
  <c r="R20" i="37"/>
  <c r="Q20" i="37"/>
  <c r="P20" i="37"/>
  <c r="O20" i="37"/>
  <c r="N20" i="37"/>
  <c r="M20" i="37"/>
  <c r="L20" i="37"/>
  <c r="K20" i="37"/>
  <c r="J20" i="37"/>
  <c r="I20" i="37"/>
  <c r="H20" i="37"/>
  <c r="G20" i="37"/>
  <c r="F20" i="37"/>
  <c r="E20" i="37"/>
  <c r="D20" i="37"/>
  <c r="S19" i="37"/>
  <c r="R19" i="37"/>
  <c r="Q19" i="37"/>
  <c r="P19" i="37"/>
  <c r="O19" i="37"/>
  <c r="N19" i="37"/>
  <c r="M19" i="37"/>
  <c r="L19" i="37"/>
  <c r="K19" i="37"/>
  <c r="J19" i="37"/>
  <c r="I19" i="37"/>
  <c r="H19" i="37"/>
  <c r="G19" i="37"/>
  <c r="F19" i="37"/>
  <c r="E19" i="37"/>
  <c r="D19" i="37"/>
  <c r="S18" i="37"/>
  <c r="R18" i="37"/>
  <c r="Q18" i="37"/>
  <c r="P18" i="37"/>
  <c r="O18" i="37"/>
  <c r="N18" i="37"/>
  <c r="M18" i="37"/>
  <c r="L18" i="37"/>
  <c r="K18" i="37"/>
  <c r="J18" i="37"/>
  <c r="I18" i="37"/>
  <c r="H18" i="37"/>
  <c r="G18" i="37"/>
  <c r="F18" i="37"/>
  <c r="E18" i="37"/>
  <c r="D18" i="37"/>
  <c r="S15" i="37"/>
  <c r="R15" i="37"/>
  <c r="Q15" i="37"/>
  <c r="P15" i="37"/>
  <c r="O15" i="37"/>
  <c r="N15" i="37"/>
  <c r="M15" i="37"/>
  <c r="L15" i="37"/>
  <c r="K15" i="37"/>
  <c r="J15" i="37"/>
  <c r="I15" i="37"/>
  <c r="H15" i="37"/>
  <c r="G15" i="37"/>
  <c r="F15" i="37"/>
  <c r="E15" i="37"/>
  <c r="S14" i="37"/>
  <c r="R14" i="37"/>
  <c r="Q14" i="37"/>
  <c r="P14" i="37"/>
  <c r="O14" i="37"/>
  <c r="N14" i="37"/>
  <c r="M14" i="37"/>
  <c r="L14" i="37"/>
  <c r="K14" i="37"/>
  <c r="J14" i="37"/>
  <c r="I14" i="37"/>
  <c r="H14" i="37"/>
  <c r="G14" i="37"/>
  <c r="F14" i="37"/>
  <c r="E14" i="37"/>
  <c r="D14" i="37"/>
  <c r="S13" i="37"/>
  <c r="R13" i="37"/>
  <c r="Q13" i="37"/>
  <c r="P13" i="37"/>
  <c r="O13" i="37"/>
  <c r="N13" i="37"/>
  <c r="M13" i="37"/>
  <c r="L13" i="37"/>
  <c r="K13" i="37"/>
  <c r="J13" i="37"/>
  <c r="I13" i="37"/>
  <c r="H13" i="37"/>
  <c r="G13" i="37"/>
  <c r="F13" i="37"/>
  <c r="E13" i="37"/>
  <c r="D13" i="37"/>
  <c r="E9" i="37"/>
  <c r="B2" i="37"/>
  <c r="D106" i="36"/>
  <c r="H89" i="36"/>
  <c r="G89" i="36"/>
  <c r="F89" i="36"/>
  <c r="E89" i="36"/>
  <c r="D89" i="36"/>
  <c r="H88" i="36"/>
  <c r="G88" i="36"/>
  <c r="F88" i="36"/>
  <c r="E88" i="36"/>
  <c r="D88" i="36"/>
  <c r="E111" i="36"/>
  <c r="E112" i="36"/>
  <c r="E110" i="36"/>
  <c r="G106" i="36"/>
  <c r="C101" i="36"/>
  <c r="D109" i="36" s="1"/>
  <c r="C89" i="36"/>
  <c r="C88" i="36"/>
  <c r="H87" i="36"/>
  <c r="G87" i="36"/>
  <c r="F87" i="36"/>
  <c r="E87" i="36"/>
  <c r="D87" i="36"/>
  <c r="C87" i="36"/>
  <c r="S92" i="14"/>
  <c r="R92" i="14"/>
  <c r="Q92" i="14"/>
  <c r="P92" i="14"/>
  <c r="O92" i="14"/>
  <c r="N92" i="14"/>
  <c r="M92" i="14"/>
  <c r="L92" i="14"/>
  <c r="K92" i="14"/>
  <c r="J92" i="14"/>
  <c r="I92" i="14"/>
  <c r="H92" i="14"/>
  <c r="G92" i="14"/>
  <c r="F92" i="14"/>
  <c r="E92" i="14"/>
  <c r="D92" i="14"/>
  <c r="I91" i="14"/>
  <c r="H91" i="14"/>
  <c r="G91" i="14"/>
  <c r="F91" i="14"/>
  <c r="E91" i="14"/>
  <c r="D91" i="14"/>
  <c r="I79" i="14"/>
  <c r="H79" i="14"/>
  <c r="G79" i="14"/>
  <c r="F79" i="14"/>
  <c r="E79" i="14"/>
  <c r="D79" i="14"/>
  <c r="I78" i="14"/>
  <c r="H78" i="14"/>
  <c r="G78" i="14"/>
  <c r="F78" i="14"/>
  <c r="E78" i="14"/>
  <c r="D78" i="14"/>
  <c r="I80" i="14"/>
  <c r="H80" i="14"/>
  <c r="G80" i="14"/>
  <c r="F80" i="14"/>
  <c r="E80" i="14"/>
  <c r="D80" i="14"/>
  <c r="S74" i="14"/>
  <c r="R74" i="14"/>
  <c r="Q74" i="14"/>
  <c r="P74" i="14"/>
  <c r="O74" i="14"/>
  <c r="N74" i="14"/>
  <c r="M74" i="14"/>
  <c r="L74" i="14"/>
  <c r="K74" i="14"/>
  <c r="J74" i="14"/>
  <c r="I74" i="14"/>
  <c r="H74" i="14"/>
  <c r="G74" i="14"/>
  <c r="F74" i="14"/>
  <c r="E74" i="14"/>
  <c r="D74" i="14"/>
  <c r="I56" i="14"/>
  <c r="H56" i="14"/>
  <c r="G56" i="14"/>
  <c r="F56" i="14"/>
  <c r="E56" i="14"/>
  <c r="D56" i="14"/>
  <c r="I52" i="14"/>
  <c r="H52" i="14"/>
  <c r="G52" i="14"/>
  <c r="F52" i="14"/>
  <c r="E52" i="14"/>
  <c r="D52" i="14"/>
  <c r="S48" i="14"/>
  <c r="R48" i="14"/>
  <c r="Q48" i="14"/>
  <c r="P48" i="14"/>
  <c r="O48" i="14"/>
  <c r="N48" i="14"/>
  <c r="M48" i="14"/>
  <c r="L48" i="14"/>
  <c r="K48" i="14"/>
  <c r="J48" i="14"/>
  <c r="I48" i="14"/>
  <c r="H48" i="14"/>
  <c r="G48" i="14"/>
  <c r="F48" i="14"/>
  <c r="E48" i="14"/>
  <c r="D48" i="14"/>
  <c r="S45" i="14"/>
  <c r="S49" i="14" s="1"/>
  <c r="S53" i="14" s="1"/>
  <c r="S57" i="14" s="1"/>
  <c r="S70" i="14" s="1"/>
  <c r="R45" i="14"/>
  <c r="Q45" i="14"/>
  <c r="P45" i="14"/>
  <c r="O45" i="14"/>
  <c r="N45" i="14"/>
  <c r="M45" i="14"/>
  <c r="L45" i="14"/>
  <c r="K45" i="14"/>
  <c r="J45" i="14"/>
  <c r="I45" i="14"/>
  <c r="H45" i="14"/>
  <c r="G45" i="14"/>
  <c r="F45" i="14"/>
  <c r="E45" i="14"/>
  <c r="D45" i="14"/>
  <c r="S44" i="14"/>
  <c r="S46" i="14" s="1"/>
  <c r="R44" i="14"/>
  <c r="Q44" i="14"/>
  <c r="P44" i="14"/>
  <c r="O44" i="14"/>
  <c r="N44" i="14"/>
  <c r="M44" i="14"/>
  <c r="L44" i="14"/>
  <c r="K44" i="14"/>
  <c r="J44" i="14"/>
  <c r="I44" i="14"/>
  <c r="H44" i="14"/>
  <c r="G44" i="14"/>
  <c r="F44" i="14"/>
  <c r="E44" i="14"/>
  <c r="D44" i="14"/>
  <c r="K30" i="14"/>
  <c r="S30" i="14"/>
  <c r="R30" i="14"/>
  <c r="Q30" i="14"/>
  <c r="P30" i="14"/>
  <c r="O30" i="14"/>
  <c r="N30" i="14"/>
  <c r="M30" i="14"/>
  <c r="L30" i="14"/>
  <c r="J30" i="14"/>
  <c r="I30" i="14"/>
  <c r="H30" i="14"/>
  <c r="G30" i="14"/>
  <c r="F30" i="14"/>
  <c r="E30" i="14"/>
  <c r="D30" i="14"/>
  <c r="I35" i="14"/>
  <c r="H35" i="14"/>
  <c r="G35" i="14"/>
  <c r="F35" i="14"/>
  <c r="E35" i="14"/>
  <c r="D35" i="14"/>
  <c r="I31" i="14"/>
  <c r="H31" i="14"/>
  <c r="G31" i="14"/>
  <c r="F31" i="14"/>
  <c r="E31" i="14"/>
  <c r="D31" i="14"/>
  <c r="D38" i="14" s="1"/>
  <c r="S25" i="14"/>
  <c r="R25" i="14"/>
  <c r="Q25" i="14"/>
  <c r="P25" i="14"/>
  <c r="O25" i="14"/>
  <c r="N25" i="14"/>
  <c r="M25" i="14"/>
  <c r="L25" i="14"/>
  <c r="K25" i="14"/>
  <c r="J25" i="14"/>
  <c r="I25" i="14"/>
  <c r="H25" i="14"/>
  <c r="G25" i="14"/>
  <c r="F25" i="14"/>
  <c r="E25" i="14"/>
  <c r="S24" i="14"/>
  <c r="R24" i="14"/>
  <c r="Q24" i="14"/>
  <c r="P24" i="14"/>
  <c r="O24" i="14"/>
  <c r="N24" i="14"/>
  <c r="M24" i="14"/>
  <c r="L24" i="14"/>
  <c r="K24" i="14"/>
  <c r="J24" i="14"/>
  <c r="I24" i="14"/>
  <c r="H24" i="14"/>
  <c r="G24" i="14"/>
  <c r="F24" i="14"/>
  <c r="E24" i="14"/>
  <c r="D25" i="14"/>
  <c r="D24" i="14"/>
  <c r="S23" i="14"/>
  <c r="R23" i="14"/>
  <c r="Q23" i="14"/>
  <c r="P23" i="14"/>
  <c r="O23" i="14"/>
  <c r="N23" i="14"/>
  <c r="M23" i="14"/>
  <c r="L23" i="14"/>
  <c r="K23" i="14"/>
  <c r="J23" i="14"/>
  <c r="I23" i="14"/>
  <c r="H23" i="14"/>
  <c r="G23" i="14"/>
  <c r="F23" i="14"/>
  <c r="E23" i="14"/>
  <c r="D23" i="14"/>
  <c r="E38" i="14"/>
  <c r="E9" i="14"/>
  <c r="F9" i="14" s="1"/>
  <c r="G9" i="14" s="1"/>
  <c r="H9" i="14" s="1"/>
  <c r="I9" i="14" s="1"/>
  <c r="J9" i="14" s="1"/>
  <c r="K9" i="14" s="1"/>
  <c r="L9" i="14" s="1"/>
  <c r="M9" i="14" s="1"/>
  <c r="N9" i="14" s="1"/>
  <c r="O9" i="14" s="1"/>
  <c r="P9" i="14" s="1"/>
  <c r="Q9" i="14" s="1"/>
  <c r="R9" i="14" s="1"/>
  <c r="S9" i="14" s="1"/>
  <c r="D28" i="36"/>
  <c r="E28" i="36" s="1"/>
  <c r="F106" i="36"/>
  <c r="E106" i="36"/>
  <c r="D34" i="36"/>
  <c r="D50" i="36" s="1"/>
  <c r="D56" i="36" s="1"/>
  <c r="D68" i="36" s="1"/>
  <c r="D74" i="36" s="1"/>
  <c r="D86" i="36" s="1"/>
  <c r="C34" i="36"/>
  <c r="C50" i="36" s="1"/>
  <c r="C56" i="36" s="1"/>
  <c r="C68" i="36" s="1"/>
  <c r="C74" i="36" s="1"/>
  <c r="C86" i="36" s="1"/>
  <c r="F7" i="35"/>
  <c r="D4" i="35"/>
  <c r="E4" i="35" s="1"/>
  <c r="F4" i="35" s="1"/>
  <c r="G4" i="35" s="1"/>
  <c r="H4" i="35" s="1"/>
  <c r="I4" i="35" s="1"/>
  <c r="J4" i="35" s="1"/>
  <c r="K4" i="35" s="1"/>
  <c r="L4" i="35" s="1"/>
  <c r="F6" i="35"/>
  <c r="E6" i="35"/>
  <c r="D6" i="35"/>
  <c r="C6" i="35"/>
  <c r="B2" i="35"/>
  <c r="B2" i="14"/>
  <c r="D113" i="4"/>
  <c r="T205" i="2"/>
  <c r="T211" i="3" s="1"/>
  <c r="S205" i="2"/>
  <c r="S211" i="3" s="1"/>
  <c r="R205" i="2"/>
  <c r="R211" i="3" s="1"/>
  <c r="Q205" i="2"/>
  <c r="Q211" i="3" s="1"/>
  <c r="P205" i="2"/>
  <c r="P211" i="3" s="1"/>
  <c r="T197" i="2"/>
  <c r="T182" i="3" s="1"/>
  <c r="S197" i="2"/>
  <c r="S182" i="3" s="1"/>
  <c r="R197" i="2"/>
  <c r="R182" i="3" s="1"/>
  <c r="Q197" i="2"/>
  <c r="Q182" i="3" s="1"/>
  <c r="P197" i="2"/>
  <c r="P182" i="3" s="1"/>
  <c r="T191" i="2"/>
  <c r="T180" i="3" s="1"/>
  <c r="S191" i="2"/>
  <c r="S180" i="3" s="1"/>
  <c r="R191" i="2"/>
  <c r="R180" i="3" s="1"/>
  <c r="Q191" i="2"/>
  <c r="Q180" i="3" s="1"/>
  <c r="P191" i="2"/>
  <c r="P180" i="3" s="1"/>
  <c r="T185" i="2"/>
  <c r="T178" i="3" s="1"/>
  <c r="S185" i="2"/>
  <c r="S178" i="3" s="1"/>
  <c r="R185" i="2"/>
  <c r="R178" i="3" s="1"/>
  <c r="Q185" i="2"/>
  <c r="Q178" i="3" s="1"/>
  <c r="P185" i="2"/>
  <c r="P178" i="3" s="1"/>
  <c r="T177" i="2"/>
  <c r="T245" i="3" s="1"/>
  <c r="S177" i="2"/>
  <c r="S245" i="3" s="1"/>
  <c r="R177" i="2"/>
  <c r="R245" i="3" s="1"/>
  <c r="Q177" i="2"/>
  <c r="Q245" i="3" s="1"/>
  <c r="P177" i="2"/>
  <c r="P245" i="3" s="1"/>
  <c r="T171" i="2"/>
  <c r="T240" i="3" s="1"/>
  <c r="S171" i="2"/>
  <c r="S240" i="3" s="1"/>
  <c r="R171" i="2"/>
  <c r="R240" i="3" s="1"/>
  <c r="Q171" i="2"/>
  <c r="Q240" i="3" s="1"/>
  <c r="P171" i="2"/>
  <c r="P240" i="3" s="1"/>
  <c r="T165" i="2"/>
  <c r="T235" i="3" s="1"/>
  <c r="S165" i="2"/>
  <c r="S235" i="3" s="1"/>
  <c r="R165" i="2"/>
  <c r="R235" i="3" s="1"/>
  <c r="Q165" i="2"/>
  <c r="Q235" i="3" s="1"/>
  <c r="P165" i="2"/>
  <c r="P235" i="3" s="1"/>
  <c r="T159" i="2"/>
  <c r="T230" i="3" s="1"/>
  <c r="S159" i="2"/>
  <c r="S230" i="3" s="1"/>
  <c r="R159" i="2"/>
  <c r="R230" i="3" s="1"/>
  <c r="Q159" i="2"/>
  <c r="Q230" i="3" s="1"/>
  <c r="P159" i="2"/>
  <c r="P230" i="3" s="1"/>
  <c r="T150" i="2"/>
  <c r="S150" i="2"/>
  <c r="R150" i="2"/>
  <c r="Q150" i="2"/>
  <c r="P150" i="2"/>
  <c r="T144" i="2"/>
  <c r="T135" i="3" s="1"/>
  <c r="S144" i="2"/>
  <c r="S135" i="3" s="1"/>
  <c r="R144" i="2"/>
  <c r="R135" i="3" s="1"/>
  <c r="Q144" i="2"/>
  <c r="Q135" i="3" s="1"/>
  <c r="P144" i="2"/>
  <c r="P135" i="3" s="1"/>
  <c r="T138" i="2"/>
  <c r="T129" i="3" s="1"/>
  <c r="S138" i="2"/>
  <c r="S129" i="3" s="1"/>
  <c r="R138" i="2"/>
  <c r="R129" i="3" s="1"/>
  <c r="Q138" i="2"/>
  <c r="Q129" i="3" s="1"/>
  <c r="P138" i="2"/>
  <c r="P129" i="3" s="1"/>
  <c r="T132" i="2"/>
  <c r="T123" i="3" s="1"/>
  <c r="S132" i="2"/>
  <c r="S123" i="3" s="1"/>
  <c r="R132" i="2"/>
  <c r="R123" i="3" s="1"/>
  <c r="Q132" i="2"/>
  <c r="Q123" i="3" s="1"/>
  <c r="P132" i="2"/>
  <c r="P123" i="3" s="1"/>
  <c r="T126" i="2"/>
  <c r="T117" i="3" s="1"/>
  <c r="S126" i="2"/>
  <c r="S117" i="3" s="1"/>
  <c r="R126" i="2"/>
  <c r="R117" i="3" s="1"/>
  <c r="Q126" i="2"/>
  <c r="Q117" i="3" s="1"/>
  <c r="P126" i="2"/>
  <c r="P117" i="3" s="1"/>
  <c r="T120" i="2"/>
  <c r="T116" i="3" s="1"/>
  <c r="S120" i="2"/>
  <c r="S116" i="3" s="1"/>
  <c r="R120" i="2"/>
  <c r="R116" i="3" s="1"/>
  <c r="Q120" i="2"/>
  <c r="Q116" i="3" s="1"/>
  <c r="P120" i="2"/>
  <c r="P116" i="3" s="1"/>
  <c r="T114" i="2"/>
  <c r="T103" i="3" s="1"/>
  <c r="S114" i="2"/>
  <c r="S103" i="3" s="1"/>
  <c r="R114" i="2"/>
  <c r="R103" i="3" s="1"/>
  <c r="Q114" i="2"/>
  <c r="Q103" i="3" s="1"/>
  <c r="P114" i="2"/>
  <c r="P103" i="3" s="1"/>
  <c r="T108" i="2"/>
  <c r="T95" i="3" s="1"/>
  <c r="S108" i="2"/>
  <c r="S95" i="3" s="1"/>
  <c r="R108" i="2"/>
  <c r="R95" i="3" s="1"/>
  <c r="Q108" i="2"/>
  <c r="Q95" i="3" s="1"/>
  <c r="P108" i="2"/>
  <c r="P95" i="3" s="1"/>
  <c r="T99" i="2"/>
  <c r="T102" i="2" s="1"/>
  <c r="S99" i="2"/>
  <c r="S102" i="2" s="1"/>
  <c r="R99" i="2"/>
  <c r="R102" i="2" s="1"/>
  <c r="Q99" i="2"/>
  <c r="Q102" i="2" s="1"/>
  <c r="P99" i="2"/>
  <c r="P102" i="2" s="1"/>
  <c r="T94" i="2"/>
  <c r="T173" i="3" s="1"/>
  <c r="S94" i="2"/>
  <c r="S173" i="3" s="1"/>
  <c r="R94" i="2"/>
  <c r="R173" i="3" s="1"/>
  <c r="Q94" i="2"/>
  <c r="Q173" i="3" s="1"/>
  <c r="P94" i="2"/>
  <c r="P173" i="3" s="1"/>
  <c r="T86" i="2"/>
  <c r="T62" i="3" s="1"/>
  <c r="S86" i="2"/>
  <c r="S62" i="3" s="1"/>
  <c r="R86" i="2"/>
  <c r="R62" i="3" s="1"/>
  <c r="Q86" i="2"/>
  <c r="Q62" i="3" s="1"/>
  <c r="P86" i="2"/>
  <c r="P62" i="3" s="1"/>
  <c r="T80" i="2"/>
  <c r="T53" i="3" s="1"/>
  <c r="S80" i="2"/>
  <c r="S53" i="3" s="1"/>
  <c r="R80" i="2"/>
  <c r="R53" i="3" s="1"/>
  <c r="Q80" i="2"/>
  <c r="Q53" i="3" s="1"/>
  <c r="P80" i="2"/>
  <c r="P53" i="3" s="1"/>
  <c r="T69" i="2"/>
  <c r="T71" i="2" s="1"/>
  <c r="T42" i="3" s="1"/>
  <c r="T43" i="3" s="1"/>
  <c r="S69" i="2"/>
  <c r="S71" i="2" s="1"/>
  <c r="S42" i="3" s="1"/>
  <c r="S43" i="3" s="1"/>
  <c r="R69" i="2"/>
  <c r="R71" i="2" s="1"/>
  <c r="R42" i="3" s="1"/>
  <c r="R43" i="3" s="1"/>
  <c r="Q69" i="2"/>
  <c r="Q71" i="2" s="1"/>
  <c r="Q42" i="3" s="1"/>
  <c r="Q43" i="3" s="1"/>
  <c r="P69" i="2"/>
  <c r="P71" i="2" s="1"/>
  <c r="P42" i="3" s="1"/>
  <c r="P43" i="3" s="1"/>
  <c r="T59" i="2"/>
  <c r="T34" i="3" s="1"/>
  <c r="S59" i="2"/>
  <c r="S34" i="3" s="1"/>
  <c r="R59" i="2"/>
  <c r="R34" i="3" s="1"/>
  <c r="Q59" i="2"/>
  <c r="Q34" i="3" s="1"/>
  <c r="P59" i="2"/>
  <c r="P34" i="3" s="1"/>
  <c r="T51" i="2"/>
  <c r="T26" i="3" s="1"/>
  <c r="S51" i="2"/>
  <c r="S26" i="3" s="1"/>
  <c r="R51" i="2"/>
  <c r="R26" i="3" s="1"/>
  <c r="Q51" i="2"/>
  <c r="Q26" i="3" s="1"/>
  <c r="P51" i="2"/>
  <c r="P26" i="3" s="1"/>
  <c r="T43" i="2"/>
  <c r="T25" i="3" s="1"/>
  <c r="S43" i="2"/>
  <c r="S25" i="3" s="1"/>
  <c r="R43" i="2"/>
  <c r="R25" i="3" s="1"/>
  <c r="Q43" i="2"/>
  <c r="Q25" i="3" s="1"/>
  <c r="P43" i="2"/>
  <c r="P25" i="3" s="1"/>
  <c r="T35" i="2"/>
  <c r="T24" i="3" s="1"/>
  <c r="S35" i="2"/>
  <c r="S24" i="3" s="1"/>
  <c r="R35" i="2"/>
  <c r="R24" i="3" s="1"/>
  <c r="Q35" i="2"/>
  <c r="Q24" i="3" s="1"/>
  <c r="P35" i="2"/>
  <c r="P24" i="3" s="1"/>
  <c r="T27" i="2"/>
  <c r="T23" i="3" s="1"/>
  <c r="S27" i="2"/>
  <c r="S23" i="3" s="1"/>
  <c r="R27" i="2"/>
  <c r="R23" i="3" s="1"/>
  <c r="Q27" i="2"/>
  <c r="Q23" i="3" s="1"/>
  <c r="P27" i="2"/>
  <c r="P23" i="3" s="1"/>
  <c r="T19" i="2"/>
  <c r="T22" i="3" s="1"/>
  <c r="S19" i="2"/>
  <c r="S22" i="3" s="1"/>
  <c r="R19" i="2"/>
  <c r="R22" i="3" s="1"/>
  <c r="Q19" i="2"/>
  <c r="Q22" i="3" s="1"/>
  <c r="P19" i="2"/>
  <c r="P22" i="3" s="1"/>
  <c r="P9" i="2"/>
  <c r="Q9" i="2" s="1"/>
  <c r="R9" i="2" s="1"/>
  <c r="S9" i="2" s="1"/>
  <c r="T9" i="2" s="1"/>
  <c r="D14" i="30"/>
  <c r="D15" i="30"/>
  <c r="E8" i="30"/>
  <c r="N7" i="30" a="1"/>
  <c r="N7" i="30" s="1"/>
  <c r="L7" i="30" a="1"/>
  <c r="L7" i="30" s="1"/>
  <c r="G18" i="30"/>
  <c r="D18" i="30"/>
  <c r="G17" i="30"/>
  <c r="G16" i="30"/>
  <c r="G19" i="30" s="1"/>
  <c r="G15" i="30"/>
  <c r="D17" i="30"/>
  <c r="G14" i="30"/>
  <c r="F9" i="17"/>
  <c r="G9" i="17" s="1"/>
  <c r="H9" i="17" s="1"/>
  <c r="I9" i="17" s="1"/>
  <c r="J9" i="17" s="1"/>
  <c r="K9" i="17" s="1"/>
  <c r="K26" i="17" s="1"/>
  <c r="B2" i="17"/>
  <c r="F9" i="28"/>
  <c r="D9" i="28"/>
  <c r="E9" i="28"/>
  <c r="I96" i="28"/>
  <c r="I95" i="28"/>
  <c r="I94" i="28"/>
  <c r="I93" i="28"/>
  <c r="I92" i="28"/>
  <c r="I91" i="28"/>
  <c r="I90" i="28"/>
  <c r="G90" i="28" s="1"/>
  <c r="I89" i="28"/>
  <c r="I88" i="28"/>
  <c r="I87" i="28"/>
  <c r="M96" i="28"/>
  <c r="M95" i="28"/>
  <c r="M94" i="28"/>
  <c r="G94" i="28"/>
  <c r="M93" i="28"/>
  <c r="M92" i="28"/>
  <c r="G92" i="28"/>
  <c r="M91" i="28"/>
  <c r="G91" i="28"/>
  <c r="M90" i="28"/>
  <c r="M89" i="28"/>
  <c r="M88" i="28"/>
  <c r="M87" i="28"/>
  <c r="B82" i="28"/>
  <c r="G73" i="28"/>
  <c r="G71" i="28"/>
  <c r="G70" i="28"/>
  <c r="G69" i="28"/>
  <c r="B61" i="28"/>
  <c r="M73" i="28"/>
  <c r="M71" i="28"/>
  <c r="M70" i="28"/>
  <c r="M69" i="28"/>
  <c r="G51" i="28"/>
  <c r="G50" i="28"/>
  <c r="G49" i="28"/>
  <c r="G48" i="28"/>
  <c r="G47" i="28"/>
  <c r="G46" i="28"/>
  <c r="G45" i="28"/>
  <c r="G44" i="28"/>
  <c r="G43" i="28"/>
  <c r="G42" i="28"/>
  <c r="M51" i="28"/>
  <c r="M50" i="28"/>
  <c r="M49" i="28"/>
  <c r="M48" i="28"/>
  <c r="M47" i="28"/>
  <c r="M46" i="28"/>
  <c r="M45" i="28"/>
  <c r="M44" i="28"/>
  <c r="M43" i="28"/>
  <c r="M42" i="28"/>
  <c r="J54" i="28"/>
  <c r="J53" i="28"/>
  <c r="H54" i="28"/>
  <c r="H53" i="28"/>
  <c r="I54" i="28"/>
  <c r="I53" i="28"/>
  <c r="B37" i="28"/>
  <c r="F19" i="28"/>
  <c r="E19" i="28"/>
  <c r="D19" i="28"/>
  <c r="D18" i="28"/>
  <c r="F15" i="28"/>
  <c r="E15" i="28"/>
  <c r="F14" i="28"/>
  <c r="E14" i="28"/>
  <c r="D15" i="28"/>
  <c r="D14" i="28"/>
  <c r="D7" i="28"/>
  <c r="B2" i="28"/>
  <c r="J1149" i="18"/>
  <c r="I1149" i="18"/>
  <c r="H1149" i="18"/>
  <c r="G1149" i="18"/>
  <c r="F1149" i="18"/>
  <c r="E1149" i="18"/>
  <c r="C12" i="27"/>
  <c r="D8" i="28" s="1"/>
  <c r="E8" i="28" s="1"/>
  <c r="F8" i="28" s="1"/>
  <c r="B12" i="27"/>
  <c r="C11" i="27"/>
  <c r="B11" i="27"/>
  <c r="B2" i="4"/>
  <c r="B2" i="3"/>
  <c r="B2" i="2"/>
  <c r="F1220" i="18"/>
  <c r="G1220" i="18" s="1"/>
  <c r="H1220" i="18" s="1"/>
  <c r="I1220" i="18" s="1"/>
  <c r="J1220" i="18" s="1"/>
  <c r="K1220" i="18" s="1"/>
  <c r="L1220" i="18" s="1"/>
  <c r="M1220" i="18" s="1"/>
  <c r="N1220" i="18" s="1"/>
  <c r="O1220" i="18" s="1"/>
  <c r="N783" i="18"/>
  <c r="M783" i="18"/>
  <c r="L783" i="18"/>
  <c r="K783" i="18"/>
  <c r="J783" i="18"/>
  <c r="H783" i="18"/>
  <c r="I783" i="18"/>
  <c r="I1076" i="18"/>
  <c r="J86" i="3"/>
  <c r="I84" i="4"/>
  <c r="H84" i="4"/>
  <c r="G84" i="4"/>
  <c r="F84" i="4"/>
  <c r="E84" i="4"/>
  <c r="D84" i="4"/>
  <c r="I111" i="3"/>
  <c r="H111" i="3"/>
  <c r="G111" i="3"/>
  <c r="F111" i="3"/>
  <c r="E111" i="3"/>
  <c r="J111" i="3"/>
  <c r="J114" i="3"/>
  <c r="I114" i="3"/>
  <c r="H114" i="3"/>
  <c r="G114" i="3"/>
  <c r="F114" i="3"/>
  <c r="E114" i="3"/>
  <c r="J115" i="3"/>
  <c r="I115" i="3"/>
  <c r="H115" i="3"/>
  <c r="G115" i="3"/>
  <c r="F115" i="3"/>
  <c r="E115" i="3"/>
  <c r="J83" i="3"/>
  <c r="J85" i="3"/>
  <c r="K83" i="3"/>
  <c r="I75" i="3"/>
  <c r="H75" i="3"/>
  <c r="G75" i="3"/>
  <c r="F75" i="3"/>
  <c r="E75" i="3"/>
  <c r="J75" i="3"/>
  <c r="E1062" i="18"/>
  <c r="K1057" i="18"/>
  <c r="J1057" i="18"/>
  <c r="I1057" i="18"/>
  <c r="H1057" i="18"/>
  <c r="G1057" i="18"/>
  <c r="F1057" i="18"/>
  <c r="E1057" i="18"/>
  <c r="K1056" i="18"/>
  <c r="J1056" i="18"/>
  <c r="I1056" i="18"/>
  <c r="H1056" i="18"/>
  <c r="G1056" i="18"/>
  <c r="F1056" i="18"/>
  <c r="E1056" i="18"/>
  <c r="K1055" i="18"/>
  <c r="J1055" i="18"/>
  <c r="I1055" i="18"/>
  <c r="H1055" i="18"/>
  <c r="G1055" i="18"/>
  <c r="F1055" i="18"/>
  <c r="E1055" i="18"/>
  <c r="K73" i="3"/>
  <c r="J73" i="3"/>
  <c r="I73" i="3"/>
  <c r="H73" i="3"/>
  <c r="G73" i="3"/>
  <c r="F73" i="3"/>
  <c r="E73" i="3"/>
  <c r="J74" i="3"/>
  <c r="I74" i="3"/>
  <c r="H74" i="3"/>
  <c r="G74" i="3"/>
  <c r="F74" i="3"/>
  <c r="E74" i="3"/>
  <c r="K126" i="2"/>
  <c r="K117" i="3" s="1"/>
  <c r="K115" i="3" s="1"/>
  <c r="K110" i="3" s="1"/>
  <c r="K999" i="18"/>
  <c r="J999" i="18"/>
  <c r="I999" i="18"/>
  <c r="H999" i="18"/>
  <c r="G999" i="18"/>
  <c r="F999" i="18"/>
  <c r="E999" i="18"/>
  <c r="F949" i="18"/>
  <c r="F933" i="18"/>
  <c r="G933" i="18" s="1"/>
  <c r="H933" i="18" s="1"/>
  <c r="I933" i="18" s="1"/>
  <c r="J933" i="18" s="1"/>
  <c r="K933" i="18" s="1"/>
  <c r="L933" i="18" s="1"/>
  <c r="M933" i="18" s="1"/>
  <c r="N933" i="18" s="1"/>
  <c r="C63" i="12"/>
  <c r="M906" i="18"/>
  <c r="L906" i="18"/>
  <c r="K906" i="18"/>
  <c r="J906" i="18"/>
  <c r="I906" i="18"/>
  <c r="H906" i="18"/>
  <c r="N906" i="18"/>
  <c r="N908" i="18" s="1"/>
  <c r="F930" i="18"/>
  <c r="F901" i="18"/>
  <c r="G901" i="18" s="1"/>
  <c r="H901" i="18" s="1"/>
  <c r="I901" i="18" s="1"/>
  <c r="J901" i="18" s="1"/>
  <c r="K901" i="18" s="1"/>
  <c r="L901" i="18" s="1"/>
  <c r="M901" i="18" s="1"/>
  <c r="N901" i="18" s="1"/>
  <c r="K998" i="18"/>
  <c r="J998" i="18"/>
  <c r="I998" i="18"/>
  <c r="H998" i="18"/>
  <c r="G998" i="18"/>
  <c r="F998" i="18"/>
  <c r="E998" i="18"/>
  <c r="J229" i="3"/>
  <c r="I229" i="3"/>
  <c r="H229" i="3"/>
  <c r="G229" i="3"/>
  <c r="F229" i="3"/>
  <c r="E229" i="3"/>
  <c r="L196" i="3"/>
  <c r="F1162" i="18"/>
  <c r="F194" i="3" s="1"/>
  <c r="E1162" i="18"/>
  <c r="E194" i="3" s="1"/>
  <c r="F1161" i="18"/>
  <c r="G1161" i="18" s="1"/>
  <c r="H1161" i="18" s="1"/>
  <c r="I1161" i="18" s="1"/>
  <c r="J1161" i="18" s="1"/>
  <c r="J1162" i="18"/>
  <c r="J194" i="3" s="1"/>
  <c r="I1162" i="18"/>
  <c r="I194" i="3" s="1"/>
  <c r="H1162" i="18"/>
  <c r="H194" i="3" s="1"/>
  <c r="G1162" i="18"/>
  <c r="G194" i="3" s="1"/>
  <c r="I157" i="4"/>
  <c r="H157" i="4"/>
  <c r="G157" i="4"/>
  <c r="F157" i="4"/>
  <c r="E157" i="4"/>
  <c r="D157" i="4"/>
  <c r="I140" i="4"/>
  <c r="H140" i="4"/>
  <c r="G140" i="4"/>
  <c r="F140" i="4"/>
  <c r="E140" i="4"/>
  <c r="D140" i="4"/>
  <c r="I144" i="4"/>
  <c r="H144" i="4"/>
  <c r="G144" i="4"/>
  <c r="F144" i="4"/>
  <c r="E144" i="4"/>
  <c r="D144" i="4"/>
  <c r="I143" i="4"/>
  <c r="H143" i="4"/>
  <c r="G143" i="4"/>
  <c r="F143" i="4"/>
  <c r="E143" i="4"/>
  <c r="D143" i="4"/>
  <c r="I138" i="4"/>
  <c r="J22" i="17" s="1"/>
  <c r="H138" i="4"/>
  <c r="I22" i="17" s="1"/>
  <c r="G138" i="4"/>
  <c r="H22" i="17" s="1"/>
  <c r="F138" i="4"/>
  <c r="G22" i="17" s="1"/>
  <c r="E138" i="4"/>
  <c r="F22" i="17" s="1"/>
  <c r="D138" i="4"/>
  <c r="E22" i="17" s="1"/>
  <c r="I133" i="4"/>
  <c r="H133" i="4"/>
  <c r="G133" i="4"/>
  <c r="F133" i="4"/>
  <c r="E133" i="4"/>
  <c r="D133" i="4"/>
  <c r="D131" i="4"/>
  <c r="J209" i="3"/>
  <c r="K206" i="3" s="1"/>
  <c r="J207" i="3"/>
  <c r="J206" i="3"/>
  <c r="V1215" i="18"/>
  <c r="P1215" i="18"/>
  <c r="F1213" i="18"/>
  <c r="G1213" i="18" s="1"/>
  <c r="H1213" i="18" s="1"/>
  <c r="I1213" i="18" s="1"/>
  <c r="J1213" i="18" s="1"/>
  <c r="K1213" i="18" s="1"/>
  <c r="L1213" i="18" s="1"/>
  <c r="M1213" i="18" s="1"/>
  <c r="N1213" i="18" s="1"/>
  <c r="J248" i="3"/>
  <c r="I248" i="3"/>
  <c r="H248" i="3"/>
  <c r="G248" i="3"/>
  <c r="F248" i="3"/>
  <c r="E248" i="3"/>
  <c r="F1201" i="18"/>
  <c r="O197" i="2"/>
  <c r="O182" i="3" s="1"/>
  <c r="N197" i="2"/>
  <c r="N182" i="3" s="1"/>
  <c r="M197" i="2"/>
  <c r="M182" i="3" s="1"/>
  <c r="L197" i="2"/>
  <c r="L182" i="3" s="1"/>
  <c r="K197" i="2"/>
  <c r="B197" i="2"/>
  <c r="O191" i="2"/>
  <c r="O180" i="3" s="1"/>
  <c r="N191" i="2"/>
  <c r="N180" i="3" s="1"/>
  <c r="M191" i="2"/>
  <c r="M180" i="3" s="1"/>
  <c r="L191" i="2"/>
  <c r="L180" i="3" s="1"/>
  <c r="K191" i="2"/>
  <c r="K180" i="3" s="1"/>
  <c r="B191" i="2"/>
  <c r="J1139" i="18"/>
  <c r="I1139" i="18"/>
  <c r="I181" i="3" s="1"/>
  <c r="H1139" i="18"/>
  <c r="H181" i="3" s="1"/>
  <c r="G1139" i="18"/>
  <c r="G181" i="3" s="1"/>
  <c r="F1139" i="18"/>
  <c r="F181" i="3" s="1"/>
  <c r="E1139" i="18"/>
  <c r="E181" i="3" s="1"/>
  <c r="E1201" i="18"/>
  <c r="J1192" i="18"/>
  <c r="I1192" i="18"/>
  <c r="H1192" i="18"/>
  <c r="G1192" i="18"/>
  <c r="F1192" i="18"/>
  <c r="E1192" i="18"/>
  <c r="F1189" i="18"/>
  <c r="G1189" i="18" s="1"/>
  <c r="H1189" i="18" s="1"/>
  <c r="I1189" i="18" s="1"/>
  <c r="J1189" i="18" s="1"/>
  <c r="J1137" i="18"/>
  <c r="I1137" i="18"/>
  <c r="H1137" i="18"/>
  <c r="H179" i="3" s="1"/>
  <c r="G1137" i="18"/>
  <c r="G179" i="3" s="1"/>
  <c r="F1137" i="18"/>
  <c r="F179" i="3" s="1"/>
  <c r="E1137" i="18"/>
  <c r="E179" i="3" s="1"/>
  <c r="J1135" i="18"/>
  <c r="J1163" i="18" s="1"/>
  <c r="J193" i="3" s="1"/>
  <c r="I1135" i="18"/>
  <c r="H1135" i="18"/>
  <c r="G1135" i="18"/>
  <c r="F1135" i="18"/>
  <c r="E1135" i="18"/>
  <c r="F1133" i="18"/>
  <c r="G1133" i="18" s="1"/>
  <c r="H1133" i="18" s="1"/>
  <c r="I1133" i="18" s="1"/>
  <c r="J1133" i="18" s="1"/>
  <c r="O177" i="2"/>
  <c r="O245" i="3" s="1"/>
  <c r="N177" i="2"/>
  <c r="N245" i="3" s="1"/>
  <c r="M177" i="2"/>
  <c r="M245" i="3" s="1"/>
  <c r="L177" i="2"/>
  <c r="L245" i="3" s="1"/>
  <c r="K177" i="2"/>
  <c r="K245" i="3" s="1"/>
  <c r="B177" i="2"/>
  <c r="O171" i="2"/>
  <c r="O240" i="3" s="1"/>
  <c r="N171" i="2"/>
  <c r="N240" i="3" s="1"/>
  <c r="M171" i="2"/>
  <c r="M240" i="3" s="1"/>
  <c r="L171" i="2"/>
  <c r="L240" i="3" s="1"/>
  <c r="K171" i="2"/>
  <c r="K240" i="3" s="1"/>
  <c r="B171" i="2"/>
  <c r="O165" i="2"/>
  <c r="O235" i="3" s="1"/>
  <c r="N165" i="2"/>
  <c r="N235" i="3" s="1"/>
  <c r="M165" i="2"/>
  <c r="M235" i="3" s="1"/>
  <c r="L165" i="2"/>
  <c r="L235" i="3" s="1"/>
  <c r="K165" i="2"/>
  <c r="K235" i="3" s="1"/>
  <c r="B165" i="2"/>
  <c r="N879" i="18"/>
  <c r="M879" i="18"/>
  <c r="L879" i="18"/>
  <c r="K879" i="18"/>
  <c r="J879" i="18"/>
  <c r="I879" i="18"/>
  <c r="H879" i="18"/>
  <c r="N878" i="18"/>
  <c r="M878" i="18"/>
  <c r="L878" i="18"/>
  <c r="K878" i="18"/>
  <c r="J878" i="18"/>
  <c r="I878" i="18"/>
  <c r="N877" i="18"/>
  <c r="M877" i="18"/>
  <c r="L877" i="18"/>
  <c r="K877" i="18"/>
  <c r="J877" i="18"/>
  <c r="I877" i="18"/>
  <c r="H878" i="18"/>
  <c r="H877" i="18"/>
  <c r="O159" i="2"/>
  <c r="O230" i="3" s="1"/>
  <c r="N159" i="2"/>
  <c r="N230" i="3" s="1"/>
  <c r="M159" i="2"/>
  <c r="M230" i="3" s="1"/>
  <c r="L159" i="2"/>
  <c r="L230" i="3" s="1"/>
  <c r="K159" i="2"/>
  <c r="K230" i="3" s="1"/>
  <c r="B159" i="2"/>
  <c r="J253" i="3"/>
  <c r="I253" i="3"/>
  <c r="H253" i="3"/>
  <c r="G253" i="3"/>
  <c r="F253" i="3"/>
  <c r="E253" i="3"/>
  <c r="I1108" i="18"/>
  <c r="H1108" i="18"/>
  <c r="G1108" i="18"/>
  <c r="F1108" i="18"/>
  <c r="E1108" i="18"/>
  <c r="I1107" i="18"/>
  <c r="H1107" i="18"/>
  <c r="G1107" i="18"/>
  <c r="F1107" i="18"/>
  <c r="E1107" i="18"/>
  <c r="F1102" i="18"/>
  <c r="G1102" i="18" s="1"/>
  <c r="H1102" i="18" s="1"/>
  <c r="I1102" i="18" s="1"/>
  <c r="F1092" i="18"/>
  <c r="G1092" i="18" s="1"/>
  <c r="H1092" i="18" s="1"/>
  <c r="I1092" i="18" s="1"/>
  <c r="J1092" i="18" s="1"/>
  <c r="K1092" i="18" s="1"/>
  <c r="L1092" i="18" s="1"/>
  <c r="M1092" i="18" s="1"/>
  <c r="N1092" i="18" s="1"/>
  <c r="N1076" i="18"/>
  <c r="M1076" i="18"/>
  <c r="L1076" i="18"/>
  <c r="K1076" i="18"/>
  <c r="J1076" i="18"/>
  <c r="H1076" i="18"/>
  <c r="G1076" i="18"/>
  <c r="F1076" i="18"/>
  <c r="E1076" i="18"/>
  <c r="E1080" i="18" s="1"/>
  <c r="N1074" i="18"/>
  <c r="M1074" i="18"/>
  <c r="L1074" i="18"/>
  <c r="K1074" i="18"/>
  <c r="J1074" i="18"/>
  <c r="I1074" i="18"/>
  <c r="H1074" i="18"/>
  <c r="G1074" i="18"/>
  <c r="F1074" i="18"/>
  <c r="F1072" i="18"/>
  <c r="G1072" i="18" s="1"/>
  <c r="H1072" i="18" s="1"/>
  <c r="I1072" i="18" s="1"/>
  <c r="J1072" i="18" s="1"/>
  <c r="K1072" i="18" s="1"/>
  <c r="L1072" i="18" s="1"/>
  <c r="M1072" i="18" s="1"/>
  <c r="N1072" i="18" s="1"/>
  <c r="D103" i="4"/>
  <c r="H63" i="12"/>
  <c r="G63" i="12"/>
  <c r="F63" i="12"/>
  <c r="E63" i="12"/>
  <c r="D63" i="12"/>
  <c r="D165" i="4"/>
  <c r="D102" i="4" s="1"/>
  <c r="E1222" i="18" s="1"/>
  <c r="D164" i="4"/>
  <c r="D163" i="4"/>
  <c r="D162" i="4"/>
  <c r="D160" i="4"/>
  <c r="D159" i="4"/>
  <c r="D158" i="4"/>
  <c r="D156" i="4"/>
  <c r="D155" i="4"/>
  <c r="D154" i="4"/>
  <c r="D153" i="4"/>
  <c r="D149" i="4"/>
  <c r="D147" i="4"/>
  <c r="D146" i="4"/>
  <c r="D145" i="4"/>
  <c r="D139" i="4"/>
  <c r="E23" i="17" s="1"/>
  <c r="D134" i="4"/>
  <c r="D129" i="4"/>
  <c r="D128" i="4"/>
  <c r="D127" i="4"/>
  <c r="D126" i="4"/>
  <c r="J347" i="18"/>
  <c r="J349" i="18" s="1"/>
  <c r="I347" i="18"/>
  <c r="I349" i="18" s="1"/>
  <c r="H347" i="18"/>
  <c r="H349" i="18" s="1"/>
  <c r="G347" i="18"/>
  <c r="G349" i="18" s="1"/>
  <c r="F347" i="18"/>
  <c r="F349" i="18" s="1"/>
  <c r="E347" i="18"/>
  <c r="E349" i="18" s="1"/>
  <c r="F346" i="18"/>
  <c r="G346" i="18" s="1"/>
  <c r="H346" i="18" s="1"/>
  <c r="I346" i="18" s="1"/>
  <c r="J346" i="18" s="1"/>
  <c r="J32" i="3"/>
  <c r="I32" i="3"/>
  <c r="H32" i="3"/>
  <c r="G32" i="3"/>
  <c r="F32" i="3"/>
  <c r="E32" i="3"/>
  <c r="O59" i="2"/>
  <c r="O34" i="3" s="1"/>
  <c r="N59" i="2"/>
  <c r="N34" i="3" s="1"/>
  <c r="M59" i="2"/>
  <c r="M34" i="3" s="1"/>
  <c r="L59" i="2"/>
  <c r="L34" i="3" s="1"/>
  <c r="K59" i="2"/>
  <c r="K34" i="3" s="1"/>
  <c r="B59" i="2"/>
  <c r="D35" i="4"/>
  <c r="D34" i="4"/>
  <c r="D39" i="4"/>
  <c r="E16" i="17" s="1"/>
  <c r="I19" i="4"/>
  <c r="H19" i="4"/>
  <c r="G19" i="4"/>
  <c r="F19" i="4"/>
  <c r="E19" i="4"/>
  <c r="D19" i="4"/>
  <c r="I18" i="4"/>
  <c r="H18" i="4"/>
  <c r="G18" i="4"/>
  <c r="F18" i="4"/>
  <c r="E18" i="4"/>
  <c r="D18" i="4"/>
  <c r="I14" i="4"/>
  <c r="J252" i="3" s="1"/>
  <c r="J223" i="3" s="1"/>
  <c r="J233" i="3" s="1"/>
  <c r="H14" i="4"/>
  <c r="I252" i="3" s="1"/>
  <c r="I223" i="3" s="1"/>
  <c r="I233" i="3" s="1"/>
  <c r="G14" i="4"/>
  <c r="H252" i="3" s="1"/>
  <c r="H223" i="3" s="1"/>
  <c r="H233" i="3" s="1"/>
  <c r="F14" i="4"/>
  <c r="E14" i="4"/>
  <c r="D14" i="4"/>
  <c r="E252" i="3" s="1"/>
  <c r="E223" i="3" s="1"/>
  <c r="E233" i="3" s="1"/>
  <c r="D13" i="4"/>
  <c r="C36" i="36" s="1"/>
  <c r="D33" i="4"/>
  <c r="D32" i="4"/>
  <c r="E146" i="3"/>
  <c r="K108" i="3"/>
  <c r="J108" i="3"/>
  <c r="K109" i="3"/>
  <c r="L109" i="3" s="1"/>
  <c r="M109" i="3" s="1"/>
  <c r="N109" i="3" s="1"/>
  <c r="O109" i="3" s="1"/>
  <c r="P109" i="3" s="1"/>
  <c r="Q109" i="3" s="1"/>
  <c r="R109" i="3" s="1"/>
  <c r="S109" i="3" s="1"/>
  <c r="T109" i="3" s="1"/>
  <c r="F1005" i="18"/>
  <c r="G1005" i="18" s="1"/>
  <c r="H1005" i="18" s="1"/>
  <c r="I1005" i="18" s="1"/>
  <c r="J1005" i="18" s="1"/>
  <c r="K1005" i="18" s="1"/>
  <c r="L1005" i="18" s="1"/>
  <c r="M1005" i="18" s="1"/>
  <c r="N1005" i="18" s="1"/>
  <c r="O1005" i="18" s="1"/>
  <c r="P1005" i="18" s="1"/>
  <c r="Q1005" i="18" s="1"/>
  <c r="R1005" i="18" s="1"/>
  <c r="S1005" i="18" s="1"/>
  <c r="T1005" i="18" s="1"/>
  <c r="U1005" i="18" s="1"/>
  <c r="N278" i="18"/>
  <c r="O278" i="18" s="1"/>
  <c r="P278" i="18" s="1"/>
  <c r="V278" i="18" s="1"/>
  <c r="D27" i="4"/>
  <c r="E14" i="17" s="1"/>
  <c r="E18" i="17" s="1"/>
  <c r="J146" i="3"/>
  <c r="I27" i="4" s="1"/>
  <c r="J14" i="17" s="1"/>
  <c r="J18" i="17" s="1"/>
  <c r="I146" i="3"/>
  <c r="H146" i="3"/>
  <c r="G146" i="3"/>
  <c r="F146" i="3"/>
  <c r="K1062" i="18"/>
  <c r="J1062" i="18"/>
  <c r="I1062" i="18"/>
  <c r="H1062" i="18"/>
  <c r="G1062" i="18"/>
  <c r="F1062" i="18"/>
  <c r="K1059" i="18"/>
  <c r="J1059" i="18"/>
  <c r="I1059" i="18"/>
  <c r="H1059" i="18"/>
  <c r="G1059" i="18"/>
  <c r="F1059" i="18"/>
  <c r="E1059" i="18"/>
  <c r="F1053" i="18"/>
  <c r="G1053" i="18" s="1"/>
  <c r="H1053" i="18" s="1"/>
  <c r="I1053" i="18" s="1"/>
  <c r="J1053" i="18" s="1"/>
  <c r="K1053" i="18" s="1"/>
  <c r="J1031" i="18"/>
  <c r="I1031" i="18"/>
  <c r="H1031" i="18"/>
  <c r="G1031" i="18"/>
  <c r="F1031" i="18"/>
  <c r="E1031" i="18"/>
  <c r="F1028" i="18"/>
  <c r="J134" i="3"/>
  <c r="I134" i="3"/>
  <c r="H134" i="3"/>
  <c r="G134" i="3"/>
  <c r="F134" i="3"/>
  <c r="E134" i="3"/>
  <c r="J128" i="3"/>
  <c r="I128" i="3"/>
  <c r="H128" i="3"/>
  <c r="G128" i="3"/>
  <c r="F128" i="3"/>
  <c r="E128" i="3"/>
  <c r="J122" i="3"/>
  <c r="I122" i="3"/>
  <c r="H122" i="3"/>
  <c r="G122" i="3"/>
  <c r="F122" i="3"/>
  <c r="E122" i="3"/>
  <c r="J1020" i="18"/>
  <c r="I1020" i="18"/>
  <c r="H1020" i="18"/>
  <c r="G1020" i="18"/>
  <c r="F1020" i="18"/>
  <c r="E1020" i="18"/>
  <c r="J140" i="3"/>
  <c r="K140" i="3" s="1"/>
  <c r="J94" i="4" s="1"/>
  <c r="I140" i="3"/>
  <c r="H140" i="3"/>
  <c r="G140" i="3"/>
  <c r="F140" i="3"/>
  <c r="E140" i="3"/>
  <c r="L141" i="3"/>
  <c r="M141" i="3" s="1"/>
  <c r="N141" i="3" s="1"/>
  <c r="O141" i="3" s="1"/>
  <c r="P141" i="3" s="1"/>
  <c r="Q141" i="3" s="1"/>
  <c r="R141" i="3" s="1"/>
  <c r="S141" i="3" s="1"/>
  <c r="T141" i="3" s="1"/>
  <c r="J1019" i="18"/>
  <c r="I1019" i="18"/>
  <c r="H1019" i="18"/>
  <c r="G1019" i="18"/>
  <c r="F1019" i="18"/>
  <c r="E1019" i="18"/>
  <c r="F1016" i="18"/>
  <c r="G1016" i="18" s="1"/>
  <c r="H1016" i="18" s="1"/>
  <c r="I1016" i="18" s="1"/>
  <c r="J1016" i="18" s="1"/>
  <c r="O150" i="2"/>
  <c r="N150" i="2"/>
  <c r="M150" i="2"/>
  <c r="L150" i="2"/>
  <c r="K150" i="2"/>
  <c r="B150" i="2"/>
  <c r="O144" i="2"/>
  <c r="O135" i="3" s="1"/>
  <c r="N144" i="2"/>
  <c r="N135" i="3" s="1"/>
  <c r="M144" i="2"/>
  <c r="M135" i="3" s="1"/>
  <c r="L144" i="2"/>
  <c r="L135" i="3" s="1"/>
  <c r="K144" i="2"/>
  <c r="K135" i="3" s="1"/>
  <c r="B144" i="2"/>
  <c r="O138" i="2"/>
  <c r="O129" i="3" s="1"/>
  <c r="N138" i="2"/>
  <c r="N129" i="3" s="1"/>
  <c r="M138" i="2"/>
  <c r="M129" i="3" s="1"/>
  <c r="L138" i="2"/>
  <c r="L129" i="3" s="1"/>
  <c r="K138" i="2"/>
  <c r="K129" i="3" s="1"/>
  <c r="B138" i="2"/>
  <c r="O132" i="2"/>
  <c r="O123" i="3" s="1"/>
  <c r="N132" i="2"/>
  <c r="N123" i="3" s="1"/>
  <c r="M132" i="2"/>
  <c r="M123" i="3" s="1"/>
  <c r="L132" i="2"/>
  <c r="L123" i="3" s="1"/>
  <c r="K132" i="2"/>
  <c r="K123" i="3" s="1"/>
  <c r="B132" i="2"/>
  <c r="J94" i="3"/>
  <c r="I94" i="3"/>
  <c r="H94" i="3"/>
  <c r="G94" i="3"/>
  <c r="F94" i="3"/>
  <c r="E94" i="3"/>
  <c r="J102" i="3"/>
  <c r="I102" i="3"/>
  <c r="H102" i="3"/>
  <c r="G102" i="3"/>
  <c r="F102" i="3"/>
  <c r="E102" i="3"/>
  <c r="O126" i="2"/>
  <c r="O117" i="3" s="1"/>
  <c r="N126" i="2"/>
  <c r="N117" i="3" s="1"/>
  <c r="M126" i="2"/>
  <c r="M117" i="3" s="1"/>
  <c r="L126" i="2"/>
  <c r="L117" i="3" s="1"/>
  <c r="B126" i="2"/>
  <c r="O114" i="2"/>
  <c r="O103" i="3" s="1"/>
  <c r="N114" i="2"/>
  <c r="N103" i="3" s="1"/>
  <c r="M114" i="2"/>
  <c r="M103" i="3" s="1"/>
  <c r="L114" i="2"/>
  <c r="L103" i="3" s="1"/>
  <c r="K114" i="2"/>
  <c r="K103" i="3" s="1"/>
  <c r="B114" i="2"/>
  <c r="O108" i="2"/>
  <c r="O95" i="3" s="1"/>
  <c r="N108" i="2"/>
  <c r="N95" i="3" s="1"/>
  <c r="M108" i="2"/>
  <c r="M95" i="3" s="1"/>
  <c r="L108" i="2"/>
  <c r="L95" i="3" s="1"/>
  <c r="K108" i="2"/>
  <c r="K95" i="3" s="1"/>
  <c r="B108" i="2"/>
  <c r="F997" i="18"/>
  <c r="G997" i="18" s="1"/>
  <c r="H997" i="18" s="1"/>
  <c r="I997" i="18" s="1"/>
  <c r="J997" i="18" s="1"/>
  <c r="K997" i="18" s="1"/>
  <c r="L997" i="18" s="1"/>
  <c r="M997" i="18" s="1"/>
  <c r="N997" i="18" s="1"/>
  <c r="O997" i="18" s="1"/>
  <c r="P997" i="18" s="1"/>
  <c r="V88" i="4"/>
  <c r="U88" i="4"/>
  <c r="N881" i="18"/>
  <c r="N884" i="18" s="1"/>
  <c r="M881" i="18"/>
  <c r="M884" i="18" s="1"/>
  <c r="L881" i="18"/>
  <c r="L884" i="18" s="1"/>
  <c r="K881" i="18"/>
  <c r="J881" i="18"/>
  <c r="I881" i="18"/>
  <c r="H881" i="18"/>
  <c r="G881" i="18"/>
  <c r="F881" i="18"/>
  <c r="E881" i="18"/>
  <c r="F875" i="18"/>
  <c r="G875" i="18" s="1"/>
  <c r="H875" i="18" s="1"/>
  <c r="I875" i="18" s="1"/>
  <c r="J875" i="18" s="1"/>
  <c r="K875" i="18" s="1"/>
  <c r="L875" i="18" s="1"/>
  <c r="M875" i="18" s="1"/>
  <c r="N875" i="18" s="1"/>
  <c r="N949" i="18"/>
  <c r="M949" i="18"/>
  <c r="L949" i="18"/>
  <c r="K949" i="18"/>
  <c r="J949" i="18"/>
  <c r="I949" i="18"/>
  <c r="H949" i="18"/>
  <c r="G949" i="18"/>
  <c r="F947" i="18"/>
  <c r="G947" i="18" s="1"/>
  <c r="H947" i="18" s="1"/>
  <c r="I947" i="18" s="1"/>
  <c r="J947" i="18" s="1"/>
  <c r="K947" i="18" s="1"/>
  <c r="L947" i="18" s="1"/>
  <c r="M947" i="18" s="1"/>
  <c r="N947" i="18" s="1"/>
  <c r="N931" i="18"/>
  <c r="M931" i="18"/>
  <c r="L931" i="18"/>
  <c r="K931" i="18"/>
  <c r="J931" i="18"/>
  <c r="I931" i="18"/>
  <c r="H931" i="18"/>
  <c r="G931" i="18"/>
  <c r="E931" i="18"/>
  <c r="F921" i="18"/>
  <c r="G921" i="18" s="1"/>
  <c r="H921" i="18" s="1"/>
  <c r="I921" i="18" s="1"/>
  <c r="J921" i="18" s="1"/>
  <c r="K921" i="18" s="1"/>
  <c r="L921" i="18" s="1"/>
  <c r="M921" i="18" s="1"/>
  <c r="N921" i="18" s="1"/>
  <c r="J219" i="3"/>
  <c r="I219" i="3"/>
  <c r="H219" i="3"/>
  <c r="G219" i="3"/>
  <c r="F219" i="3"/>
  <c r="E219" i="3"/>
  <c r="J831" i="18"/>
  <c r="I831" i="18"/>
  <c r="H831" i="18"/>
  <c r="G831" i="18"/>
  <c r="F831" i="18"/>
  <c r="E831" i="18"/>
  <c r="I807" i="18"/>
  <c r="H807" i="18"/>
  <c r="G807" i="18"/>
  <c r="F807" i="18"/>
  <c r="E807" i="18"/>
  <c r="I806" i="18"/>
  <c r="H806" i="18"/>
  <c r="G806" i="18"/>
  <c r="F806" i="18"/>
  <c r="E806" i="18"/>
  <c r="F801" i="18"/>
  <c r="G801" i="18" s="1"/>
  <c r="H801" i="18" s="1"/>
  <c r="I801" i="18" s="1"/>
  <c r="F790" i="18"/>
  <c r="G790" i="18" s="1"/>
  <c r="H790" i="18" s="1"/>
  <c r="I790" i="18" s="1"/>
  <c r="J790" i="18" s="1"/>
  <c r="K790" i="18" s="1"/>
  <c r="L790" i="18" s="1"/>
  <c r="M790" i="18" s="1"/>
  <c r="N790" i="18" s="1"/>
  <c r="N776" i="18"/>
  <c r="M776" i="18"/>
  <c r="L776" i="18"/>
  <c r="K776" i="18"/>
  <c r="J776" i="18"/>
  <c r="I776" i="18"/>
  <c r="H776" i="18"/>
  <c r="G776" i="18"/>
  <c r="F776" i="18"/>
  <c r="E776" i="18"/>
  <c r="F772" i="18"/>
  <c r="G772" i="18" s="1"/>
  <c r="H772" i="18" s="1"/>
  <c r="I772" i="18" s="1"/>
  <c r="J772" i="18" s="1"/>
  <c r="K772" i="18" s="1"/>
  <c r="L772" i="18" s="1"/>
  <c r="M772" i="18" s="1"/>
  <c r="N772" i="18" s="1"/>
  <c r="J218" i="3"/>
  <c r="J228" i="3" s="1"/>
  <c r="I218" i="3"/>
  <c r="H218" i="3"/>
  <c r="G218" i="3"/>
  <c r="F218" i="3"/>
  <c r="E218" i="3"/>
  <c r="I738" i="18"/>
  <c r="H738" i="18"/>
  <c r="G738" i="18"/>
  <c r="F738" i="18"/>
  <c r="E738" i="18"/>
  <c r="I737" i="18"/>
  <c r="H737" i="18"/>
  <c r="G737" i="18"/>
  <c r="F737" i="18"/>
  <c r="E737" i="18"/>
  <c r="F732" i="18"/>
  <c r="F721" i="18"/>
  <c r="G721" i="18" s="1"/>
  <c r="H721" i="18" s="1"/>
  <c r="I721" i="18" s="1"/>
  <c r="J721" i="18" s="1"/>
  <c r="K721" i="18" s="1"/>
  <c r="L721" i="18" s="1"/>
  <c r="M721" i="18" s="1"/>
  <c r="N721" i="18" s="1"/>
  <c r="W679" i="18"/>
  <c r="V679" i="18"/>
  <c r="P679" i="18"/>
  <c r="W678" i="18"/>
  <c r="V678" i="18"/>
  <c r="P678" i="18"/>
  <c r="W677" i="18"/>
  <c r="V677" i="18"/>
  <c r="P677" i="18"/>
  <c r="W676" i="18"/>
  <c r="V676" i="18"/>
  <c r="P676" i="18"/>
  <c r="W675" i="18"/>
  <c r="V675" i="18"/>
  <c r="P675" i="18"/>
  <c r="W674" i="18"/>
  <c r="V674" i="18"/>
  <c r="P674" i="18"/>
  <c r="N703" i="18"/>
  <c r="N773" i="18" s="1"/>
  <c r="M703" i="18"/>
  <c r="M773" i="18" s="1"/>
  <c r="L703" i="18"/>
  <c r="L773" i="18" s="1"/>
  <c r="K703" i="18"/>
  <c r="K773" i="18" s="1"/>
  <c r="J703" i="18"/>
  <c r="J773" i="18" s="1"/>
  <c r="I703" i="18"/>
  <c r="H703" i="18"/>
  <c r="H773" i="18" s="1"/>
  <c r="G703" i="18"/>
  <c r="G773" i="18" s="1"/>
  <c r="F703" i="18"/>
  <c r="E703" i="18"/>
  <c r="E773" i="18" s="1"/>
  <c r="N706" i="18"/>
  <c r="J224" i="3" s="1"/>
  <c r="M706" i="18"/>
  <c r="I224" i="3" s="1"/>
  <c r="L706" i="18"/>
  <c r="H224" i="3" s="1"/>
  <c r="K706" i="18"/>
  <c r="G224" i="3" s="1"/>
  <c r="J706" i="18"/>
  <c r="F224" i="3" s="1"/>
  <c r="E224" i="3"/>
  <c r="H706" i="18"/>
  <c r="G706" i="18"/>
  <c r="F706" i="18"/>
  <c r="E706" i="18"/>
  <c r="E709" i="18" s="1"/>
  <c r="F702" i="18"/>
  <c r="G702" i="18" s="1"/>
  <c r="H702" i="18" s="1"/>
  <c r="I702" i="18" s="1"/>
  <c r="J702" i="18" s="1"/>
  <c r="K702" i="18" s="1"/>
  <c r="L702" i="18" s="1"/>
  <c r="M702" i="18" s="1"/>
  <c r="N702" i="18" s="1"/>
  <c r="F688" i="18"/>
  <c r="G688" i="18" s="1"/>
  <c r="H688" i="18" s="1"/>
  <c r="I688" i="18" s="1"/>
  <c r="J688" i="18" s="1"/>
  <c r="K688" i="18" s="1"/>
  <c r="L688" i="18" s="1"/>
  <c r="M688" i="18" s="1"/>
  <c r="N688" i="18" s="1"/>
  <c r="N681" i="18"/>
  <c r="N685" i="18" s="1"/>
  <c r="M681" i="18"/>
  <c r="M685" i="18" s="1"/>
  <c r="L681" i="18"/>
  <c r="L685" i="18" s="1"/>
  <c r="K681" i="18"/>
  <c r="J681" i="18"/>
  <c r="J685" i="18" s="1"/>
  <c r="I681" i="18"/>
  <c r="H681" i="18"/>
  <c r="H685" i="18" s="1"/>
  <c r="G681" i="18"/>
  <c r="F681" i="18"/>
  <c r="F685" i="18" s="1"/>
  <c r="E681" i="18"/>
  <c r="F672" i="18"/>
  <c r="G672" i="18" s="1"/>
  <c r="H672" i="18" s="1"/>
  <c r="I672" i="18" s="1"/>
  <c r="J672" i="18" s="1"/>
  <c r="K672" i="18" s="1"/>
  <c r="L672" i="18" s="1"/>
  <c r="M672" i="18" s="1"/>
  <c r="N672" i="18" s="1"/>
  <c r="I38" i="11"/>
  <c r="H38" i="11"/>
  <c r="G38" i="11"/>
  <c r="F38" i="11"/>
  <c r="E38" i="11"/>
  <c r="D38" i="11"/>
  <c r="J59" i="3"/>
  <c r="J60" i="3" s="1"/>
  <c r="I59" i="3"/>
  <c r="I60" i="3" s="1"/>
  <c r="H59" i="3"/>
  <c r="H60" i="3" s="1"/>
  <c r="G59" i="3"/>
  <c r="G60" i="3" s="1"/>
  <c r="F59" i="3"/>
  <c r="F60" i="3" s="1"/>
  <c r="E59" i="3"/>
  <c r="E60" i="3" s="1"/>
  <c r="J50" i="3"/>
  <c r="J51" i="3" s="1"/>
  <c r="I50" i="3"/>
  <c r="I51" i="3" s="1"/>
  <c r="H50" i="3"/>
  <c r="H51" i="3" s="1"/>
  <c r="G50" i="3"/>
  <c r="G51" i="3" s="1"/>
  <c r="F50" i="3"/>
  <c r="F51" i="3" s="1"/>
  <c r="E50" i="3"/>
  <c r="E51" i="3" s="1"/>
  <c r="O86" i="2"/>
  <c r="O62" i="3" s="1"/>
  <c r="N86" i="2"/>
  <c r="N62" i="3" s="1"/>
  <c r="M86" i="2"/>
  <c r="M62" i="3" s="1"/>
  <c r="L86" i="2"/>
  <c r="L62" i="3" s="1"/>
  <c r="K86" i="2"/>
  <c r="K62" i="3" s="1"/>
  <c r="B86" i="2"/>
  <c r="J86" i="2"/>
  <c r="J62" i="3" s="1"/>
  <c r="I86" i="2"/>
  <c r="I62" i="3" s="1"/>
  <c r="H86" i="2"/>
  <c r="H62" i="3" s="1"/>
  <c r="G86" i="2"/>
  <c r="G62" i="3" s="1"/>
  <c r="F86" i="2"/>
  <c r="F62" i="3" s="1"/>
  <c r="E86" i="2"/>
  <c r="E62" i="3" s="1"/>
  <c r="E576" i="18"/>
  <c r="E579" i="18"/>
  <c r="J20" i="3"/>
  <c r="I13" i="4" s="1"/>
  <c r="I20" i="3"/>
  <c r="H13" i="4" s="1"/>
  <c r="H20" i="3"/>
  <c r="G13" i="4" s="1"/>
  <c r="F36" i="36" s="1"/>
  <c r="G20" i="3"/>
  <c r="F13" i="4" s="1"/>
  <c r="F20" i="3"/>
  <c r="E13" i="4" s="1"/>
  <c r="F9" i="3"/>
  <c r="G9" i="3" s="1"/>
  <c r="H9" i="3" s="1"/>
  <c r="I9" i="3" s="1"/>
  <c r="J9" i="3" s="1"/>
  <c r="L652" i="18"/>
  <c r="L653" i="18" s="1"/>
  <c r="K652" i="18"/>
  <c r="K653" i="18" s="1"/>
  <c r="J652" i="18"/>
  <c r="J653" i="18" s="1"/>
  <c r="I652" i="18"/>
  <c r="I653" i="18" s="1"/>
  <c r="H652" i="18"/>
  <c r="H653" i="18" s="1"/>
  <c r="G652" i="18"/>
  <c r="G653" i="18" s="1"/>
  <c r="F652" i="18"/>
  <c r="F653" i="18" s="1"/>
  <c r="E652" i="18"/>
  <c r="N649" i="18"/>
  <c r="N650" i="18" s="1"/>
  <c r="M649" i="18"/>
  <c r="M650" i="18" s="1"/>
  <c r="L649" i="18"/>
  <c r="L650" i="18" s="1"/>
  <c r="K649" i="18"/>
  <c r="K650" i="18" s="1"/>
  <c r="J649" i="18"/>
  <c r="J650" i="18" s="1"/>
  <c r="I649" i="18"/>
  <c r="I650" i="18" s="1"/>
  <c r="H649" i="18"/>
  <c r="H650" i="18" s="1"/>
  <c r="G649" i="18"/>
  <c r="G650" i="18" s="1"/>
  <c r="F649" i="18"/>
  <c r="F650" i="18" s="1"/>
  <c r="E649" i="18"/>
  <c r="N607" i="18"/>
  <c r="N655" i="18" s="1"/>
  <c r="N656" i="18" s="1"/>
  <c r="M607" i="18"/>
  <c r="L607" i="18"/>
  <c r="K607" i="18"/>
  <c r="J607" i="18"/>
  <c r="I607" i="18"/>
  <c r="H607" i="18"/>
  <c r="G607" i="18"/>
  <c r="F607" i="18"/>
  <c r="E607" i="18"/>
  <c r="N603" i="18"/>
  <c r="N652" i="18" s="1"/>
  <c r="N653" i="18" s="1"/>
  <c r="M603" i="18"/>
  <c r="M652" i="18" s="1"/>
  <c r="F6" i="18"/>
  <c r="G6" i="18" s="1"/>
  <c r="H6" i="18" s="1"/>
  <c r="I6" i="18" s="1"/>
  <c r="J6" i="18" s="1"/>
  <c r="K6" i="18" s="1"/>
  <c r="F296" i="18"/>
  <c r="G296" i="18" s="1"/>
  <c r="H296" i="18" s="1"/>
  <c r="I296" i="18" s="1"/>
  <c r="J296" i="18" s="1"/>
  <c r="K296" i="18" s="1"/>
  <c r="L296" i="18" s="1"/>
  <c r="F298" i="18"/>
  <c r="F300" i="18"/>
  <c r="F304" i="18"/>
  <c r="E40" i="2" s="1"/>
  <c r="E43" i="2" s="1"/>
  <c r="E25" i="3" s="1"/>
  <c r="F306" i="18"/>
  <c r="F314" i="18"/>
  <c r="G314" i="18" s="1"/>
  <c r="F355" i="18"/>
  <c r="G355" i="18" s="1"/>
  <c r="H355" i="18" s="1"/>
  <c r="I355" i="18" s="1"/>
  <c r="J355" i="18" s="1"/>
  <c r="K355" i="18" s="1"/>
  <c r="F538" i="18"/>
  <c r="G538" i="18" s="1"/>
  <c r="H538" i="18" s="1"/>
  <c r="E544" i="18"/>
  <c r="F544" i="18"/>
  <c r="E545" i="18"/>
  <c r="F545" i="18"/>
  <c r="F573" i="18"/>
  <c r="G573" i="18" s="1"/>
  <c r="H573" i="18" s="1"/>
  <c r="I573" i="18" s="1"/>
  <c r="J573" i="18" s="1"/>
  <c r="K573" i="18" s="1"/>
  <c r="E9" i="4"/>
  <c r="L66" i="2"/>
  <c r="J69" i="2"/>
  <c r="I69" i="2"/>
  <c r="H69" i="2"/>
  <c r="G69" i="2"/>
  <c r="F69" i="2"/>
  <c r="E69" i="2"/>
  <c r="H545" i="18"/>
  <c r="G545" i="18"/>
  <c r="H544" i="18"/>
  <c r="G544" i="18"/>
  <c r="O51" i="2"/>
  <c r="O26" i="3" s="1"/>
  <c r="N51" i="2"/>
  <c r="N26" i="3" s="1"/>
  <c r="M51" i="2"/>
  <c r="M26" i="3" s="1"/>
  <c r="L51" i="2"/>
  <c r="L26" i="3" s="1"/>
  <c r="K51" i="2"/>
  <c r="K26" i="3" s="1"/>
  <c r="K19" i="3" s="1"/>
  <c r="B51" i="2"/>
  <c r="I35" i="2"/>
  <c r="I24" i="3" s="1"/>
  <c r="H35" i="2"/>
  <c r="H24" i="3" s="1"/>
  <c r="G35" i="2"/>
  <c r="G24" i="3" s="1"/>
  <c r="F35" i="2"/>
  <c r="F24" i="3" s="1"/>
  <c r="E35" i="2"/>
  <c r="E24" i="3" s="1"/>
  <c r="J19" i="2"/>
  <c r="J22" i="3" s="1"/>
  <c r="L300" i="18"/>
  <c r="J24" i="2" s="1"/>
  <c r="J27" i="2" s="1"/>
  <c r="J23" i="3" s="1"/>
  <c r="K300" i="18"/>
  <c r="I24" i="2" s="1"/>
  <c r="I27" i="2" s="1"/>
  <c r="I23" i="3" s="1"/>
  <c r="O43" i="2"/>
  <c r="N43" i="2"/>
  <c r="M43" i="2"/>
  <c r="L43" i="2"/>
  <c r="K43" i="2"/>
  <c r="B43" i="2"/>
  <c r="F9" i="2"/>
  <c r="G9" i="2" s="1"/>
  <c r="H9" i="2" s="1"/>
  <c r="I9" i="2" s="1"/>
  <c r="J9" i="2" s="1"/>
  <c r="K9" i="2" s="1"/>
  <c r="L9" i="2" s="1"/>
  <c r="M9" i="2" s="1"/>
  <c r="N9" i="2" s="1"/>
  <c r="O9" i="2" s="1"/>
  <c r="L306" i="18"/>
  <c r="J48" i="2" s="1"/>
  <c r="J51" i="2" s="1"/>
  <c r="J26" i="3" s="1"/>
  <c r="K306" i="18"/>
  <c r="I48" i="2" s="1"/>
  <c r="I51" i="2" s="1"/>
  <c r="I26" i="3" s="1"/>
  <c r="J306" i="18"/>
  <c r="H48" i="2" s="1"/>
  <c r="H51" i="2" s="1"/>
  <c r="H26" i="3" s="1"/>
  <c r="I306" i="18"/>
  <c r="G48" i="2" s="1"/>
  <c r="G51" i="2" s="1"/>
  <c r="G26" i="3" s="1"/>
  <c r="H306" i="18"/>
  <c r="F48" i="2" s="1"/>
  <c r="F51" i="2" s="1"/>
  <c r="F26" i="3" s="1"/>
  <c r="G306" i="18"/>
  <c r="E48" i="2" s="1"/>
  <c r="E51" i="2" s="1"/>
  <c r="E26" i="3" s="1"/>
  <c r="L304" i="18"/>
  <c r="K304" i="18"/>
  <c r="J40" i="2" s="1"/>
  <c r="J43" i="2" s="1"/>
  <c r="J25" i="3" s="1"/>
  <c r="J304" i="18"/>
  <c r="I40" i="2" s="1"/>
  <c r="I43" i="2" s="1"/>
  <c r="I25" i="3" s="1"/>
  <c r="I304" i="18"/>
  <c r="H40" i="2" s="1"/>
  <c r="H43" i="2" s="1"/>
  <c r="H25" i="3" s="1"/>
  <c r="H304" i="18"/>
  <c r="G40" i="2" s="1"/>
  <c r="G43" i="2" s="1"/>
  <c r="G25" i="3" s="1"/>
  <c r="G304" i="18"/>
  <c r="F40" i="2" s="1"/>
  <c r="F43" i="2" s="1"/>
  <c r="F25" i="3" s="1"/>
  <c r="L302" i="18"/>
  <c r="J32" i="2" s="1"/>
  <c r="J35" i="2" s="1"/>
  <c r="J24" i="3" s="1"/>
  <c r="J300" i="18"/>
  <c r="H24" i="2" s="1"/>
  <c r="H27" i="2" s="1"/>
  <c r="H23" i="3" s="1"/>
  <c r="I300" i="18"/>
  <c r="G24" i="2" s="1"/>
  <c r="G27" i="2" s="1"/>
  <c r="G23" i="3" s="1"/>
  <c r="H300" i="18"/>
  <c r="F24" i="2" s="1"/>
  <c r="F27" i="2" s="1"/>
  <c r="F23" i="3" s="1"/>
  <c r="G300" i="18"/>
  <c r="E24" i="2" s="1"/>
  <c r="E27" i="2" s="1"/>
  <c r="E23" i="3" s="1"/>
  <c r="L298" i="18"/>
  <c r="K298" i="18"/>
  <c r="I16" i="2" s="1"/>
  <c r="I19" i="2" s="1"/>
  <c r="I22" i="3" s="1"/>
  <c r="J298" i="18"/>
  <c r="H16" i="2" s="1"/>
  <c r="H19" i="2" s="1"/>
  <c r="H22" i="3" s="1"/>
  <c r="I298" i="18"/>
  <c r="G16" i="2" s="1"/>
  <c r="G19" i="2" s="1"/>
  <c r="G22" i="3" s="1"/>
  <c r="H298" i="18"/>
  <c r="F16" i="2" s="1"/>
  <c r="F19" i="2" s="1"/>
  <c r="F22" i="3" s="1"/>
  <c r="G298" i="18"/>
  <c r="E16" i="2" s="1"/>
  <c r="E19" i="2" s="1"/>
  <c r="E22" i="3" s="1"/>
  <c r="G318" i="18"/>
  <c r="I31" i="24"/>
  <c r="I38" i="24" s="1"/>
  <c r="I42" i="24" s="1"/>
  <c r="H31" i="24"/>
  <c r="H38" i="24" s="1"/>
  <c r="H42" i="24" s="1"/>
  <c r="G31" i="24"/>
  <c r="G38" i="24" s="1"/>
  <c r="G42" i="24" s="1"/>
  <c r="F31" i="24"/>
  <c r="F38" i="24" s="1"/>
  <c r="F42" i="24" s="1"/>
  <c r="E31" i="24"/>
  <c r="E38" i="24" s="1"/>
  <c r="E42" i="24" s="1"/>
  <c r="D31" i="24"/>
  <c r="D38" i="24" s="1"/>
  <c r="D42" i="24" s="1"/>
  <c r="C31" i="24"/>
  <c r="C38" i="24" s="1"/>
  <c r="C42" i="24" s="1"/>
  <c r="I63" i="24"/>
  <c r="H63" i="24"/>
  <c r="G63" i="24"/>
  <c r="F63" i="24"/>
  <c r="E63" i="24"/>
  <c r="D63" i="24"/>
  <c r="C63" i="24"/>
  <c r="I75" i="24"/>
  <c r="H75" i="24"/>
  <c r="G75" i="24"/>
  <c r="F75" i="24"/>
  <c r="E75" i="24"/>
  <c r="D75" i="24"/>
  <c r="C75" i="24"/>
  <c r="D6" i="24"/>
  <c r="E6" i="24" s="1"/>
  <c r="F6" i="24" s="1"/>
  <c r="G6" i="24" s="1"/>
  <c r="H6" i="24" s="1"/>
  <c r="I6" i="24" s="1"/>
  <c r="I20" i="11"/>
  <c r="J40" i="3" s="1"/>
  <c r="H20" i="11"/>
  <c r="I40" i="3" s="1"/>
  <c r="G20" i="11"/>
  <c r="H40" i="3" s="1"/>
  <c r="F20" i="11"/>
  <c r="G40" i="3" s="1"/>
  <c r="E20" i="11"/>
  <c r="F40" i="3" s="1"/>
  <c r="D20" i="11"/>
  <c r="E40" i="3" s="1"/>
  <c r="C20" i="11"/>
  <c r="I35" i="11"/>
  <c r="K578" i="18" s="1"/>
  <c r="H35" i="11"/>
  <c r="J578" i="18" s="1"/>
  <c r="G35" i="11"/>
  <c r="I578" i="18" s="1"/>
  <c r="F35" i="11"/>
  <c r="H578" i="18" s="1"/>
  <c r="E35" i="11"/>
  <c r="G578" i="18" s="1"/>
  <c r="D35" i="11"/>
  <c r="F578" i="18" s="1"/>
  <c r="C35" i="11"/>
  <c r="E578" i="18" s="1"/>
  <c r="I10" i="22"/>
  <c r="I12" i="22" s="1"/>
  <c r="H10" i="22"/>
  <c r="H12" i="22" s="1"/>
  <c r="G10" i="22"/>
  <c r="G12" i="22" s="1"/>
  <c r="F10" i="22"/>
  <c r="F12" i="22" s="1"/>
  <c r="E10" i="22"/>
  <c r="E12" i="22" s="1"/>
  <c r="D10" i="22"/>
  <c r="D12" i="22" s="1"/>
  <c r="C10" i="22"/>
  <c r="C12" i="22" s="1"/>
  <c r="D6" i="22"/>
  <c r="E6" i="22" s="1"/>
  <c r="F6" i="22" s="1"/>
  <c r="G6" i="22" s="1"/>
  <c r="H6" i="22" s="1"/>
  <c r="I6" i="22" s="1"/>
  <c r="I10" i="11"/>
  <c r="H10" i="11"/>
  <c r="G10" i="11"/>
  <c r="F10" i="11"/>
  <c r="E10" i="11"/>
  <c r="D10" i="11"/>
  <c r="C10" i="11"/>
  <c r="D6" i="11"/>
  <c r="E6" i="11" s="1"/>
  <c r="H11" i="12"/>
  <c r="H13" i="12" s="1"/>
  <c r="G11" i="12"/>
  <c r="G13" i="12" s="1"/>
  <c r="F11" i="12"/>
  <c r="F13" i="12" s="1"/>
  <c r="E11" i="12"/>
  <c r="D11" i="12"/>
  <c r="D13" i="12" s="1"/>
  <c r="C11" i="12"/>
  <c r="C13" i="12" s="1"/>
  <c r="I11" i="12"/>
  <c r="I13" i="12" s="1"/>
  <c r="H33" i="12"/>
  <c r="G33" i="12"/>
  <c r="F33" i="12"/>
  <c r="E33" i="12"/>
  <c r="D33" i="12"/>
  <c r="C33" i="12"/>
  <c r="I33" i="12"/>
  <c r="I22" i="12"/>
  <c r="H22" i="12"/>
  <c r="G22" i="12"/>
  <c r="F22" i="12"/>
  <c r="E22" i="12"/>
  <c r="D22" i="12"/>
  <c r="C22" i="12"/>
  <c r="I63" i="12"/>
  <c r="I51" i="12"/>
  <c r="I65" i="12" s="1"/>
  <c r="H51" i="12"/>
  <c r="G51" i="12"/>
  <c r="F51" i="12"/>
  <c r="E51" i="12"/>
  <c r="D51" i="12"/>
  <c r="C51" i="12"/>
  <c r="D6" i="12"/>
  <c r="O205" i="2"/>
  <c r="O211" i="3" s="1"/>
  <c r="N205" i="2"/>
  <c r="N211" i="3" s="1"/>
  <c r="M205" i="2"/>
  <c r="M211" i="3" s="1"/>
  <c r="L205" i="2"/>
  <c r="L211" i="3" s="1"/>
  <c r="K205" i="2"/>
  <c r="K211" i="3" s="1"/>
  <c r="B205" i="2"/>
  <c r="O185" i="2"/>
  <c r="O178" i="3" s="1"/>
  <c r="N185" i="2"/>
  <c r="N178" i="3" s="1"/>
  <c r="M185" i="2"/>
  <c r="M178" i="3" s="1"/>
  <c r="L185" i="2"/>
  <c r="L178" i="3" s="1"/>
  <c r="K185" i="2"/>
  <c r="K178" i="3" s="1"/>
  <c r="B185" i="2"/>
  <c r="O120" i="2"/>
  <c r="O116" i="3" s="1"/>
  <c r="N120" i="2"/>
  <c r="N116" i="3" s="1"/>
  <c r="M120" i="2"/>
  <c r="M116" i="3" s="1"/>
  <c r="L120" i="2"/>
  <c r="L116" i="3" s="1"/>
  <c r="K120" i="2"/>
  <c r="K116" i="3" s="1"/>
  <c r="B120" i="2"/>
  <c r="B102" i="2"/>
  <c r="O94" i="2"/>
  <c r="O173" i="3" s="1"/>
  <c r="N94" i="2"/>
  <c r="N173" i="3" s="1"/>
  <c r="M94" i="2"/>
  <c r="M173" i="3" s="1"/>
  <c r="L94" i="2"/>
  <c r="L173" i="3" s="1"/>
  <c r="K94" i="2"/>
  <c r="K173" i="3" s="1"/>
  <c r="B94" i="2"/>
  <c r="K80" i="2"/>
  <c r="K53" i="3" s="1"/>
  <c r="O80" i="2"/>
  <c r="O53" i="3" s="1"/>
  <c r="N80" i="2"/>
  <c r="N53" i="3" s="1"/>
  <c r="M80" i="2"/>
  <c r="M53" i="3" s="1"/>
  <c r="L80" i="2"/>
  <c r="L53" i="3" s="1"/>
  <c r="B80" i="2"/>
  <c r="O69" i="2"/>
  <c r="K69" i="2"/>
  <c r="B69" i="2"/>
  <c r="O35" i="2"/>
  <c r="N35" i="2"/>
  <c r="M35" i="2"/>
  <c r="L35" i="2"/>
  <c r="K35" i="2"/>
  <c r="B35" i="2"/>
  <c r="O27" i="2"/>
  <c r="N27" i="2"/>
  <c r="M27" i="2"/>
  <c r="L27" i="2"/>
  <c r="K27" i="2"/>
  <c r="B27" i="2"/>
  <c r="K19" i="2"/>
  <c r="K22" i="3" s="1"/>
  <c r="K15" i="3" s="1"/>
  <c r="L19" i="2"/>
  <c r="L22" i="3" s="1"/>
  <c r="M19" i="2"/>
  <c r="M22" i="3" s="1"/>
  <c r="N19" i="2"/>
  <c r="N22" i="3" s="1"/>
  <c r="O19" i="2"/>
  <c r="O22" i="3" s="1"/>
  <c r="B19" i="2"/>
  <c r="R399" i="41" l="1"/>
  <c r="M399" i="41"/>
  <c r="K399" i="41"/>
  <c r="H399" i="41"/>
  <c r="F399" i="41"/>
  <c r="P399" i="41"/>
  <c r="L399" i="41"/>
  <c r="J399" i="41"/>
  <c r="I399" i="41"/>
  <c r="D399" i="41"/>
  <c r="Q399" i="41"/>
  <c r="O399" i="41"/>
  <c r="N399" i="41"/>
  <c r="G399" i="41"/>
  <c r="E399" i="41"/>
  <c r="R380" i="41"/>
  <c r="M380" i="41"/>
  <c r="J380" i="41"/>
  <c r="F380" i="41"/>
  <c r="P380" i="41"/>
  <c r="D380" i="41"/>
  <c r="Q380" i="41"/>
  <c r="O380" i="41"/>
  <c r="N380" i="41"/>
  <c r="L380" i="41"/>
  <c r="K380" i="41"/>
  <c r="I380" i="41"/>
  <c r="H380" i="41"/>
  <c r="G380" i="41"/>
  <c r="E380" i="41"/>
  <c r="R355" i="41"/>
  <c r="Q355" i="41"/>
  <c r="P355" i="41"/>
  <c r="O355" i="41"/>
  <c r="N355" i="41"/>
  <c r="M355" i="41"/>
  <c r="L355" i="41"/>
  <c r="K355" i="41"/>
  <c r="J355" i="41"/>
  <c r="I355" i="41"/>
  <c r="H355" i="41"/>
  <c r="G355" i="41"/>
  <c r="F355" i="41"/>
  <c r="E355" i="41"/>
  <c r="D355" i="41"/>
  <c r="C57" i="43"/>
  <c r="AO22" i="43"/>
  <c r="AO20" i="43"/>
  <c r="BW10" i="43"/>
  <c r="AO19" i="43"/>
  <c r="AO23" i="43"/>
  <c r="AO21" i="43"/>
  <c r="AO18" i="43"/>
  <c r="BV10" i="43"/>
  <c r="AN19" i="43"/>
  <c r="AN22" i="43"/>
  <c r="AN21" i="43"/>
  <c r="AN23" i="43"/>
  <c r="AN18" i="43"/>
  <c r="AN20" i="43"/>
  <c r="BU10" i="43"/>
  <c r="AM22" i="43"/>
  <c r="AM18" i="43"/>
  <c r="AM19" i="43"/>
  <c r="AM23" i="43"/>
  <c r="AM20" i="43"/>
  <c r="AM21" i="43"/>
  <c r="BT10" i="43"/>
  <c r="AL18" i="43"/>
  <c r="AL23" i="43"/>
  <c r="AL20" i="43"/>
  <c r="AL22" i="43"/>
  <c r="AL21" i="43"/>
  <c r="AL19" i="43"/>
  <c r="AK20" i="43"/>
  <c r="AK19" i="43"/>
  <c r="AK18" i="43"/>
  <c r="AK21" i="43"/>
  <c r="BS10" i="43"/>
  <c r="AK22" i="43"/>
  <c r="AK23" i="43"/>
  <c r="AJ22" i="43"/>
  <c r="AJ18" i="43"/>
  <c r="AJ21" i="43"/>
  <c r="BR10" i="43"/>
  <c r="AJ23" i="43"/>
  <c r="AJ20" i="43"/>
  <c r="AJ19" i="43"/>
  <c r="AI20" i="43"/>
  <c r="AI23" i="43"/>
  <c r="AI18" i="43"/>
  <c r="AI21" i="43"/>
  <c r="AI22" i="43"/>
  <c r="BQ10" i="43"/>
  <c r="AI19" i="43"/>
  <c r="BP10" i="43"/>
  <c r="AH19" i="43"/>
  <c r="AH20" i="43"/>
  <c r="AH22" i="43"/>
  <c r="AH23" i="43"/>
  <c r="AH21" i="43"/>
  <c r="AH18" i="43"/>
  <c r="AG22" i="43"/>
  <c r="AG23" i="43"/>
  <c r="AG20" i="43"/>
  <c r="BO10" i="43"/>
  <c r="AG18" i="43"/>
  <c r="AG21" i="43"/>
  <c r="AG19" i="43"/>
  <c r="AF23" i="43"/>
  <c r="BN10" i="43"/>
  <c r="AF21" i="43"/>
  <c r="AF18" i="43"/>
  <c r="AF20" i="43"/>
  <c r="AF22" i="43"/>
  <c r="AF19" i="43"/>
  <c r="AE23" i="43"/>
  <c r="AE22" i="43"/>
  <c r="AE20" i="43"/>
  <c r="AE21" i="43"/>
  <c r="AE19" i="43"/>
  <c r="AE18" i="43"/>
  <c r="BM10" i="43"/>
  <c r="AD18" i="43"/>
  <c r="AD19" i="43"/>
  <c r="AD23" i="43"/>
  <c r="AD22" i="43"/>
  <c r="AD20" i="43"/>
  <c r="AD21" i="43"/>
  <c r="AC19" i="43"/>
  <c r="AC22" i="43"/>
  <c r="AC23" i="43"/>
  <c r="AC18" i="43"/>
  <c r="AC20" i="43"/>
  <c r="AC21" i="43"/>
  <c r="AB21" i="43"/>
  <c r="AB19" i="43"/>
  <c r="AB23" i="43"/>
  <c r="AB18" i="43"/>
  <c r="AB20" i="43"/>
  <c r="AB22" i="43"/>
  <c r="AA19" i="43"/>
  <c r="AA22" i="43"/>
  <c r="AA20" i="43"/>
  <c r="AA23" i="43"/>
  <c r="AA21" i="43"/>
  <c r="AA18" i="43"/>
  <c r="Z22" i="43"/>
  <c r="Z19" i="43"/>
  <c r="Z18" i="43"/>
  <c r="Z21" i="43"/>
  <c r="Z23" i="43"/>
  <c r="Z20" i="43"/>
  <c r="Y20" i="43"/>
  <c r="Y22" i="43"/>
  <c r="Y18" i="43"/>
  <c r="Y21" i="43"/>
  <c r="Y23" i="43"/>
  <c r="Y19" i="43"/>
  <c r="X23" i="43"/>
  <c r="X22" i="43"/>
  <c r="X20" i="43"/>
  <c r="X18" i="43"/>
  <c r="X21" i="43"/>
  <c r="X19" i="43"/>
  <c r="W18" i="43"/>
  <c r="W23" i="43"/>
  <c r="W22" i="43"/>
  <c r="W21" i="43"/>
  <c r="W19" i="43"/>
  <c r="W20" i="43"/>
  <c r="V18" i="43"/>
  <c r="V22" i="43"/>
  <c r="V21" i="43"/>
  <c r="V19" i="43"/>
  <c r="V23" i="43"/>
  <c r="V20" i="43"/>
  <c r="U21" i="43"/>
  <c r="U23" i="43"/>
  <c r="U22" i="43"/>
  <c r="U18" i="43"/>
  <c r="U19" i="43"/>
  <c r="U20" i="43"/>
  <c r="T23" i="43"/>
  <c r="T21" i="43"/>
  <c r="T19" i="43"/>
  <c r="T22" i="43"/>
  <c r="T20" i="43"/>
  <c r="T18" i="43"/>
  <c r="S20" i="43"/>
  <c r="S22" i="43"/>
  <c r="S21" i="43"/>
  <c r="S18" i="43"/>
  <c r="S23" i="43"/>
  <c r="S19" i="43"/>
  <c r="R21" i="43"/>
  <c r="R23" i="43"/>
  <c r="R20" i="43"/>
  <c r="R18" i="43"/>
  <c r="R22" i="43"/>
  <c r="R19" i="43"/>
  <c r="Q20" i="43"/>
  <c r="Q23" i="43"/>
  <c r="Q21" i="43"/>
  <c r="Q22" i="43"/>
  <c r="Q18" i="43"/>
  <c r="Q19" i="43"/>
  <c r="P23" i="43"/>
  <c r="P20" i="43"/>
  <c r="P18" i="43"/>
  <c r="P22" i="43"/>
  <c r="P21" i="43"/>
  <c r="P19" i="43"/>
  <c r="O20" i="43"/>
  <c r="O19" i="43"/>
  <c r="O23" i="43"/>
  <c r="O21" i="43"/>
  <c r="O22" i="43"/>
  <c r="O18" i="43"/>
  <c r="N21" i="43"/>
  <c r="N20" i="43"/>
  <c r="N23" i="43"/>
  <c r="N22" i="43"/>
  <c r="N18" i="43"/>
  <c r="N19" i="43"/>
  <c r="M21" i="43"/>
  <c r="M18" i="43"/>
  <c r="M23" i="43"/>
  <c r="M20" i="43"/>
  <c r="M22" i="43"/>
  <c r="M19" i="43"/>
  <c r="L23" i="43"/>
  <c r="L20" i="43"/>
  <c r="L18" i="43"/>
  <c r="L21" i="43"/>
  <c r="L19" i="43"/>
  <c r="L22" i="43"/>
  <c r="K20" i="43"/>
  <c r="K21" i="43"/>
  <c r="K18" i="43"/>
  <c r="K19" i="43"/>
  <c r="K22" i="43"/>
  <c r="K23" i="43"/>
  <c r="J23" i="43"/>
  <c r="J20" i="43"/>
  <c r="J19" i="43"/>
  <c r="J22" i="43"/>
  <c r="J21" i="43"/>
  <c r="J18" i="43"/>
  <c r="I22" i="43"/>
  <c r="I21" i="43"/>
  <c r="I20" i="43"/>
  <c r="I23" i="43"/>
  <c r="I18" i="43"/>
  <c r="I19" i="43"/>
  <c r="F18" i="43"/>
  <c r="F22" i="43"/>
  <c r="F19" i="43"/>
  <c r="F23" i="43"/>
  <c r="F21" i="43"/>
  <c r="F20" i="43"/>
  <c r="G10" i="43"/>
  <c r="U8" i="43"/>
  <c r="V8" i="43" s="1"/>
  <c r="W8" i="43" s="1"/>
  <c r="X8" i="43" s="1"/>
  <c r="Y8" i="43" s="1"/>
  <c r="Z8" i="43" s="1"/>
  <c r="AA8" i="43" s="1"/>
  <c r="AB8" i="43" s="1"/>
  <c r="AC8" i="43" s="1"/>
  <c r="AD8" i="43" s="1"/>
  <c r="AE8" i="43"/>
  <c r="K460" i="41"/>
  <c r="L460" i="41"/>
  <c r="G79" i="28" a="1"/>
  <c r="G79" i="28" s="1"/>
  <c r="G78" i="28" a="1"/>
  <c r="G78" i="28" s="1"/>
  <c r="H78" i="28" a="1"/>
  <c r="H78" i="28" s="1"/>
  <c r="I78" i="28" a="1"/>
  <c r="I78" i="28" s="1"/>
  <c r="J78" i="28" a="1"/>
  <c r="J78" i="28" s="1"/>
  <c r="H79" i="28" a="1"/>
  <c r="H79" i="28" s="1"/>
  <c r="I79" i="28" a="1"/>
  <c r="I79" i="28" s="1"/>
  <c r="J79" i="28" a="1"/>
  <c r="J79" i="28" s="1"/>
  <c r="H44" i="39"/>
  <c r="H43" i="39"/>
  <c r="H42" i="39"/>
  <c r="H41" i="39"/>
  <c r="H40" i="39"/>
  <c r="H39" i="39"/>
  <c r="C61" i="39"/>
  <c r="C62" i="39" s="1"/>
  <c r="C60" i="39"/>
  <c r="F9" i="37"/>
  <c r="D26" i="14"/>
  <c r="S26" i="14"/>
  <c r="G252" i="3"/>
  <c r="G223" i="3" s="1"/>
  <c r="G233" i="3" s="1"/>
  <c r="F252" i="3"/>
  <c r="F223" i="3" s="1"/>
  <c r="F233" i="3" s="1"/>
  <c r="C39" i="36"/>
  <c r="C58" i="36"/>
  <c r="J1224" i="18"/>
  <c r="H36" i="36"/>
  <c r="I1224" i="18"/>
  <c r="G36" i="36"/>
  <c r="F39" i="36"/>
  <c r="F58" i="36"/>
  <c r="E49" i="14"/>
  <c r="E53" i="14" s="1"/>
  <c r="E57" i="14" s="1"/>
  <c r="E70" i="14" s="1"/>
  <c r="E36" i="36"/>
  <c r="D49" i="14"/>
  <c r="D53" i="14" s="1"/>
  <c r="D57" i="14" s="1"/>
  <c r="D70" i="14" s="1"/>
  <c r="D36" i="36"/>
  <c r="E65" i="14"/>
  <c r="D65" i="14"/>
  <c r="S87" i="14"/>
  <c r="S50" i="14"/>
  <c r="S34" i="14"/>
  <c r="E34" i="36"/>
  <c r="E50" i="36" s="1"/>
  <c r="E56" i="36" s="1"/>
  <c r="E68" i="36" s="1"/>
  <c r="E74" i="36" s="1"/>
  <c r="E86" i="36" s="1"/>
  <c r="F28" i="36"/>
  <c r="F112" i="36"/>
  <c r="F111" i="36"/>
  <c r="F110" i="36"/>
  <c r="F61" i="36"/>
  <c r="C61" i="36"/>
  <c r="E185" i="3"/>
  <c r="E1224" i="18"/>
  <c r="E1226" i="18" s="1"/>
  <c r="H185" i="3"/>
  <c r="H1224" i="18"/>
  <c r="G185" i="3"/>
  <c r="G1224" i="18"/>
  <c r="F185" i="3"/>
  <c r="F1224" i="18"/>
  <c r="K114" i="3"/>
  <c r="L114" i="3" s="1"/>
  <c r="M114" i="3" s="1"/>
  <c r="N114" i="3" s="1"/>
  <c r="O114" i="3" s="1"/>
  <c r="P114" i="3" s="1"/>
  <c r="Q114" i="3" s="1"/>
  <c r="R114" i="3" s="1"/>
  <c r="S114" i="3" s="1"/>
  <c r="T114" i="3" s="1"/>
  <c r="H100" i="28" a="1"/>
  <c r="H100" i="28" s="1"/>
  <c r="H99" i="28" a="1"/>
  <c r="H99" i="28" s="1"/>
  <c r="J100" i="28" a="1"/>
  <c r="J100" i="28" s="1"/>
  <c r="I100" i="28" a="1"/>
  <c r="I100" i="28" s="1"/>
  <c r="I99" i="28" a="1"/>
  <c r="I99" i="28" s="1"/>
  <c r="J99" i="28" a="1"/>
  <c r="J99" i="28" s="1"/>
  <c r="G100" i="28" a="1"/>
  <c r="G100" i="28" s="1"/>
  <c r="G99" i="28" a="1"/>
  <c r="G99" i="28" s="1"/>
  <c r="G54" i="28"/>
  <c r="G53" i="28"/>
  <c r="G56" i="28" a="1"/>
  <c r="G56" i="28" s="1"/>
  <c r="G57" i="28" a="1"/>
  <c r="G57" i="28" s="1"/>
  <c r="J57" i="28" a="1"/>
  <c r="J57" i="28" s="1"/>
  <c r="J56" i="28" a="1"/>
  <c r="J56" i="28" s="1"/>
  <c r="I57" i="28" a="1"/>
  <c r="I57" i="28" s="1"/>
  <c r="I56" i="28" a="1"/>
  <c r="I56" i="28" s="1"/>
  <c r="H57" i="28" a="1"/>
  <c r="H57" i="28" s="1"/>
  <c r="H56" i="28" a="1"/>
  <c r="H56" i="28" s="1"/>
  <c r="D20" i="28"/>
  <c r="E18" i="28"/>
  <c r="E7" i="28"/>
  <c r="E34" i="17" s="1"/>
  <c r="K1000" i="18"/>
  <c r="G1000" i="18"/>
  <c r="F1000" i="18"/>
  <c r="I1163" i="18"/>
  <c r="E1000" i="18"/>
  <c r="F931" i="18"/>
  <c r="F942" i="18"/>
  <c r="N902" i="18"/>
  <c r="K1054" i="18" s="1"/>
  <c r="K1058" i="18" s="1"/>
  <c r="N943" i="18"/>
  <c r="N940" i="18"/>
  <c r="N937" i="18"/>
  <c r="N942" i="18"/>
  <c r="N939" i="18"/>
  <c r="N934" i="18"/>
  <c r="N935" i="18"/>
  <c r="N941" i="18"/>
  <c r="N936" i="18"/>
  <c r="N938" i="18"/>
  <c r="M902" i="18"/>
  <c r="J1054" i="18" s="1"/>
  <c r="J1058" i="18" s="1"/>
  <c r="M943" i="18"/>
  <c r="M940" i="18"/>
  <c r="M938" i="18"/>
  <c r="M939" i="18"/>
  <c r="M942" i="18"/>
  <c r="M934" i="18"/>
  <c r="M935" i="18"/>
  <c r="M941" i="18"/>
  <c r="M937" i="18"/>
  <c r="M936" i="18"/>
  <c r="L902" i="18"/>
  <c r="I1054" i="18" s="1"/>
  <c r="I1058" i="18" s="1"/>
  <c r="L943" i="18"/>
  <c r="L939" i="18"/>
  <c r="L937" i="18"/>
  <c r="L936" i="18"/>
  <c r="L935" i="18"/>
  <c r="L934" i="18"/>
  <c r="L942" i="18"/>
  <c r="L941" i="18"/>
  <c r="L940" i="18"/>
  <c r="L938" i="18"/>
  <c r="K902" i="18"/>
  <c r="H1054" i="18" s="1"/>
  <c r="H1058" i="18" s="1"/>
  <c r="K943" i="18"/>
  <c r="K934" i="18"/>
  <c r="K937" i="18"/>
  <c r="K938" i="18"/>
  <c r="K942" i="18"/>
  <c r="K936" i="18"/>
  <c r="K935" i="18"/>
  <c r="K939" i="18"/>
  <c r="K941" i="18"/>
  <c r="K940" i="18"/>
  <c r="J902" i="18"/>
  <c r="G1054" i="18" s="1"/>
  <c r="G1058" i="18" s="1"/>
  <c r="J943" i="18"/>
  <c r="J936" i="18"/>
  <c r="J935" i="18"/>
  <c r="J942" i="18"/>
  <c r="J938" i="18"/>
  <c r="J939" i="18"/>
  <c r="J934" i="18"/>
  <c r="J940" i="18"/>
  <c r="J937" i="18"/>
  <c r="J941" i="18"/>
  <c r="I902" i="18"/>
  <c r="F1054" i="18" s="1"/>
  <c r="F1058" i="18" s="1"/>
  <c r="I943" i="18"/>
  <c r="I939" i="18"/>
  <c r="I938" i="18"/>
  <c r="I941" i="18"/>
  <c r="I936" i="18"/>
  <c r="I942" i="18"/>
  <c r="I937" i="18"/>
  <c r="I940" i="18"/>
  <c r="I934" i="18"/>
  <c r="I935" i="18"/>
  <c r="H902" i="18"/>
  <c r="E1054" i="18" s="1"/>
  <c r="E1058" i="18" s="1"/>
  <c r="E1064" i="18" s="1"/>
  <c r="H943" i="18"/>
  <c r="H938" i="18"/>
  <c r="H942" i="18"/>
  <c r="H941" i="18"/>
  <c r="H937" i="18"/>
  <c r="H935" i="18"/>
  <c r="H936" i="18"/>
  <c r="H940" i="18"/>
  <c r="H939" i="18"/>
  <c r="H934" i="18"/>
  <c r="G902" i="18"/>
  <c r="G904" i="18" s="1"/>
  <c r="G908" i="18" s="1"/>
  <c r="G943" i="18"/>
  <c r="G942" i="18"/>
  <c r="G941" i="18"/>
  <c r="G938" i="18"/>
  <c r="G939" i="18"/>
  <c r="G937" i="18"/>
  <c r="G940" i="18"/>
  <c r="G936" i="18"/>
  <c r="G934" i="18"/>
  <c r="G935" i="18"/>
  <c r="E902" i="18"/>
  <c r="E941" i="18"/>
  <c r="E939" i="18"/>
  <c r="E942" i="18"/>
  <c r="E937" i="18"/>
  <c r="E943" i="18"/>
  <c r="E940" i="18"/>
  <c r="E936" i="18"/>
  <c r="E938" i="18"/>
  <c r="E935" i="18"/>
  <c r="E934" i="18"/>
  <c r="E904" i="18"/>
  <c r="I1000" i="18"/>
  <c r="H1000" i="18"/>
  <c r="I76" i="3"/>
  <c r="J1000" i="18"/>
  <c r="E65" i="12"/>
  <c r="F65" i="12"/>
  <c r="G65" i="12"/>
  <c r="H65" i="12"/>
  <c r="F177" i="3"/>
  <c r="F1163" i="18"/>
  <c r="F193" i="3" s="1"/>
  <c r="E177" i="3"/>
  <c r="E1163" i="18"/>
  <c r="E193" i="3" s="1"/>
  <c r="M196" i="3"/>
  <c r="J1165" i="18"/>
  <c r="J196" i="3" s="1"/>
  <c r="I259" i="3"/>
  <c r="J267" i="3"/>
  <c r="J268" i="3" s="1"/>
  <c r="H95" i="3"/>
  <c r="G259" i="3"/>
  <c r="J259" i="3"/>
  <c r="F259" i="3"/>
  <c r="H259" i="3"/>
  <c r="I267" i="3"/>
  <c r="I268" i="3" s="1"/>
  <c r="H267" i="3"/>
  <c r="H268" i="3" s="1"/>
  <c r="F267" i="3"/>
  <c r="F268" i="3" s="1"/>
  <c r="G267" i="3"/>
  <c r="G268" i="3" s="1"/>
  <c r="H177" i="3"/>
  <c r="H1163" i="18"/>
  <c r="G177" i="3"/>
  <c r="G1163" i="18"/>
  <c r="J181" i="3"/>
  <c r="J1140" i="18"/>
  <c r="J261" i="3"/>
  <c r="I261" i="3"/>
  <c r="H261" i="3"/>
  <c r="F261" i="3"/>
  <c r="J260" i="3"/>
  <c r="I260" i="3"/>
  <c r="H260" i="3"/>
  <c r="G261" i="3"/>
  <c r="G260" i="3"/>
  <c r="F260" i="3"/>
  <c r="M349" i="18"/>
  <c r="N349" i="18"/>
  <c r="I20" i="4"/>
  <c r="E131" i="4"/>
  <c r="E165" i="4"/>
  <c r="E102" i="4" s="1"/>
  <c r="F1222" i="18" s="1"/>
  <c r="E164" i="4"/>
  <c r="E163" i="4"/>
  <c r="E160" i="4"/>
  <c r="E159" i="4"/>
  <c r="E156" i="4"/>
  <c r="E145" i="4"/>
  <c r="E139" i="4"/>
  <c r="F23" i="17" s="1"/>
  <c r="E129" i="4"/>
  <c r="E126" i="4"/>
  <c r="E162" i="4"/>
  <c r="E158" i="4"/>
  <c r="E155" i="4"/>
  <c r="E154" i="4"/>
  <c r="E153" i="4"/>
  <c r="E149" i="4"/>
  <c r="E147" i="4"/>
  <c r="E146" i="4"/>
  <c r="E134" i="4"/>
  <c r="E128" i="4"/>
  <c r="E127" i="4"/>
  <c r="I185" i="3"/>
  <c r="I200" i="3" s="1"/>
  <c r="H42" i="4"/>
  <c r="K182" i="3"/>
  <c r="K249" i="3"/>
  <c r="J185" i="3"/>
  <c r="J200" i="3" s="1"/>
  <c r="J1138" i="18"/>
  <c r="J179" i="3"/>
  <c r="I1138" i="18"/>
  <c r="I179" i="3"/>
  <c r="J177" i="3"/>
  <c r="I1136" i="18"/>
  <c r="I177" i="3"/>
  <c r="I182" i="3"/>
  <c r="I249" i="3"/>
  <c r="J249" i="3"/>
  <c r="J1136" i="18"/>
  <c r="H1138" i="18"/>
  <c r="I1140" i="18"/>
  <c r="H1136" i="18"/>
  <c r="H1141" i="18"/>
  <c r="G1141" i="18"/>
  <c r="G1156" i="18" s="1"/>
  <c r="F1141" i="18"/>
  <c r="F1156" i="18" s="1"/>
  <c r="E1141" i="18"/>
  <c r="E1156" i="18" s="1"/>
  <c r="G1028" i="18"/>
  <c r="K884" i="18"/>
  <c r="J884" i="18"/>
  <c r="I884" i="18"/>
  <c r="H884" i="18"/>
  <c r="G884" i="18"/>
  <c r="F884" i="18"/>
  <c r="E884" i="18"/>
  <c r="J244" i="3"/>
  <c r="N893" i="18"/>
  <c r="I244" i="3"/>
  <c r="M893" i="18"/>
  <c r="H244" i="3"/>
  <c r="L893" i="18"/>
  <c r="G244" i="3"/>
  <c r="K893" i="18"/>
  <c r="F244" i="3"/>
  <c r="J893" i="18"/>
  <c r="E244" i="3"/>
  <c r="I893" i="18"/>
  <c r="H893" i="18"/>
  <c r="J239" i="3"/>
  <c r="N890" i="18"/>
  <c r="M890" i="18"/>
  <c r="I239" i="3"/>
  <c r="H239" i="3"/>
  <c r="L890" i="18"/>
  <c r="G239" i="3"/>
  <c r="K890" i="18"/>
  <c r="F239" i="3"/>
  <c r="J890" i="18"/>
  <c r="E239" i="3"/>
  <c r="I890" i="18"/>
  <c r="J234" i="3"/>
  <c r="K234" i="3" s="1"/>
  <c r="N887" i="18"/>
  <c r="I234" i="3"/>
  <c r="M887" i="18"/>
  <c r="H234" i="3"/>
  <c r="L887" i="18"/>
  <c r="G234" i="3"/>
  <c r="K887" i="18"/>
  <c r="F234" i="3"/>
  <c r="J887" i="18"/>
  <c r="E234" i="3"/>
  <c r="E235" i="3" s="1"/>
  <c r="I887" i="18"/>
  <c r="H890" i="18"/>
  <c r="H887" i="18"/>
  <c r="J243" i="3"/>
  <c r="I243" i="3"/>
  <c r="H243" i="3"/>
  <c r="G243" i="3"/>
  <c r="F243" i="3"/>
  <c r="E243" i="3"/>
  <c r="J254" i="3"/>
  <c r="J238" i="3"/>
  <c r="E910" i="18"/>
  <c r="E1083" i="18" s="1"/>
  <c r="E1088" i="18" s="1"/>
  <c r="E785" i="18"/>
  <c r="E787" i="18" s="1"/>
  <c r="E791" i="18" s="1"/>
  <c r="K32" i="3"/>
  <c r="E779" i="18"/>
  <c r="E781" i="18" s="1"/>
  <c r="N1094" i="18"/>
  <c r="N1078" i="18"/>
  <c r="M1094" i="18"/>
  <c r="M1078" i="18"/>
  <c r="L1094" i="18"/>
  <c r="L1078" i="18"/>
  <c r="K1094" i="18"/>
  <c r="K1078" i="18"/>
  <c r="J1094" i="18"/>
  <c r="J1078" i="18"/>
  <c r="I1094" i="18"/>
  <c r="I1078" i="18"/>
  <c r="H1094" i="18"/>
  <c r="H1078" i="18"/>
  <c r="G1080" i="18"/>
  <c r="G1094" i="18" s="1"/>
  <c r="G1078" i="18"/>
  <c r="F1080" i="18"/>
  <c r="F1094" i="18" s="1"/>
  <c r="F1078" i="18"/>
  <c r="E1094" i="18"/>
  <c r="E1078" i="18"/>
  <c r="E6" i="12"/>
  <c r="D105" i="4"/>
  <c r="D107" i="4"/>
  <c r="D13" i="14" s="1"/>
  <c r="D106" i="4"/>
  <c r="D104" i="4"/>
  <c r="D101" i="4"/>
  <c r="D114" i="4" s="1"/>
  <c r="D100" i="4"/>
  <c r="D98" i="4"/>
  <c r="D95" i="4"/>
  <c r="D89" i="4"/>
  <c r="D90" i="4"/>
  <c r="D92" i="4"/>
  <c r="D93" i="4"/>
  <c r="D94" i="4"/>
  <c r="D85" i="4"/>
  <c r="D86" i="4"/>
  <c r="D87" i="4"/>
  <c r="D83" i="4"/>
  <c r="D79" i="4"/>
  <c r="D77" i="4"/>
  <c r="D14" i="14" s="1"/>
  <c r="D20" i="14" s="1"/>
  <c r="D76" i="4"/>
  <c r="D75" i="4"/>
  <c r="D74" i="4"/>
  <c r="D118" i="4" s="1"/>
  <c r="D73" i="4"/>
  <c r="D72" i="4"/>
  <c r="D116" i="4" s="1"/>
  <c r="D70" i="4"/>
  <c r="D66" i="4"/>
  <c r="D65" i="4"/>
  <c r="D64" i="4"/>
  <c r="D63" i="4"/>
  <c r="D62" i="4"/>
  <c r="D61" i="4"/>
  <c r="D57" i="4"/>
  <c r="D56" i="4"/>
  <c r="D55" i="4"/>
  <c r="D54" i="4"/>
  <c r="D53" i="4"/>
  <c r="D91" i="4"/>
  <c r="D71" i="4"/>
  <c r="J56" i="2"/>
  <c r="J59" i="2" s="1"/>
  <c r="J34" i="3"/>
  <c r="I56" i="2"/>
  <c r="I59" i="2" s="1"/>
  <c r="I34" i="3"/>
  <c r="H56" i="2"/>
  <c r="H59" i="2" s="1"/>
  <c r="H34" i="3"/>
  <c r="G56" i="2"/>
  <c r="G59" i="2" s="1"/>
  <c r="G34" i="3"/>
  <c r="F56" i="2"/>
  <c r="F59" i="2" s="1"/>
  <c r="F34" i="3"/>
  <c r="E56" i="2"/>
  <c r="E59" i="2" s="1"/>
  <c r="E34" i="3"/>
  <c r="E35" i="4"/>
  <c r="E34" i="4"/>
  <c r="E39" i="4"/>
  <c r="F16" i="17" s="1"/>
  <c r="E33" i="4"/>
  <c r="E32" i="4"/>
  <c r="D96" i="14" s="1"/>
  <c r="E76" i="3"/>
  <c r="E147" i="3"/>
  <c r="J147" i="3"/>
  <c r="H27" i="4"/>
  <c r="I14" i="17" s="1"/>
  <c r="I18" i="17" s="1"/>
  <c r="I147" i="3"/>
  <c r="G27" i="4"/>
  <c r="H14" i="17" s="1"/>
  <c r="H18" i="17" s="1"/>
  <c r="H147" i="3"/>
  <c r="F27" i="4"/>
  <c r="G14" i="17" s="1"/>
  <c r="G18" i="17" s="1"/>
  <c r="G147" i="3"/>
  <c r="E27" i="4"/>
  <c r="F14" i="17" s="1"/>
  <c r="F18" i="17" s="1"/>
  <c r="F147" i="3"/>
  <c r="F149" i="3"/>
  <c r="F76" i="3"/>
  <c r="J116" i="3"/>
  <c r="I116" i="3"/>
  <c r="H116" i="3"/>
  <c r="G116" i="3"/>
  <c r="F116" i="3"/>
  <c r="I117" i="3"/>
  <c r="H117" i="3"/>
  <c r="G117" i="3"/>
  <c r="F117" i="3"/>
  <c r="J117" i="3"/>
  <c r="J139" i="4"/>
  <c r="H76" i="3"/>
  <c r="G76" i="3"/>
  <c r="G95" i="3"/>
  <c r="F95" i="3"/>
  <c r="J76" i="3"/>
  <c r="J149" i="3"/>
  <c r="I149" i="3"/>
  <c r="H149" i="3"/>
  <c r="G149" i="3"/>
  <c r="K1065" i="18"/>
  <c r="J1065" i="18"/>
  <c r="I1065" i="18"/>
  <c r="H1065" i="18"/>
  <c r="G1065" i="18"/>
  <c r="F1065" i="18"/>
  <c r="E1065" i="18"/>
  <c r="F129" i="3"/>
  <c r="I95" i="3"/>
  <c r="K102" i="3"/>
  <c r="I135" i="3"/>
  <c r="H135" i="3"/>
  <c r="G135" i="3"/>
  <c r="F135" i="3"/>
  <c r="I129" i="3"/>
  <c r="H129" i="3"/>
  <c r="G129" i="3"/>
  <c r="L140" i="3"/>
  <c r="J135" i="3"/>
  <c r="K134" i="3"/>
  <c r="J129" i="3"/>
  <c r="K128" i="3"/>
  <c r="K122" i="3"/>
  <c r="L122" i="3" s="1"/>
  <c r="M122" i="3" s="1"/>
  <c r="N122" i="3" s="1"/>
  <c r="O122" i="3" s="1"/>
  <c r="P122" i="3" s="1"/>
  <c r="Q122" i="3" s="1"/>
  <c r="R122" i="3" s="1"/>
  <c r="S122" i="3" s="1"/>
  <c r="T122" i="3" s="1"/>
  <c r="J95" i="3"/>
  <c r="J103" i="3"/>
  <c r="I103" i="3"/>
  <c r="H103" i="3"/>
  <c r="G103" i="3"/>
  <c r="F103" i="3"/>
  <c r="I228" i="3"/>
  <c r="I238" i="3" s="1"/>
  <c r="I220" i="3"/>
  <c r="H228" i="3"/>
  <c r="H238" i="3" s="1"/>
  <c r="H220" i="3"/>
  <c r="G228" i="3"/>
  <c r="G238" i="3" s="1"/>
  <c r="G220" i="3"/>
  <c r="F228" i="3"/>
  <c r="F238" i="3" s="1"/>
  <c r="F220" i="3"/>
  <c r="E228" i="3"/>
  <c r="E238" i="3" s="1"/>
  <c r="E220" i="3"/>
  <c r="N910" i="18"/>
  <c r="N882" i="18"/>
  <c r="M910" i="18"/>
  <c r="M882" i="18"/>
  <c r="L910" i="18"/>
  <c r="L882" i="18"/>
  <c r="K910" i="18"/>
  <c r="K882" i="18"/>
  <c r="J910" i="18"/>
  <c r="J1083" i="18" s="1"/>
  <c r="J882" i="18"/>
  <c r="H910" i="18"/>
  <c r="H1083" i="18" s="1"/>
  <c r="H1085" i="18" s="1"/>
  <c r="H882" i="18"/>
  <c r="G910" i="18"/>
  <c r="G882" i="18"/>
  <c r="E882" i="18"/>
  <c r="F9" i="4"/>
  <c r="E53" i="4"/>
  <c r="E54" i="4"/>
  <c r="E105" i="4"/>
  <c r="E55" i="4"/>
  <c r="E63" i="4"/>
  <c r="E75" i="4"/>
  <c r="N785" i="18"/>
  <c r="N787" i="18" s="1"/>
  <c r="N791" i="18" s="1"/>
  <c r="M785" i="18"/>
  <c r="M787" i="18" s="1"/>
  <c r="M791" i="18" s="1"/>
  <c r="L785" i="18"/>
  <c r="K785" i="18"/>
  <c r="J785" i="18"/>
  <c r="H785" i="18"/>
  <c r="G785" i="18"/>
  <c r="G704" i="18"/>
  <c r="H704" i="18"/>
  <c r="F779" i="18"/>
  <c r="F777" i="18"/>
  <c r="I704" i="18"/>
  <c r="I773" i="18"/>
  <c r="I882" i="18" s="1"/>
  <c r="F704" i="18"/>
  <c r="F773" i="18"/>
  <c r="F882" i="18" s="1"/>
  <c r="I225" i="3"/>
  <c r="H225" i="3"/>
  <c r="G225" i="3"/>
  <c r="F225" i="3"/>
  <c r="E225" i="3"/>
  <c r="N777" i="18"/>
  <c r="N779" i="18"/>
  <c r="M777" i="18"/>
  <c r="M779" i="18"/>
  <c r="L777" i="18"/>
  <c r="L779" i="18"/>
  <c r="K777" i="18"/>
  <c r="K779" i="18"/>
  <c r="J777" i="18"/>
  <c r="J779" i="18"/>
  <c r="I777" i="18"/>
  <c r="I779" i="18"/>
  <c r="H777" i="18"/>
  <c r="H779" i="18"/>
  <c r="G777" i="18"/>
  <c r="G779" i="18"/>
  <c r="N774" i="18"/>
  <c r="M774" i="18"/>
  <c r="L774" i="18"/>
  <c r="K774" i="18"/>
  <c r="H774" i="18"/>
  <c r="G732" i="18"/>
  <c r="N709" i="18"/>
  <c r="N711" i="18" s="1"/>
  <c r="N707" i="18"/>
  <c r="M709" i="18"/>
  <c r="M719" i="18" s="1"/>
  <c r="M723" i="18" s="1"/>
  <c r="M707" i="18"/>
  <c r="L709" i="18"/>
  <c r="L707" i="18"/>
  <c r="K707" i="18"/>
  <c r="K709" i="18"/>
  <c r="J707" i="18"/>
  <c r="J709" i="18"/>
  <c r="I707" i="18"/>
  <c r="I709" i="18"/>
  <c r="H707" i="18"/>
  <c r="H709" i="18"/>
  <c r="G709" i="18"/>
  <c r="G707" i="18"/>
  <c r="F709" i="18"/>
  <c r="F707" i="18"/>
  <c r="K685" i="18"/>
  <c r="P681" i="18"/>
  <c r="I685" i="18"/>
  <c r="V681" i="18"/>
  <c r="G685" i="18"/>
  <c r="W681" i="18"/>
  <c r="E715" i="18"/>
  <c r="E718" i="18" s="1"/>
  <c r="E719" i="18"/>
  <c r="E711" i="18"/>
  <c r="N704" i="18"/>
  <c r="M704" i="18"/>
  <c r="L704" i="18"/>
  <c r="K704" i="18"/>
  <c r="J704" i="18"/>
  <c r="V649" i="18"/>
  <c r="E690" i="18"/>
  <c r="E692" i="18"/>
  <c r="E685" i="18"/>
  <c r="E691" i="18"/>
  <c r="N695" i="18"/>
  <c r="N690" i="18"/>
  <c r="N692" i="18"/>
  <c r="N691" i="18"/>
  <c r="N694" i="18"/>
  <c r="N693" i="18"/>
  <c r="M695" i="18"/>
  <c r="M694" i="18"/>
  <c r="M692" i="18"/>
  <c r="M690" i="18"/>
  <c r="M693" i="18"/>
  <c r="M691" i="18"/>
  <c r="L695" i="18"/>
  <c r="L692" i="18"/>
  <c r="L694" i="18"/>
  <c r="L690" i="18"/>
  <c r="L693" i="18"/>
  <c r="L691" i="18"/>
  <c r="K695" i="18"/>
  <c r="K690" i="18"/>
  <c r="K693" i="18"/>
  <c r="K691" i="18"/>
  <c r="K694" i="18"/>
  <c r="K692" i="18"/>
  <c r="J695" i="18"/>
  <c r="J690" i="18"/>
  <c r="J693" i="18"/>
  <c r="J692" i="18"/>
  <c r="J691" i="18"/>
  <c r="J694" i="18"/>
  <c r="I692" i="18"/>
  <c r="I691" i="18"/>
  <c r="I690" i="18"/>
  <c r="I695" i="18"/>
  <c r="I694" i="18"/>
  <c r="I693" i="18"/>
  <c r="H693" i="18"/>
  <c r="H692" i="18"/>
  <c r="H691" i="18"/>
  <c r="H690" i="18"/>
  <c r="H695" i="18"/>
  <c r="H694" i="18"/>
  <c r="G693" i="18"/>
  <c r="G691" i="18"/>
  <c r="G694" i="18"/>
  <c r="G695" i="18"/>
  <c r="G692" i="18"/>
  <c r="G690" i="18"/>
  <c r="G697" i="18" s="1"/>
  <c r="F691" i="18"/>
  <c r="F694" i="18"/>
  <c r="F695" i="18"/>
  <c r="F690" i="18"/>
  <c r="F692" i="18"/>
  <c r="F693" i="18"/>
  <c r="E694" i="18"/>
  <c r="E695" i="18"/>
  <c r="E693" i="18"/>
  <c r="M655" i="18"/>
  <c r="M656" i="18" s="1"/>
  <c r="M616" i="18"/>
  <c r="K8" i="18"/>
  <c r="I26" i="11"/>
  <c r="J8" i="18"/>
  <c r="J575" i="18" s="1"/>
  <c r="H26" i="11"/>
  <c r="I8" i="18"/>
  <c r="I575" i="18" s="1"/>
  <c r="G26" i="11"/>
  <c r="H8" i="18"/>
  <c r="F26" i="11"/>
  <c r="G8" i="18"/>
  <c r="G575" i="18" s="1"/>
  <c r="E26" i="11"/>
  <c r="F8" i="18"/>
  <c r="D26" i="11"/>
  <c r="E8" i="18"/>
  <c r="E575" i="18" s="1"/>
  <c r="E581" i="18" s="1"/>
  <c r="C26" i="11"/>
  <c r="I15" i="4"/>
  <c r="H15" i="4"/>
  <c r="H43" i="4" s="1"/>
  <c r="G15" i="4"/>
  <c r="F15" i="4"/>
  <c r="E46" i="14" s="1"/>
  <c r="E15" i="4"/>
  <c r="D46" i="14" s="1"/>
  <c r="H63" i="3"/>
  <c r="G63" i="3"/>
  <c r="F63" i="3"/>
  <c r="J54" i="3"/>
  <c r="I54" i="3"/>
  <c r="H54" i="3"/>
  <c r="G54" i="3"/>
  <c r="F54" i="3"/>
  <c r="I63" i="3"/>
  <c r="J65" i="3"/>
  <c r="J66" i="3" s="1"/>
  <c r="I65" i="3"/>
  <c r="I66" i="3" s="1"/>
  <c r="H65" i="3"/>
  <c r="H66" i="3" s="1"/>
  <c r="F20" i="4"/>
  <c r="G65" i="3"/>
  <c r="G66" i="3" s="1"/>
  <c r="E20" i="4"/>
  <c r="F65" i="3"/>
  <c r="F66" i="3" s="1"/>
  <c r="D20" i="4"/>
  <c r="E65" i="3"/>
  <c r="J63" i="3"/>
  <c r="L19" i="3"/>
  <c r="M19" i="3" s="1"/>
  <c r="N19" i="3" s="1"/>
  <c r="O19" i="3" s="1"/>
  <c r="P19" i="3" s="1"/>
  <c r="Q19" i="3" s="1"/>
  <c r="R19" i="3" s="1"/>
  <c r="S19" i="3" s="1"/>
  <c r="T19" i="3" s="1"/>
  <c r="J71" i="2"/>
  <c r="J42" i="3" s="1"/>
  <c r="J43" i="3" s="1"/>
  <c r="I71" i="2"/>
  <c r="I42" i="3" s="1"/>
  <c r="I43" i="3" s="1"/>
  <c r="H71" i="2"/>
  <c r="H42" i="3" s="1"/>
  <c r="H43" i="3" s="1"/>
  <c r="G71" i="2"/>
  <c r="G42" i="3" s="1"/>
  <c r="G43" i="3" s="1"/>
  <c r="F71" i="2"/>
  <c r="F42" i="3" s="1"/>
  <c r="F43" i="3" s="1"/>
  <c r="E71" i="2"/>
  <c r="E42" i="3" s="1"/>
  <c r="E43" i="3" s="1"/>
  <c r="E653" i="18"/>
  <c r="P652" i="18"/>
  <c r="E650" i="18"/>
  <c r="P649" i="18"/>
  <c r="L655" i="18"/>
  <c r="L656" i="18" s="1"/>
  <c r="L616" i="18"/>
  <c r="K655" i="18"/>
  <c r="K656" i="18" s="1"/>
  <c r="K616" i="18"/>
  <c r="J655" i="18"/>
  <c r="J656" i="18" s="1"/>
  <c r="J616" i="18"/>
  <c r="I655" i="18"/>
  <c r="I656" i="18" s="1"/>
  <c r="I616" i="18"/>
  <c r="H655" i="18"/>
  <c r="H656" i="18" s="1"/>
  <c r="H616" i="18"/>
  <c r="G655" i="18"/>
  <c r="G656" i="18" s="1"/>
  <c r="G616" i="18"/>
  <c r="F616" i="18"/>
  <c r="F655" i="18"/>
  <c r="F656" i="18" s="1"/>
  <c r="E616" i="18"/>
  <c r="E655" i="18"/>
  <c r="M653" i="18"/>
  <c r="V652" i="18"/>
  <c r="F579" i="18"/>
  <c r="G579" i="18"/>
  <c r="O25" i="3"/>
  <c r="N25" i="3"/>
  <c r="M25" i="3"/>
  <c r="L25" i="3"/>
  <c r="K25" i="3"/>
  <c r="K18" i="3" s="1"/>
  <c r="O24" i="3"/>
  <c r="N24" i="3"/>
  <c r="M24" i="3"/>
  <c r="L24" i="3"/>
  <c r="K24" i="3"/>
  <c r="K17" i="3" s="1"/>
  <c r="L17" i="3" s="1"/>
  <c r="O23" i="3"/>
  <c r="N23" i="3"/>
  <c r="M23" i="3"/>
  <c r="L23" i="3"/>
  <c r="K23" i="3"/>
  <c r="K16" i="3" s="1"/>
  <c r="E20" i="3"/>
  <c r="E149" i="3" s="1"/>
  <c r="K9" i="3"/>
  <c r="B153" i="3"/>
  <c r="K579" i="18"/>
  <c r="I579" i="18"/>
  <c r="J579" i="18"/>
  <c r="N616" i="18"/>
  <c r="M578" i="18"/>
  <c r="H579" i="18"/>
  <c r="N578" i="18"/>
  <c r="M66" i="2"/>
  <c r="L69" i="2"/>
  <c r="O71" i="2"/>
  <c r="O42" i="3" s="1"/>
  <c r="O43" i="3" s="1"/>
  <c r="K71" i="2"/>
  <c r="K42" i="3" s="1"/>
  <c r="K43" i="3" s="1"/>
  <c r="I29" i="11"/>
  <c r="I28" i="11"/>
  <c r="I27" i="11"/>
  <c r="I24" i="11"/>
  <c r="I25" i="11" s="1"/>
  <c r="K356" i="18" s="1"/>
  <c r="H29" i="11"/>
  <c r="H28" i="11"/>
  <c r="H27" i="11"/>
  <c r="H24" i="11"/>
  <c r="H25" i="11" s="1"/>
  <c r="J356" i="18" s="1"/>
  <c r="G29" i="11"/>
  <c r="G28" i="11"/>
  <c r="G27" i="11"/>
  <c r="G24" i="11"/>
  <c r="G25" i="11" s="1"/>
  <c r="I356" i="18" s="1"/>
  <c r="F29" i="11"/>
  <c r="F28" i="11"/>
  <c r="F27" i="11"/>
  <c r="F24" i="11"/>
  <c r="F25" i="11" s="1"/>
  <c r="H356" i="18" s="1"/>
  <c r="E29" i="11"/>
  <c r="E28" i="11"/>
  <c r="E27" i="11"/>
  <c r="E24" i="11"/>
  <c r="E25" i="11" s="1"/>
  <c r="G356" i="18" s="1"/>
  <c r="D29" i="11"/>
  <c r="D28" i="11"/>
  <c r="D27" i="11"/>
  <c r="D24" i="11"/>
  <c r="D25" i="11" s="1"/>
  <c r="F356" i="18" s="1"/>
  <c r="C29" i="11"/>
  <c r="C28" i="11"/>
  <c r="C27" i="11"/>
  <c r="C24" i="11"/>
  <c r="C25" i="11" s="1"/>
  <c r="E356" i="18" s="1"/>
  <c r="C22" i="11"/>
  <c r="C37" i="11" s="1"/>
  <c r="C42" i="11" s="1"/>
  <c r="C46" i="11" s="1"/>
  <c r="C51" i="11" s="1"/>
  <c r="C54" i="11" s="1"/>
  <c r="C12" i="11"/>
  <c r="E9" i="18" s="1"/>
  <c r="I22" i="11"/>
  <c r="I37" i="11" s="1"/>
  <c r="I42" i="11" s="1"/>
  <c r="I46" i="11" s="1"/>
  <c r="I51" i="11" s="1"/>
  <c r="I54" i="11" s="1"/>
  <c r="I12" i="11"/>
  <c r="K9" i="18" s="1"/>
  <c r="H22" i="11"/>
  <c r="H37" i="11" s="1"/>
  <c r="H42" i="11" s="1"/>
  <c r="H46" i="11" s="1"/>
  <c r="H51" i="11" s="1"/>
  <c r="H54" i="11" s="1"/>
  <c r="H12" i="11"/>
  <c r="J9" i="18" s="1"/>
  <c r="G22" i="11"/>
  <c r="G37" i="11" s="1"/>
  <c r="G42" i="11" s="1"/>
  <c r="G46" i="11" s="1"/>
  <c r="G51" i="11" s="1"/>
  <c r="G54" i="11" s="1"/>
  <c r="G12" i="11"/>
  <c r="I9" i="18" s="1"/>
  <c r="F22" i="11"/>
  <c r="F12" i="11"/>
  <c r="H9" i="18" s="1"/>
  <c r="E22" i="11"/>
  <c r="E12" i="11"/>
  <c r="G9" i="18" s="1"/>
  <c r="D22" i="11"/>
  <c r="D37" i="11" s="1"/>
  <c r="D42" i="11" s="1"/>
  <c r="D46" i="11" s="1"/>
  <c r="D51" i="11" s="1"/>
  <c r="D54" i="11" s="1"/>
  <c r="D12" i="11"/>
  <c r="F9" i="18" s="1"/>
  <c r="I77" i="24"/>
  <c r="I80" i="24" s="1"/>
  <c r="H77" i="24"/>
  <c r="H80" i="24" s="1"/>
  <c r="G77" i="24"/>
  <c r="G80" i="24" s="1"/>
  <c r="F77" i="24"/>
  <c r="F80" i="24" s="1"/>
  <c r="E77" i="24"/>
  <c r="E80" i="24" s="1"/>
  <c r="D77" i="24"/>
  <c r="D80" i="24" s="1"/>
  <c r="C77" i="24"/>
  <c r="C80" i="24" s="1"/>
  <c r="F6" i="11"/>
  <c r="E13" i="12"/>
  <c r="H35" i="12"/>
  <c r="H68" i="12" s="1"/>
  <c r="F35" i="12"/>
  <c r="F68" i="12" s="1"/>
  <c r="E35" i="12"/>
  <c r="D35" i="12"/>
  <c r="C35" i="12"/>
  <c r="C68" i="12" s="1"/>
  <c r="I35" i="12"/>
  <c r="I68" i="12" s="1"/>
  <c r="G35" i="12"/>
  <c r="D65" i="12"/>
  <c r="D109" i="4" s="1"/>
  <c r="L9" i="17"/>
  <c r="M9" i="17" s="1"/>
  <c r="N9" i="17" s="1"/>
  <c r="O9" i="17" s="1"/>
  <c r="P9" i="17" s="1"/>
  <c r="Q9" i="17" s="1"/>
  <c r="R9" i="17" s="1"/>
  <c r="S9" i="17" s="1"/>
  <c r="T9" i="17" s="1"/>
  <c r="BW18" i="43" l="1"/>
  <c r="BW19" i="43"/>
  <c r="BW20" i="43"/>
  <c r="BW21" i="43"/>
  <c r="BW22" i="43"/>
  <c r="BW23" i="43"/>
  <c r="BV18" i="43"/>
  <c r="BV19" i="43"/>
  <c r="BV20" i="43"/>
  <c r="BV21" i="43"/>
  <c r="BV22" i="43"/>
  <c r="BV23" i="43"/>
  <c r="BU18" i="43"/>
  <c r="BU20" i="43"/>
  <c r="BU21" i="43"/>
  <c r="BU19" i="43"/>
  <c r="BU22" i="43"/>
  <c r="BU23" i="43"/>
  <c r="BT18" i="43"/>
  <c r="BT19" i="43"/>
  <c r="BT21" i="43"/>
  <c r="BT22" i="43"/>
  <c r="BT20" i="43"/>
  <c r="BT23" i="43"/>
  <c r="BS18" i="43"/>
  <c r="BS20" i="43"/>
  <c r="BS19" i="43"/>
  <c r="BS21" i="43"/>
  <c r="BS22" i="43"/>
  <c r="BS23" i="43"/>
  <c r="BR18" i="43"/>
  <c r="BR21" i="43"/>
  <c r="BR22" i="43"/>
  <c r="BR19" i="43"/>
  <c r="BR20" i="43"/>
  <c r="BR23" i="43"/>
  <c r="BQ18" i="43"/>
  <c r="BQ19" i="43"/>
  <c r="BQ20" i="43"/>
  <c r="BQ21" i="43"/>
  <c r="BQ22" i="43"/>
  <c r="BQ23" i="43"/>
  <c r="BP18" i="43"/>
  <c r="BP21" i="43"/>
  <c r="BP19" i="43"/>
  <c r="BP20" i="43"/>
  <c r="BP22" i="43"/>
  <c r="BP23" i="43"/>
  <c r="BO18" i="43"/>
  <c r="BO19" i="43"/>
  <c r="BO22" i="43"/>
  <c r="BO20" i="43"/>
  <c r="BO21" i="43"/>
  <c r="BO23" i="43"/>
  <c r="BN18" i="43"/>
  <c r="BN20" i="43"/>
  <c r="BN19" i="43"/>
  <c r="BN21" i="43"/>
  <c r="BN22" i="43"/>
  <c r="BN23" i="43"/>
  <c r="BM18" i="43"/>
  <c r="BM21" i="43"/>
  <c r="BM19" i="43"/>
  <c r="BM20" i="43"/>
  <c r="BM22" i="43"/>
  <c r="BM23" i="43"/>
  <c r="AR10" i="43"/>
  <c r="AT10" i="43"/>
  <c r="AV10" i="43"/>
  <c r="AX10" i="43"/>
  <c r="AY10" i="43"/>
  <c r="BA10" i="43"/>
  <c r="BC10" i="43"/>
  <c r="BJ10" i="43"/>
  <c r="G21" i="43"/>
  <c r="AQ10" i="43"/>
  <c r="AS10" i="43"/>
  <c r="AU10" i="43"/>
  <c r="AW10" i="43"/>
  <c r="AZ10" i="43"/>
  <c r="BB10" i="43"/>
  <c r="BD10" i="43"/>
  <c r="BF10" i="43"/>
  <c r="BG10" i="43"/>
  <c r="BH10" i="43"/>
  <c r="BL10" i="43"/>
  <c r="G20" i="43"/>
  <c r="G22" i="43"/>
  <c r="G23" i="43"/>
  <c r="BE10" i="43"/>
  <c r="BI10" i="43"/>
  <c r="BK10" i="43"/>
  <c r="G18" i="43"/>
  <c r="G19" i="43"/>
  <c r="AF8" i="43"/>
  <c r="AG8" i="43" s="1"/>
  <c r="AH8" i="43" s="1"/>
  <c r="AI8" i="43" s="1"/>
  <c r="AJ8" i="43" s="1"/>
  <c r="AK8" i="43" s="1"/>
  <c r="AL8" i="43" s="1"/>
  <c r="AM8" i="43" s="1"/>
  <c r="AN8" i="43" s="1"/>
  <c r="AO8" i="43" s="1"/>
  <c r="AQ8" i="43"/>
  <c r="G28" i="36"/>
  <c r="F34" i="36"/>
  <c r="F50" i="36" s="1"/>
  <c r="F56" i="36" s="1"/>
  <c r="F68" i="36" s="1"/>
  <c r="F74" i="36" s="1"/>
  <c r="F86" i="36" s="1"/>
  <c r="H28" i="36"/>
  <c r="H34" i="36" s="1"/>
  <c r="H50" i="36" s="1"/>
  <c r="H56" i="36" s="1"/>
  <c r="H68" i="36" s="1"/>
  <c r="H74" i="36" s="1"/>
  <c r="H86" i="36" s="1"/>
  <c r="G34" i="36"/>
  <c r="G50" i="36" s="1"/>
  <c r="G56" i="36" s="1"/>
  <c r="G68" i="36" s="1"/>
  <c r="G74" i="36" s="1"/>
  <c r="G86" i="36" s="1"/>
  <c r="K23" i="17"/>
  <c r="J79" i="14"/>
  <c r="H47" i="39"/>
  <c r="H48" i="39" s="1"/>
  <c r="H46" i="39"/>
  <c r="G9" i="37"/>
  <c r="H39" i="36"/>
  <c r="H58" i="36"/>
  <c r="G39" i="36"/>
  <c r="G58" i="36"/>
  <c r="E39" i="36"/>
  <c r="E58" i="36"/>
  <c r="D39" i="36"/>
  <c r="D58" i="36"/>
  <c r="E180" i="3"/>
  <c r="E200" i="3"/>
  <c r="H180" i="3"/>
  <c r="H200" i="3"/>
  <c r="G200" i="3"/>
  <c r="G180" i="3"/>
  <c r="F180" i="3"/>
  <c r="F200" i="3"/>
  <c r="D17" i="14"/>
  <c r="D15" i="14"/>
  <c r="D117" i="4"/>
  <c r="D19" i="14"/>
  <c r="D115" i="4"/>
  <c r="D18" i="14"/>
  <c r="D75" i="14" s="1"/>
  <c r="D76" i="14" s="1"/>
  <c r="C30" i="36"/>
  <c r="G7" i="35"/>
  <c r="C70" i="36" s="1"/>
  <c r="C80" i="36" s="1"/>
  <c r="E1228" i="18"/>
  <c r="E1230" i="18" s="1"/>
  <c r="C40" i="36"/>
  <c r="S86" i="14"/>
  <c r="S88" i="14" s="1"/>
  <c r="F76" i="36"/>
  <c r="C76" i="36"/>
  <c r="F114" i="36"/>
  <c r="E114" i="36"/>
  <c r="I193" i="3"/>
  <c r="I1165" i="18"/>
  <c r="H1146" i="18"/>
  <c r="H1156" i="18"/>
  <c r="F1226" i="18"/>
  <c r="E20" i="28"/>
  <c r="F18" i="28"/>
  <c r="F20" i="28" s="1"/>
  <c r="F7" i="28"/>
  <c r="E723" i="18"/>
  <c r="L234" i="3"/>
  <c r="M234" i="3" s="1"/>
  <c r="N234" i="3" s="1"/>
  <c r="O234" i="3" s="1"/>
  <c r="P234" i="3" s="1"/>
  <c r="J143" i="4"/>
  <c r="N915" i="18"/>
  <c r="N948" i="18" s="1"/>
  <c r="N914" i="18"/>
  <c r="M904" i="18"/>
  <c r="M915" i="18"/>
  <c r="M948" i="18" s="1"/>
  <c r="M914" i="18"/>
  <c r="L904" i="18"/>
  <c r="L915" i="18"/>
  <c r="L948" i="18" s="1"/>
  <c r="L914" i="18"/>
  <c r="K904" i="18"/>
  <c r="K915" i="18"/>
  <c r="K948" i="18" s="1"/>
  <c r="K914" i="18"/>
  <c r="J904" i="18"/>
  <c r="J915" i="18"/>
  <c r="J948" i="18" s="1"/>
  <c r="J914" i="18"/>
  <c r="I904" i="18"/>
  <c r="I915" i="18"/>
  <c r="I948" i="18" s="1"/>
  <c r="I951" i="18" s="1"/>
  <c r="I914" i="18"/>
  <c r="H904" i="18"/>
  <c r="E1068" i="18" s="1"/>
  <c r="H915" i="18"/>
  <c r="H948" i="18" s="1"/>
  <c r="H914" i="18"/>
  <c r="F941" i="18"/>
  <c r="F939" i="18"/>
  <c r="F937" i="18"/>
  <c r="F934" i="18"/>
  <c r="F936" i="18"/>
  <c r="F935" i="18"/>
  <c r="F943" i="18"/>
  <c r="F938" i="18"/>
  <c r="F940" i="18"/>
  <c r="F902" i="18"/>
  <c r="F915" i="18" s="1"/>
  <c r="I183" i="3"/>
  <c r="I1141" i="18"/>
  <c r="I1156" i="18" s="1"/>
  <c r="L249" i="3"/>
  <c r="M249" i="3" s="1"/>
  <c r="N249" i="3" s="1"/>
  <c r="O249" i="3" s="1"/>
  <c r="P249" i="3" s="1"/>
  <c r="Q249" i="3" s="1"/>
  <c r="R249" i="3" s="1"/>
  <c r="S249" i="3" s="1"/>
  <c r="T249" i="3" s="1"/>
  <c r="K248" i="3"/>
  <c r="J70" i="4" s="1"/>
  <c r="L1138" i="18"/>
  <c r="M1138" i="18"/>
  <c r="E912" i="18"/>
  <c r="E908" i="18"/>
  <c r="J1029" i="18"/>
  <c r="J1033" i="18" s="1"/>
  <c r="K1068" i="18"/>
  <c r="F178" i="3"/>
  <c r="F183" i="3"/>
  <c r="E178" i="3"/>
  <c r="E183" i="3"/>
  <c r="G68" i="12"/>
  <c r="E57" i="4"/>
  <c r="H1165" i="18"/>
  <c r="H196" i="3" s="1"/>
  <c r="H193" i="3"/>
  <c r="G1165" i="18"/>
  <c r="G196" i="3" s="1"/>
  <c r="G193" i="3"/>
  <c r="F6" i="12"/>
  <c r="G6" i="12" s="1"/>
  <c r="H6" i="12" s="1"/>
  <c r="I6" i="12" s="1"/>
  <c r="E85" i="4"/>
  <c r="E100" i="4"/>
  <c r="E106" i="4"/>
  <c r="E101" i="4"/>
  <c r="E114" i="4" s="1"/>
  <c r="E64" i="4"/>
  <c r="E86" i="4"/>
  <c r="E98" i="4"/>
  <c r="E95" i="4"/>
  <c r="E65" i="4"/>
  <c r="D39" i="14" s="1"/>
  <c r="D40" i="14" s="1"/>
  <c r="E83" i="4"/>
  <c r="E66" i="4"/>
  <c r="E89" i="4"/>
  <c r="E77" i="4"/>
  <c r="E14" i="14" s="1"/>
  <c r="E20" i="14" s="1"/>
  <c r="E61" i="4"/>
  <c r="E90" i="4"/>
  <c r="E71" i="4"/>
  <c r="E91" i="4"/>
  <c r="E87" i="4"/>
  <c r="E72" i="4"/>
  <c r="E116" i="4" s="1"/>
  <c r="E92" i="4"/>
  <c r="E73" i="4"/>
  <c r="E93" i="4"/>
  <c r="E74" i="4"/>
  <c r="E94" i="4"/>
  <c r="E103" i="4"/>
  <c r="E109" i="4"/>
  <c r="E56" i="4"/>
  <c r="E76" i="4"/>
  <c r="E104" i="4"/>
  <c r="E107" i="4"/>
  <c r="E13" i="14" s="1"/>
  <c r="E62" i="4"/>
  <c r="E70" i="4"/>
  <c r="N196" i="3"/>
  <c r="H178" i="3"/>
  <c r="H183" i="3"/>
  <c r="G178" i="3"/>
  <c r="G183" i="3"/>
  <c r="J1141" i="18"/>
  <c r="K181" i="3"/>
  <c r="L181" i="3" s="1"/>
  <c r="J182" i="3"/>
  <c r="J183" i="3"/>
  <c r="J264" i="3"/>
  <c r="I264" i="3"/>
  <c r="H264" i="3"/>
  <c r="G264" i="3"/>
  <c r="F264" i="3"/>
  <c r="I263" i="3"/>
  <c r="H263" i="3"/>
  <c r="G263" i="3"/>
  <c r="F263" i="3"/>
  <c r="K239" i="3"/>
  <c r="J263" i="3"/>
  <c r="J235" i="3"/>
  <c r="J262" i="3"/>
  <c r="I235" i="3"/>
  <c r="I262" i="3"/>
  <c r="H235" i="3"/>
  <c r="H262" i="3"/>
  <c r="G235" i="3"/>
  <c r="G262" i="3"/>
  <c r="F235" i="3"/>
  <c r="F262" i="3"/>
  <c r="F103" i="4"/>
  <c r="F131" i="4"/>
  <c r="J180" i="3"/>
  <c r="I180" i="3"/>
  <c r="J178" i="3"/>
  <c r="I178" i="3"/>
  <c r="L1140" i="18"/>
  <c r="M1140" i="18"/>
  <c r="L1136" i="18"/>
  <c r="M1136" i="18"/>
  <c r="G1146" i="18"/>
  <c r="G1145" i="18"/>
  <c r="H1142" i="18"/>
  <c r="H1155" i="18"/>
  <c r="H1157" i="18"/>
  <c r="H1158" i="18"/>
  <c r="H1191" i="18"/>
  <c r="H1193" i="18" s="1"/>
  <c r="G1155" i="18"/>
  <c r="G1157" i="18"/>
  <c r="G1158" i="18"/>
  <c r="G1191" i="18"/>
  <c r="G1193" i="18" s="1"/>
  <c r="F1155" i="18"/>
  <c r="F1157" i="18"/>
  <c r="F1158" i="18"/>
  <c r="F1191" i="18"/>
  <c r="E1155" i="18"/>
  <c r="E1157" i="18"/>
  <c r="E1158" i="18"/>
  <c r="E1191" i="18"/>
  <c r="J245" i="3"/>
  <c r="I245" i="3"/>
  <c r="H245" i="3"/>
  <c r="G245" i="3"/>
  <c r="F245" i="3"/>
  <c r="E245" i="3"/>
  <c r="H1145" i="18"/>
  <c r="H1144" i="18"/>
  <c r="G1144" i="18"/>
  <c r="V884" i="18"/>
  <c r="P884" i="18"/>
  <c r="J1085" i="18"/>
  <c r="F1148" i="18"/>
  <c r="F1195" i="18" s="1"/>
  <c r="F1196" i="18" s="1"/>
  <c r="F201" i="3" s="1"/>
  <c r="F202" i="3" s="1"/>
  <c r="H1028" i="18"/>
  <c r="H888" i="18"/>
  <c r="G885" i="18"/>
  <c r="E885" i="18"/>
  <c r="F885" i="18"/>
  <c r="F78" i="3"/>
  <c r="N885" i="18"/>
  <c r="N894" i="18"/>
  <c r="N891" i="18"/>
  <c r="N888" i="18"/>
  <c r="M885" i="18"/>
  <c r="M894" i="18"/>
  <c r="M891" i="18"/>
  <c r="M888" i="18"/>
  <c r="L885" i="18"/>
  <c r="L894" i="18"/>
  <c r="L891" i="18"/>
  <c r="L888" i="18"/>
  <c r="K885" i="18"/>
  <c r="K894" i="18"/>
  <c r="K891" i="18"/>
  <c r="K888" i="18"/>
  <c r="J885" i="18"/>
  <c r="J894" i="18"/>
  <c r="J891" i="18"/>
  <c r="J888" i="18"/>
  <c r="H885" i="18"/>
  <c r="H894" i="18"/>
  <c r="H891" i="18"/>
  <c r="I885" i="18"/>
  <c r="I894" i="18"/>
  <c r="I891" i="18"/>
  <c r="I888" i="18"/>
  <c r="J240" i="3"/>
  <c r="H240" i="3"/>
  <c r="F240" i="3"/>
  <c r="E240" i="3"/>
  <c r="I240" i="3"/>
  <c r="G240" i="3"/>
  <c r="V887" i="18"/>
  <c r="P887" i="18"/>
  <c r="I230" i="3"/>
  <c r="I254" i="3"/>
  <c r="H230" i="3"/>
  <c r="H254" i="3"/>
  <c r="G230" i="3"/>
  <c r="G254" i="3"/>
  <c r="F230" i="3"/>
  <c r="F254" i="3"/>
  <c r="E230" i="3"/>
  <c r="E254" i="3"/>
  <c r="L32" i="3"/>
  <c r="J33" i="4"/>
  <c r="K168" i="3" s="1"/>
  <c r="P890" i="18"/>
  <c r="V890" i="18"/>
  <c r="I78" i="3"/>
  <c r="G78" i="3"/>
  <c r="E1085" i="18"/>
  <c r="E1087" i="18"/>
  <c r="L115" i="3"/>
  <c r="K111" i="3"/>
  <c r="K112" i="3" s="1"/>
  <c r="V1080" i="18"/>
  <c r="P1080" i="18"/>
  <c r="V1078" i="18"/>
  <c r="P1078" i="18"/>
  <c r="J1087" i="18"/>
  <c r="J1088" i="18"/>
  <c r="H1087" i="18"/>
  <c r="H1088" i="18"/>
  <c r="J1017" i="18"/>
  <c r="N1083" i="18"/>
  <c r="I1017" i="18"/>
  <c r="M1083" i="18"/>
  <c r="H1017" i="18"/>
  <c r="L1083" i="18"/>
  <c r="G1017" i="18"/>
  <c r="K1083" i="18"/>
  <c r="G1083" i="18"/>
  <c r="G1085" i="18" s="1"/>
  <c r="D111" i="4"/>
  <c r="D68" i="12"/>
  <c r="F165" i="4"/>
  <c r="F102" i="4" s="1"/>
  <c r="G1222" i="18" s="1"/>
  <c r="F164" i="4"/>
  <c r="F163" i="4"/>
  <c r="F158" i="4"/>
  <c r="F155" i="4"/>
  <c r="F149" i="4"/>
  <c r="F127" i="4"/>
  <c r="F126" i="4"/>
  <c r="F154" i="4"/>
  <c r="F147" i="4"/>
  <c r="F129" i="4"/>
  <c r="F128" i="4"/>
  <c r="F159" i="4"/>
  <c r="F156" i="4"/>
  <c r="F145" i="4"/>
  <c r="F139" i="4"/>
  <c r="G23" i="17" s="1"/>
  <c r="F134" i="4"/>
  <c r="F162" i="4"/>
  <c r="F160" i="4"/>
  <c r="F153" i="4"/>
  <c r="F146" i="4"/>
  <c r="E97" i="3"/>
  <c r="E79" i="4"/>
  <c r="E68" i="12"/>
  <c r="F35" i="4"/>
  <c r="F34" i="4"/>
  <c r="J78" i="3"/>
  <c r="F39" i="4"/>
  <c r="G16" i="17" s="1"/>
  <c r="F33" i="4"/>
  <c r="F32" i="4"/>
  <c r="E96" i="14" s="1"/>
  <c r="H78" i="3"/>
  <c r="J112" i="3"/>
  <c r="L16" i="3"/>
  <c r="M16" i="3" s="1"/>
  <c r="N16" i="3" s="1"/>
  <c r="O16" i="3" s="1"/>
  <c r="P16" i="3" s="1"/>
  <c r="Q16" i="3" s="1"/>
  <c r="R16" i="3" s="1"/>
  <c r="S16" i="3" s="1"/>
  <c r="T16" i="3" s="1"/>
  <c r="K1008" i="18"/>
  <c r="K1009" i="18" s="1"/>
  <c r="J1008" i="18"/>
  <c r="J1009" i="18" s="1"/>
  <c r="I1008" i="18"/>
  <c r="I1009" i="18" s="1"/>
  <c r="H1008" i="18"/>
  <c r="H1009" i="18" s="1"/>
  <c r="G1008" i="18"/>
  <c r="G1009" i="18" s="1"/>
  <c r="E1008" i="18"/>
  <c r="E1009" i="18" s="1"/>
  <c r="F1008" i="18"/>
  <c r="F1009" i="18" s="1"/>
  <c r="W1009" i="18" s="1"/>
  <c r="M1065" i="18"/>
  <c r="N1065" i="18"/>
  <c r="M140" i="3"/>
  <c r="K94" i="4"/>
  <c r="L102" i="3"/>
  <c r="J86" i="4"/>
  <c r="L134" i="3"/>
  <c r="J93" i="4"/>
  <c r="L128" i="3"/>
  <c r="J92" i="4"/>
  <c r="F1017" i="18"/>
  <c r="L18" i="3"/>
  <c r="M18" i="3" s="1"/>
  <c r="N18" i="3" s="1"/>
  <c r="O18" i="3" s="1"/>
  <c r="P18" i="3" s="1"/>
  <c r="Q18" i="3" s="1"/>
  <c r="R18" i="3" s="1"/>
  <c r="S18" i="3" s="1"/>
  <c r="T18" i="3" s="1"/>
  <c r="M17" i="3"/>
  <c r="N17" i="3" s="1"/>
  <c r="O17" i="3" s="1"/>
  <c r="P17" i="3" s="1"/>
  <c r="Q17" i="3" s="1"/>
  <c r="R17" i="3" s="1"/>
  <c r="S17" i="3" s="1"/>
  <c r="T17" i="3" s="1"/>
  <c r="N912" i="18"/>
  <c r="J919" i="18"/>
  <c r="E796" i="18"/>
  <c r="E797" i="18"/>
  <c r="G919" i="18"/>
  <c r="G912" i="18"/>
  <c r="E919" i="18"/>
  <c r="M919" i="18"/>
  <c r="M916" i="18"/>
  <c r="L919" i="18"/>
  <c r="L916" i="18"/>
  <c r="K919" i="18"/>
  <c r="K916" i="18"/>
  <c r="H919" i="18"/>
  <c r="H916" i="18"/>
  <c r="N919" i="18"/>
  <c r="N916" i="18"/>
  <c r="M715" i="18"/>
  <c r="M718" i="18" s="1"/>
  <c r="M711" i="18"/>
  <c r="F94" i="4"/>
  <c r="F100" i="4"/>
  <c r="F74" i="4"/>
  <c r="F76" i="4"/>
  <c r="F83" i="4"/>
  <c r="F93" i="4"/>
  <c r="F63" i="4"/>
  <c r="F73" i="4"/>
  <c r="F101" i="4"/>
  <c r="F114" i="4" s="1"/>
  <c r="F87" i="4"/>
  <c r="F92" i="4"/>
  <c r="F79" i="4"/>
  <c r="F72" i="4"/>
  <c r="F116" i="4" s="1"/>
  <c r="F62" i="4"/>
  <c r="F104" i="4"/>
  <c r="F91" i="4"/>
  <c r="F61" i="4"/>
  <c r="F71" i="4"/>
  <c r="F105" i="4"/>
  <c r="F77" i="4"/>
  <c r="F14" i="14" s="1"/>
  <c r="F90" i="4"/>
  <c r="F85" i="4"/>
  <c r="F70" i="4"/>
  <c r="F57" i="4"/>
  <c r="F106" i="4"/>
  <c r="F89" i="4"/>
  <c r="F56" i="4"/>
  <c r="F66" i="4"/>
  <c r="F107" i="4"/>
  <c r="F13" i="14" s="1"/>
  <c r="F75" i="4"/>
  <c r="F65" i="4"/>
  <c r="E39" i="14" s="1"/>
  <c r="F109" i="4"/>
  <c r="F64" i="4"/>
  <c r="F86" i="4"/>
  <c r="F95" i="4"/>
  <c r="F55" i="4"/>
  <c r="F54" i="4"/>
  <c r="F98" i="4"/>
  <c r="F53" i="4"/>
  <c r="G9" i="4"/>
  <c r="D15" i="4"/>
  <c r="D22" i="4" s="1"/>
  <c r="E13" i="17" s="1"/>
  <c r="E15" i="17" s="1"/>
  <c r="E17" i="17" s="1"/>
  <c r="D81" i="14" s="1"/>
  <c r="D82" i="14" s="1"/>
  <c r="L787" i="18"/>
  <c r="L791" i="18" s="1"/>
  <c r="N715" i="18"/>
  <c r="N718" i="18" s="1"/>
  <c r="N719" i="18"/>
  <c r="N723" i="18" s="1"/>
  <c r="I785" i="18"/>
  <c r="I787" i="18" s="1"/>
  <c r="I791" i="18" s="1"/>
  <c r="I910" i="18"/>
  <c r="F785" i="18"/>
  <c r="F787" i="18" s="1"/>
  <c r="F791" i="18" s="1"/>
  <c r="F910" i="18"/>
  <c r="F1083" i="18" s="1"/>
  <c r="F1085" i="18" s="1"/>
  <c r="K787" i="18"/>
  <c r="K791" i="18" s="1"/>
  <c r="J787" i="18"/>
  <c r="J791" i="18" s="1"/>
  <c r="H787" i="18"/>
  <c r="H791" i="18" s="1"/>
  <c r="G787" i="18"/>
  <c r="G791" i="18" s="1"/>
  <c r="L711" i="18"/>
  <c r="L715" i="18"/>
  <c r="L718" i="18" s="1"/>
  <c r="L719" i="18"/>
  <c r="L723" i="18" s="1"/>
  <c r="K719" i="18"/>
  <c r="K723" i="18" s="1"/>
  <c r="K711" i="18"/>
  <c r="K715" i="18"/>
  <c r="K718" i="18" s="1"/>
  <c r="J719" i="18"/>
  <c r="J723" i="18" s="1"/>
  <c r="J711" i="18"/>
  <c r="J715" i="18"/>
  <c r="J718" i="18" s="1"/>
  <c r="I723" i="18"/>
  <c r="I711" i="18"/>
  <c r="I715" i="18"/>
  <c r="I718" i="18" s="1"/>
  <c r="H711" i="18"/>
  <c r="H723" i="18"/>
  <c r="H715" i="18"/>
  <c r="H718" i="18" s="1"/>
  <c r="G719" i="18"/>
  <c r="G723" i="18" s="1"/>
  <c r="G715" i="18"/>
  <c r="G718" i="18" s="1"/>
  <c r="G711" i="18"/>
  <c r="F711" i="18"/>
  <c r="F715" i="18"/>
  <c r="F718" i="18" s="1"/>
  <c r="F719" i="18"/>
  <c r="V690" i="18"/>
  <c r="P690" i="18"/>
  <c r="V692" i="18"/>
  <c r="P692" i="18"/>
  <c r="V691" i="18"/>
  <c r="P691" i="18"/>
  <c r="V694" i="18"/>
  <c r="P694" i="18"/>
  <c r="V695" i="18"/>
  <c r="P695" i="18"/>
  <c r="V693" i="18"/>
  <c r="P693" i="18"/>
  <c r="N796" i="18"/>
  <c r="N797" i="18"/>
  <c r="M796" i="18"/>
  <c r="M797" i="18"/>
  <c r="J774" i="18"/>
  <c r="I774" i="18"/>
  <c r="G774" i="18"/>
  <c r="F774" i="18"/>
  <c r="N781" i="18"/>
  <c r="M781" i="18"/>
  <c r="L781" i="18"/>
  <c r="K781" i="18"/>
  <c r="J781" i="18"/>
  <c r="I781" i="18"/>
  <c r="H781" i="18"/>
  <c r="G781" i="18"/>
  <c r="F781" i="18"/>
  <c r="H732" i="18"/>
  <c r="M729" i="18"/>
  <c r="M728" i="18"/>
  <c r="N697" i="18"/>
  <c r="M697" i="18"/>
  <c r="L697" i="18"/>
  <c r="K697" i="18"/>
  <c r="J697" i="18"/>
  <c r="I697" i="18"/>
  <c r="H697" i="18"/>
  <c r="F697" i="18"/>
  <c r="E697" i="18"/>
  <c r="M618" i="18"/>
  <c r="M627" i="18"/>
  <c r="M628" i="18"/>
  <c r="M642" i="18"/>
  <c r="M632" i="18"/>
  <c r="M636" i="18"/>
  <c r="M624" i="18"/>
  <c r="M638" i="18"/>
  <c r="M640" i="18"/>
  <c r="M634" i="18"/>
  <c r="M630" i="18"/>
  <c r="M625" i="18"/>
  <c r="M631" i="18"/>
  <c r="M641" i="18"/>
  <c r="M637" i="18"/>
  <c r="M635" i="18"/>
  <c r="M626" i="18"/>
  <c r="M639" i="18"/>
  <c r="E316" i="18"/>
  <c r="F318" i="18" s="1"/>
  <c r="K575" i="18"/>
  <c r="J588" i="18"/>
  <c r="J586" i="18"/>
  <c r="I77" i="2" s="1"/>
  <c r="I80" i="2" s="1"/>
  <c r="I53" i="3" s="1"/>
  <c r="J581" i="18"/>
  <c r="J576" i="18"/>
  <c r="I581" i="18"/>
  <c r="I588" i="18"/>
  <c r="I586" i="18"/>
  <c r="H77" i="2" s="1"/>
  <c r="H80" i="2" s="1"/>
  <c r="H53" i="3" s="1"/>
  <c r="G588" i="18"/>
  <c r="G586" i="18"/>
  <c r="F77" i="2" s="1"/>
  <c r="F80" i="2" s="1"/>
  <c r="F53" i="3" s="1"/>
  <c r="G581" i="18"/>
  <c r="H575" i="18"/>
  <c r="M8" i="18"/>
  <c r="F575" i="18"/>
  <c r="N8" i="18"/>
  <c r="F22" i="4"/>
  <c r="E22" i="4"/>
  <c r="E66" i="3"/>
  <c r="E642" i="18"/>
  <c r="E640" i="18"/>
  <c r="E626" i="18"/>
  <c r="E641" i="18"/>
  <c r="E639" i="18"/>
  <c r="E638" i="18"/>
  <c r="E636" i="18"/>
  <c r="E634" i="18"/>
  <c r="E631" i="18"/>
  <c r="E630" i="18"/>
  <c r="E628" i="18"/>
  <c r="E627" i="18"/>
  <c r="E625" i="18"/>
  <c r="E624" i="18"/>
  <c r="N642" i="18"/>
  <c r="N640" i="18"/>
  <c r="N628" i="18"/>
  <c r="N634" i="18"/>
  <c r="N636" i="18"/>
  <c r="E637" i="18"/>
  <c r="E635" i="18"/>
  <c r="E632" i="18"/>
  <c r="N641" i="18"/>
  <c r="N626" i="18"/>
  <c r="N639" i="18"/>
  <c r="N632" i="18"/>
  <c r="N624" i="18"/>
  <c r="N630" i="18"/>
  <c r="N627" i="18"/>
  <c r="N638" i="18"/>
  <c r="P653" i="18"/>
  <c r="V653" i="18"/>
  <c r="V650" i="18"/>
  <c r="P650" i="18"/>
  <c r="E656" i="18"/>
  <c r="P655" i="18"/>
  <c r="V655" i="18"/>
  <c r="L618" i="18"/>
  <c r="L638" i="18"/>
  <c r="L637" i="18"/>
  <c r="L636" i="18"/>
  <c r="L640" i="18"/>
  <c r="L635" i="18"/>
  <c r="L632" i="18"/>
  <c r="L642" i="18"/>
  <c r="L631" i="18"/>
  <c r="L628" i="18"/>
  <c r="L627" i="18"/>
  <c r="L626" i="18"/>
  <c r="L625" i="18"/>
  <c r="L639" i="18"/>
  <c r="L634" i="18"/>
  <c r="L641" i="18"/>
  <c r="L624" i="18"/>
  <c r="L630" i="18"/>
  <c r="K618" i="18"/>
  <c r="K628" i="18"/>
  <c r="K638" i="18"/>
  <c r="K640" i="18"/>
  <c r="K624" i="18"/>
  <c r="K626" i="18"/>
  <c r="K639" i="18"/>
  <c r="K637" i="18"/>
  <c r="K631" i="18"/>
  <c r="K642" i="18"/>
  <c r="K627" i="18"/>
  <c r="K625" i="18"/>
  <c r="K630" i="18"/>
  <c r="K636" i="18"/>
  <c r="K635" i="18"/>
  <c r="K632" i="18"/>
  <c r="K641" i="18"/>
  <c r="K634" i="18"/>
  <c r="J618" i="18"/>
  <c r="J625" i="18"/>
  <c r="J638" i="18"/>
  <c r="J626" i="18"/>
  <c r="J627" i="18"/>
  <c r="J636" i="18"/>
  <c r="J642" i="18"/>
  <c r="J637" i="18"/>
  <c r="J641" i="18"/>
  <c r="J632" i="18"/>
  <c r="J640" i="18"/>
  <c r="J639" i="18"/>
  <c r="J628" i="18"/>
  <c r="J624" i="18"/>
  <c r="J630" i="18"/>
  <c r="J635" i="18"/>
  <c r="J634" i="18"/>
  <c r="J631" i="18"/>
  <c r="I618" i="18"/>
  <c r="I626" i="18"/>
  <c r="I630" i="18"/>
  <c r="I624" i="18"/>
  <c r="I636" i="18"/>
  <c r="I635" i="18"/>
  <c r="I628" i="18"/>
  <c r="I631" i="18"/>
  <c r="I632" i="18"/>
  <c r="I638" i="18"/>
  <c r="I640" i="18"/>
  <c r="I641" i="18"/>
  <c r="I627" i="18"/>
  <c r="I625" i="18"/>
  <c r="I637" i="18"/>
  <c r="I639" i="18"/>
  <c r="I634" i="18"/>
  <c r="I642" i="18"/>
  <c r="H618" i="18"/>
  <c r="H640" i="18"/>
  <c r="H630" i="18"/>
  <c r="H638" i="18"/>
  <c r="H632" i="18"/>
  <c r="H636" i="18"/>
  <c r="H639" i="18"/>
  <c r="H631" i="18"/>
  <c r="H634" i="18"/>
  <c r="H628" i="18"/>
  <c r="H642" i="18"/>
  <c r="H637" i="18"/>
  <c r="H635" i="18"/>
  <c r="H627" i="18"/>
  <c r="H626" i="18"/>
  <c r="H641" i="18"/>
  <c r="H624" i="18"/>
  <c r="H625" i="18"/>
  <c r="G618" i="18"/>
  <c r="G639" i="18"/>
  <c r="G635" i="18"/>
  <c r="G624" i="18"/>
  <c r="G642" i="18"/>
  <c r="G627" i="18"/>
  <c r="G641" i="18"/>
  <c r="G640" i="18"/>
  <c r="G631" i="18"/>
  <c r="G636" i="18"/>
  <c r="G634" i="18"/>
  <c r="G626" i="18"/>
  <c r="G625" i="18"/>
  <c r="G637" i="18"/>
  <c r="G638" i="18"/>
  <c r="G630" i="18"/>
  <c r="G632" i="18"/>
  <c r="G628" i="18"/>
  <c r="F618" i="18"/>
  <c r="F638" i="18"/>
  <c r="F642" i="18"/>
  <c r="F625" i="18"/>
  <c r="F641" i="18"/>
  <c r="F634" i="18"/>
  <c r="F628" i="18"/>
  <c r="F630" i="18"/>
  <c r="F639" i="18"/>
  <c r="F631" i="18"/>
  <c r="F624" i="18"/>
  <c r="F632" i="18"/>
  <c r="F640" i="18"/>
  <c r="F636" i="18"/>
  <c r="F627" i="18"/>
  <c r="F635" i="18"/>
  <c r="F637" i="18"/>
  <c r="F626" i="18"/>
  <c r="N618" i="18"/>
  <c r="N625" i="18"/>
  <c r="B154" i="3"/>
  <c r="K20" i="3"/>
  <c r="J13" i="4" s="1"/>
  <c r="L15" i="3"/>
  <c r="N66" i="2"/>
  <c r="N69" i="2" s="1"/>
  <c r="M69" i="2"/>
  <c r="L9" i="3"/>
  <c r="L71" i="2"/>
  <c r="L42" i="3" s="1"/>
  <c r="L43" i="3" s="1"/>
  <c r="J220" i="3"/>
  <c r="M220" i="3" s="1"/>
  <c r="J230" i="3"/>
  <c r="N631" i="18"/>
  <c r="N637" i="18"/>
  <c r="N635" i="18"/>
  <c r="N356" i="18"/>
  <c r="M356" i="18"/>
  <c r="F37" i="11"/>
  <c r="F42" i="11" s="1"/>
  <c r="F46" i="11" s="1"/>
  <c r="F51" i="11" s="1"/>
  <c r="F54" i="11" s="1"/>
  <c r="E37" i="11"/>
  <c r="E42" i="11" s="1"/>
  <c r="E46" i="11" s="1"/>
  <c r="E51" i="11" s="1"/>
  <c r="E54" i="11" s="1"/>
  <c r="G6" i="11"/>
  <c r="G20" i="4"/>
  <c r="H20" i="4"/>
  <c r="G49" i="14"/>
  <c r="G53" i="14" s="1"/>
  <c r="G57" i="14" s="1"/>
  <c r="G70" i="14" s="1"/>
  <c r="G42" i="4"/>
  <c r="J153" i="3"/>
  <c r="H38" i="14"/>
  <c r="H65" i="14" s="1"/>
  <c r="L26" i="17"/>
  <c r="AR20" i="43" l="1"/>
  <c r="AR21" i="43"/>
  <c r="AR19" i="43"/>
  <c r="AR22" i="43"/>
  <c r="AR23" i="43"/>
  <c r="AR18" i="43"/>
  <c r="AT22" i="43"/>
  <c r="AT19" i="43"/>
  <c r="AT20" i="43"/>
  <c r="AT21" i="43"/>
  <c r="AT23" i="43"/>
  <c r="AT18" i="43"/>
  <c r="AV19" i="43"/>
  <c r="AV22" i="43"/>
  <c r="AV20" i="43"/>
  <c r="AV21" i="43"/>
  <c r="AV23" i="43"/>
  <c r="AV18" i="43"/>
  <c r="AX19" i="43"/>
  <c r="AX20" i="43"/>
  <c r="AX21" i="43"/>
  <c r="AX22" i="43"/>
  <c r="AX23" i="43"/>
  <c r="AX18" i="43"/>
  <c r="AY22" i="43"/>
  <c r="AY19" i="43"/>
  <c r="AY20" i="43"/>
  <c r="AY21" i="43"/>
  <c r="AY23" i="43"/>
  <c r="AY18" i="43"/>
  <c r="BA19" i="43"/>
  <c r="BA20" i="43"/>
  <c r="BA21" i="43"/>
  <c r="BA22" i="43"/>
  <c r="BA23" i="43"/>
  <c r="BA18" i="43"/>
  <c r="BC21" i="43"/>
  <c r="BC19" i="43"/>
  <c r="BC20" i="43"/>
  <c r="BC22" i="43"/>
  <c r="BC23" i="43"/>
  <c r="BC18" i="43"/>
  <c r="BJ20" i="43"/>
  <c r="BJ22" i="43"/>
  <c r="BJ19" i="43"/>
  <c r="BJ21" i="43"/>
  <c r="BJ23" i="43"/>
  <c r="BJ18" i="43"/>
  <c r="AQ19" i="43"/>
  <c r="AQ21" i="43"/>
  <c r="C33" i="43" s="1"/>
  <c r="C39" i="43" s="1"/>
  <c r="AQ23" i="43"/>
  <c r="AQ20" i="43"/>
  <c r="AQ18" i="43"/>
  <c r="AQ22" i="43"/>
  <c r="AS20" i="43"/>
  <c r="AS21" i="43"/>
  <c r="AS22" i="43"/>
  <c r="AS23" i="43"/>
  <c r="AS18" i="43"/>
  <c r="AS19" i="43"/>
  <c r="AU19" i="43"/>
  <c r="AU22" i="43"/>
  <c r="AU23" i="43"/>
  <c r="AU18" i="43"/>
  <c r="AU20" i="43"/>
  <c r="AU21" i="43"/>
  <c r="AW19" i="43"/>
  <c r="AW22" i="43"/>
  <c r="AW23" i="43"/>
  <c r="AW18" i="43"/>
  <c r="AW20" i="43"/>
  <c r="AW21" i="43"/>
  <c r="AZ19" i="43"/>
  <c r="AZ22" i="43"/>
  <c r="AZ18" i="43"/>
  <c r="AZ20" i="43"/>
  <c r="AZ21" i="43"/>
  <c r="AZ23" i="43"/>
  <c r="BB19" i="43"/>
  <c r="BB21" i="43"/>
  <c r="BB23" i="43"/>
  <c r="BB18" i="43"/>
  <c r="BB20" i="43"/>
  <c r="BB22" i="43"/>
  <c r="BD21" i="43"/>
  <c r="BD23" i="43"/>
  <c r="BD18" i="43"/>
  <c r="BD19" i="43"/>
  <c r="BD20" i="43"/>
  <c r="BD22" i="43"/>
  <c r="BF20" i="43"/>
  <c r="BF21" i="43"/>
  <c r="BF22" i="43"/>
  <c r="BF23" i="43"/>
  <c r="BF18" i="43"/>
  <c r="BF19" i="43"/>
  <c r="BG19" i="43"/>
  <c r="BG21" i="43"/>
  <c r="BG23" i="43"/>
  <c r="BG18" i="43"/>
  <c r="BG20" i="43"/>
  <c r="BG22" i="43"/>
  <c r="BH19" i="43"/>
  <c r="BH20" i="43"/>
  <c r="BH22" i="43"/>
  <c r="BH23" i="43"/>
  <c r="BH18" i="43"/>
  <c r="BH21" i="43"/>
  <c r="BL21" i="43"/>
  <c r="BL23" i="43"/>
  <c r="BL18" i="43"/>
  <c r="BL19" i="43"/>
  <c r="BL20" i="43"/>
  <c r="BL22" i="43"/>
  <c r="BE18" i="43"/>
  <c r="BE21" i="43"/>
  <c r="BE19" i="43"/>
  <c r="BE20" i="43"/>
  <c r="BE22" i="43"/>
  <c r="BE23" i="43"/>
  <c r="BI18" i="43"/>
  <c r="BI19" i="43"/>
  <c r="BI20" i="43"/>
  <c r="BI21" i="43"/>
  <c r="BI22" i="43"/>
  <c r="BI23" i="43"/>
  <c r="BK18" i="43"/>
  <c r="BK21" i="43"/>
  <c r="BK19" i="43"/>
  <c r="BK20" i="43"/>
  <c r="BK22" i="43"/>
  <c r="BK23" i="43"/>
  <c r="AR8" i="43"/>
  <c r="AS8" i="43" s="1"/>
  <c r="AT8" i="43" s="1"/>
  <c r="AU8" i="43" s="1"/>
  <c r="AV8" i="43" s="1"/>
  <c r="AW8" i="43" s="1"/>
  <c r="AX8" i="43" s="1"/>
  <c r="AY8" i="43" s="1"/>
  <c r="AZ8" i="43" s="1"/>
  <c r="BA8" i="43" s="1"/>
  <c r="BB8" i="43"/>
  <c r="J1157" i="18"/>
  <c r="J1158" i="18"/>
  <c r="J1191" i="18"/>
  <c r="J1193" i="18" s="1"/>
  <c r="H9" i="37"/>
  <c r="D21" i="14"/>
  <c r="H61" i="36"/>
  <c r="G61" i="36"/>
  <c r="E61" i="36"/>
  <c r="D61" i="36"/>
  <c r="C44" i="36"/>
  <c r="C41" i="36"/>
  <c r="C62" i="36"/>
  <c r="C63" i="36" s="1"/>
  <c r="C43" i="36"/>
  <c r="C45" i="36" s="1"/>
  <c r="D30" i="36"/>
  <c r="D44" i="36" s="1"/>
  <c r="E30" i="36"/>
  <c r="E44" i="36" s="1"/>
  <c r="H7" i="35"/>
  <c r="D70" i="36" s="1"/>
  <c r="D80" i="36" s="1"/>
  <c r="E117" i="4"/>
  <c r="E19" i="14"/>
  <c r="E18" i="14"/>
  <c r="E75" i="14" s="1"/>
  <c r="E76" i="14" s="1"/>
  <c r="D61" i="14"/>
  <c r="D71" i="14" s="1"/>
  <c r="D72" i="14" s="1"/>
  <c r="E118" i="4"/>
  <c r="F1228" i="18"/>
  <c r="F1230" i="18" s="1"/>
  <c r="D40" i="36"/>
  <c r="D41" i="36" s="1"/>
  <c r="E40" i="36"/>
  <c r="E41" i="36" s="1"/>
  <c r="E15" i="14"/>
  <c r="E17" i="14"/>
  <c r="E21" i="14" s="1"/>
  <c r="F118" i="4"/>
  <c r="F30" i="36"/>
  <c r="F44" i="36" s="1"/>
  <c r="I7" i="35"/>
  <c r="E70" i="36" s="1"/>
  <c r="E80" i="36" s="1"/>
  <c r="F117" i="4"/>
  <c r="F19" i="14"/>
  <c r="E40" i="14"/>
  <c r="E61" i="14"/>
  <c r="E71" i="14" s="1"/>
  <c r="E72" i="14" s="1"/>
  <c r="G1228" i="18"/>
  <c r="F115" i="4"/>
  <c r="E26" i="14" s="1"/>
  <c r="F18" i="14"/>
  <c r="E24" i="17"/>
  <c r="C69" i="36"/>
  <c r="G13" i="17"/>
  <c r="G15" i="17" s="1"/>
  <c r="G17" i="17" s="1"/>
  <c r="F81" i="14" s="1"/>
  <c r="F82" i="14" s="1"/>
  <c r="F13" i="17"/>
  <c r="F15" i="17" s="1"/>
  <c r="F17" i="17" s="1"/>
  <c r="E81" i="14" s="1"/>
  <c r="E82" i="14" s="1"/>
  <c r="F79" i="36"/>
  <c r="C79" i="36"/>
  <c r="C81" i="36" s="1"/>
  <c r="O1165" i="18"/>
  <c r="N1165" i="18"/>
  <c r="I196" i="3"/>
  <c r="E729" i="18"/>
  <c r="E728" i="18"/>
  <c r="O143" i="4"/>
  <c r="O100" i="4"/>
  <c r="J1155" i="18"/>
  <c r="C16" i="27" s="1"/>
  <c r="J1156" i="18"/>
  <c r="C17" i="27" s="1"/>
  <c r="D22" i="28" s="1"/>
  <c r="G1226" i="18"/>
  <c r="G1230" i="18"/>
  <c r="Q234" i="3"/>
  <c r="P262" i="3"/>
  <c r="K163" i="3"/>
  <c r="K1224" i="18"/>
  <c r="F22" i="28"/>
  <c r="E22" i="28"/>
  <c r="F723" i="18"/>
  <c r="V719" i="18"/>
  <c r="P719" i="18"/>
  <c r="K1066" i="18"/>
  <c r="K1064" i="18"/>
  <c r="K1060" i="18"/>
  <c r="J1060" i="18"/>
  <c r="J1064" i="18"/>
  <c r="J1066" i="18"/>
  <c r="I1064" i="18"/>
  <c r="I1060" i="18"/>
  <c r="I1066" i="18"/>
  <c r="H1060" i="18"/>
  <c r="H1066" i="18"/>
  <c r="H1064" i="18"/>
  <c r="G1060" i="18"/>
  <c r="G1066" i="18"/>
  <c r="G1064" i="18"/>
  <c r="F1060" i="18"/>
  <c r="F1066" i="18"/>
  <c r="F1064" i="18"/>
  <c r="E1060" i="18"/>
  <c r="E1066" i="18"/>
  <c r="M918" i="18"/>
  <c r="K918" i="18"/>
  <c r="N918" i="18"/>
  <c r="L918" i="18"/>
  <c r="H918" i="18"/>
  <c r="N951" i="18"/>
  <c r="N954" i="18"/>
  <c r="M908" i="18"/>
  <c r="I1029" i="18"/>
  <c r="I1033" i="18" s="1"/>
  <c r="J1068" i="18"/>
  <c r="M912" i="18"/>
  <c r="M951" i="18"/>
  <c r="M954" i="18"/>
  <c r="L908" i="18"/>
  <c r="H1029" i="18"/>
  <c r="H1033" i="18" s="1"/>
  <c r="I1068" i="18"/>
  <c r="L912" i="18"/>
  <c r="L951" i="18"/>
  <c r="L954" i="18"/>
  <c r="K908" i="18"/>
  <c r="G1029" i="18"/>
  <c r="G1033" i="18" s="1"/>
  <c r="H1068" i="18"/>
  <c r="K912" i="18"/>
  <c r="K951" i="18"/>
  <c r="K954" i="18"/>
  <c r="J908" i="18"/>
  <c r="F1029" i="18"/>
  <c r="F1033" i="18" s="1"/>
  <c r="G1068" i="18"/>
  <c r="J912" i="18"/>
  <c r="J951" i="18"/>
  <c r="J952" i="18" s="1"/>
  <c r="J954" i="18"/>
  <c r="I908" i="18"/>
  <c r="E1029" i="18"/>
  <c r="E1033" i="18" s="1"/>
  <c r="F1068" i="18"/>
  <c r="H908" i="18"/>
  <c r="H912" i="18"/>
  <c r="H951" i="18"/>
  <c r="H954" i="18"/>
  <c r="G915" i="18"/>
  <c r="G948" i="18" s="1"/>
  <c r="F904" i="18"/>
  <c r="F948" i="18"/>
  <c r="F914" i="18"/>
  <c r="G914" i="18"/>
  <c r="I187" i="3"/>
  <c r="I188" i="3"/>
  <c r="I189" i="3"/>
  <c r="I1146" i="18"/>
  <c r="J1142" i="18"/>
  <c r="I1142" i="18"/>
  <c r="I1157" i="18"/>
  <c r="I1158" i="18"/>
  <c r="I1155" i="18"/>
  <c r="I1191" i="18"/>
  <c r="I1193" i="18" s="1"/>
  <c r="I1145" i="18"/>
  <c r="I1144" i="18"/>
  <c r="J156" i="4"/>
  <c r="L248" i="3"/>
  <c r="J1146" i="18"/>
  <c r="J1144" i="18"/>
  <c r="J1145" i="18"/>
  <c r="J265" i="3"/>
  <c r="J270" i="3" s="1"/>
  <c r="I113" i="4" s="1"/>
  <c r="I265" i="3"/>
  <c r="I270" i="3" s="1"/>
  <c r="H113" i="4" s="1"/>
  <c r="H265" i="3"/>
  <c r="H270" i="3" s="1"/>
  <c r="G113" i="4" s="1"/>
  <c r="G265" i="3"/>
  <c r="G270" i="3" s="1"/>
  <c r="F113" i="4" s="1"/>
  <c r="F265" i="3"/>
  <c r="F270" i="3" s="1"/>
  <c r="E113" i="4" s="1"/>
  <c r="F97" i="3"/>
  <c r="E111" i="4"/>
  <c r="O196" i="3"/>
  <c r="P196" i="3" s="1"/>
  <c r="Q196" i="3" s="1"/>
  <c r="R196" i="3" s="1"/>
  <c r="S196" i="3" s="1"/>
  <c r="T196" i="3" s="1"/>
  <c r="H187" i="3"/>
  <c r="H188" i="3"/>
  <c r="H189" i="3"/>
  <c r="G187" i="3"/>
  <c r="G188" i="3"/>
  <c r="G189" i="3"/>
  <c r="J187" i="3"/>
  <c r="J188" i="3"/>
  <c r="J189" i="3"/>
  <c r="K263" i="3"/>
  <c r="L239" i="3"/>
  <c r="G103" i="4"/>
  <c r="G131" i="4"/>
  <c r="L1008" i="18"/>
  <c r="L1006" i="18" s="1"/>
  <c r="K185" i="3"/>
  <c r="K177" i="3" s="1"/>
  <c r="M181" i="3"/>
  <c r="V888" i="18"/>
  <c r="P888" i="18"/>
  <c r="F1151" i="18"/>
  <c r="F1153" i="18"/>
  <c r="F1152" i="18"/>
  <c r="N1085" i="18"/>
  <c r="J1148" i="18"/>
  <c r="J1195" i="18" s="1"/>
  <c r="J1196" i="18" s="1"/>
  <c r="J201" i="3" s="1"/>
  <c r="J202" i="3" s="1"/>
  <c r="M1085" i="18"/>
  <c r="I1148" i="18"/>
  <c r="I1195" i="18" s="1"/>
  <c r="I1196" i="18" s="1"/>
  <c r="I201" i="3" s="1"/>
  <c r="I202" i="3" s="1"/>
  <c r="L1085" i="18"/>
  <c r="H1148" i="18"/>
  <c r="H1195" i="18" s="1"/>
  <c r="H1196" i="18" s="1"/>
  <c r="H201" i="3" s="1"/>
  <c r="H202" i="3" s="1"/>
  <c r="K1085" i="18"/>
  <c r="G1148" i="18"/>
  <c r="G1195" i="18" s="1"/>
  <c r="G1196" i="18" s="1"/>
  <c r="P891" i="18"/>
  <c r="V891" i="18"/>
  <c r="K33" i="4"/>
  <c r="L168" i="3" s="1"/>
  <c r="M32" i="3"/>
  <c r="I1028" i="18"/>
  <c r="V894" i="18"/>
  <c r="P894" i="18"/>
  <c r="V893" i="18"/>
  <c r="P893" i="18"/>
  <c r="L110" i="3"/>
  <c r="K139" i="4" s="1"/>
  <c r="K79" i="14" s="1"/>
  <c r="M115" i="3"/>
  <c r="E1099" i="18"/>
  <c r="E1100" i="18"/>
  <c r="J1099" i="18"/>
  <c r="J1100" i="18"/>
  <c r="H1099" i="18"/>
  <c r="H1100" i="18"/>
  <c r="P885" i="18"/>
  <c r="J1022" i="18"/>
  <c r="J141" i="3" s="1"/>
  <c r="J1023" i="18"/>
  <c r="J123" i="3" s="1"/>
  <c r="N1087" i="18"/>
  <c r="N1088" i="18"/>
  <c r="I1022" i="18"/>
  <c r="I141" i="3" s="1"/>
  <c r="I1023" i="18"/>
  <c r="I123" i="3" s="1"/>
  <c r="M1087" i="18"/>
  <c r="M1088" i="18"/>
  <c r="H1022" i="18"/>
  <c r="H141" i="3" s="1"/>
  <c r="H1023" i="18"/>
  <c r="H123" i="3" s="1"/>
  <c r="L1087" i="18"/>
  <c r="L1088" i="18"/>
  <c r="G1022" i="18"/>
  <c r="G141" i="3" s="1"/>
  <c r="G1023" i="18"/>
  <c r="G123" i="3" s="1"/>
  <c r="K1087" i="18"/>
  <c r="K1088" i="18"/>
  <c r="G1087" i="18"/>
  <c r="G1088" i="18"/>
  <c r="F1087" i="18"/>
  <c r="F1088" i="18"/>
  <c r="E1017" i="18"/>
  <c r="I1083" i="18"/>
  <c r="G160" i="4"/>
  <c r="G159" i="4"/>
  <c r="G154" i="4"/>
  <c r="G129" i="4"/>
  <c r="G153" i="4"/>
  <c r="G146" i="4"/>
  <c r="G134" i="4"/>
  <c r="G155" i="4"/>
  <c r="G147" i="4"/>
  <c r="G165" i="4"/>
  <c r="G102" i="4" s="1"/>
  <c r="H1222" i="18" s="1"/>
  <c r="G164" i="4"/>
  <c r="G163" i="4"/>
  <c r="G162" i="4"/>
  <c r="G158" i="4"/>
  <c r="G156" i="4"/>
  <c r="G149" i="4"/>
  <c r="G145" i="4"/>
  <c r="G139" i="4"/>
  <c r="H23" i="17" s="1"/>
  <c r="G128" i="4"/>
  <c r="G127" i="4"/>
  <c r="G126" i="4"/>
  <c r="G35" i="4"/>
  <c r="G34" i="4"/>
  <c r="V885" i="18"/>
  <c r="G39" i="4"/>
  <c r="H16" i="17" s="1"/>
  <c r="G33" i="4"/>
  <c r="G32" i="4"/>
  <c r="L108" i="3"/>
  <c r="J87" i="4"/>
  <c r="X1009" i="18"/>
  <c r="D28" i="4"/>
  <c r="D37" i="4" s="1"/>
  <c r="D24" i="4"/>
  <c r="F28" i="4"/>
  <c r="F24" i="4"/>
  <c r="E28" i="4"/>
  <c r="E24" i="4"/>
  <c r="F111" i="4"/>
  <c r="G97" i="3"/>
  <c r="L94" i="4"/>
  <c r="N140" i="3"/>
  <c r="K86" i="4"/>
  <c r="M102" i="3"/>
  <c r="K93" i="4"/>
  <c r="M134" i="3"/>
  <c r="K92" i="4"/>
  <c r="M128" i="3"/>
  <c r="F1022" i="18"/>
  <c r="F1023" i="18"/>
  <c r="F123" i="3" s="1"/>
  <c r="L796" i="18"/>
  <c r="L797" i="18"/>
  <c r="G54" i="4"/>
  <c r="G55" i="4"/>
  <c r="G56" i="4"/>
  <c r="G57" i="4"/>
  <c r="G83" i="4"/>
  <c r="G61" i="4"/>
  <c r="G62" i="4"/>
  <c r="G63" i="4"/>
  <c r="G64" i="4"/>
  <c r="G65" i="4"/>
  <c r="G66" i="4"/>
  <c r="G70" i="4"/>
  <c r="G71" i="4"/>
  <c r="G72" i="4"/>
  <c r="G116" i="4" s="1"/>
  <c r="G73" i="4"/>
  <c r="G74" i="4"/>
  <c r="G118" i="4" s="1"/>
  <c r="G75" i="4"/>
  <c r="G76" i="4"/>
  <c r="G77" i="4"/>
  <c r="G14" i="14" s="1"/>
  <c r="G79" i="4"/>
  <c r="G104" i="4"/>
  <c r="G87" i="4"/>
  <c r="G86" i="4"/>
  <c r="G85" i="4"/>
  <c r="G94" i="4"/>
  <c r="G93" i="4"/>
  <c r="G92" i="4"/>
  <c r="G91" i="4"/>
  <c r="G90" i="4"/>
  <c r="G89" i="4"/>
  <c r="G95" i="4"/>
  <c r="G98" i="4"/>
  <c r="G100" i="4"/>
  <c r="G101" i="4"/>
  <c r="G114" i="4" s="1"/>
  <c r="G105" i="4"/>
  <c r="G106" i="4"/>
  <c r="G107" i="4"/>
  <c r="G13" i="14" s="1"/>
  <c r="G109" i="4"/>
  <c r="G53" i="4"/>
  <c r="H9" i="4"/>
  <c r="K218" i="3"/>
  <c r="K228" i="3" s="1"/>
  <c r="I919" i="18"/>
  <c r="I954" i="18"/>
  <c r="F796" i="18"/>
  <c r="F797" i="18"/>
  <c r="F919" i="18"/>
  <c r="H728" i="18"/>
  <c r="H729" i="18"/>
  <c r="G728" i="18"/>
  <c r="G729" i="18"/>
  <c r="I912" i="18"/>
  <c r="I916" i="18"/>
  <c r="I918" i="18" s="1"/>
  <c r="J916" i="18"/>
  <c r="J918" i="18" s="1"/>
  <c r="F916" i="18"/>
  <c r="G916" i="18"/>
  <c r="N728" i="18"/>
  <c r="N729" i="18"/>
  <c r="K796" i="18"/>
  <c r="K797" i="18"/>
  <c r="J796" i="18"/>
  <c r="J797" i="18"/>
  <c r="H796" i="18"/>
  <c r="H797" i="18"/>
  <c r="G796" i="18"/>
  <c r="G797" i="18"/>
  <c r="L728" i="18"/>
  <c r="L729" i="18"/>
  <c r="K728" i="18"/>
  <c r="K729" i="18"/>
  <c r="J728" i="18"/>
  <c r="J729" i="18"/>
  <c r="I728" i="18"/>
  <c r="I729" i="18"/>
  <c r="I796" i="18"/>
  <c r="I797" i="18"/>
  <c r="I732" i="18"/>
  <c r="N643" i="18"/>
  <c r="K588" i="18"/>
  <c r="K586" i="18"/>
  <c r="J77" i="2" s="1"/>
  <c r="J80" i="2" s="1"/>
  <c r="J53" i="3" s="1"/>
  <c r="N575" i="18"/>
  <c r="M643" i="18"/>
  <c r="K581" i="18"/>
  <c r="K576" i="18"/>
  <c r="M575" i="18"/>
  <c r="I576" i="18"/>
  <c r="H588" i="18"/>
  <c r="H586" i="18"/>
  <c r="G77" i="2" s="1"/>
  <c r="G80" i="2" s="1"/>
  <c r="G53" i="3" s="1"/>
  <c r="H581" i="18"/>
  <c r="H576" i="18"/>
  <c r="G576" i="18"/>
  <c r="F576" i="18"/>
  <c r="F581" i="18"/>
  <c r="F586" i="18"/>
  <c r="F588" i="18"/>
  <c r="G22" i="4"/>
  <c r="K40" i="3"/>
  <c r="J14" i="4" s="1"/>
  <c r="K252" i="3" s="1"/>
  <c r="K223" i="3" s="1"/>
  <c r="K59" i="3"/>
  <c r="K50" i="3"/>
  <c r="E643" i="18"/>
  <c r="H643" i="18"/>
  <c r="F643" i="18"/>
  <c r="L643" i="18"/>
  <c r="K643" i="18"/>
  <c r="P656" i="18"/>
  <c r="V656" i="18"/>
  <c r="G643" i="18"/>
  <c r="P625" i="18"/>
  <c r="V625" i="18"/>
  <c r="V638" i="18"/>
  <c r="P638" i="18"/>
  <c r="P627" i="18"/>
  <c r="V627" i="18"/>
  <c r="V642" i="18"/>
  <c r="P642" i="18"/>
  <c r="V637" i="18"/>
  <c r="P637" i="18"/>
  <c r="P641" i="18"/>
  <c r="V641" i="18"/>
  <c r="V632" i="18"/>
  <c r="P632" i="18"/>
  <c r="P640" i="18"/>
  <c r="V640" i="18"/>
  <c r="P639" i="18"/>
  <c r="V639" i="18"/>
  <c r="V634" i="18"/>
  <c r="P634" i="18"/>
  <c r="J643" i="18"/>
  <c r="P631" i="18"/>
  <c r="V631" i="18"/>
  <c r="P626" i="18"/>
  <c r="V626" i="18"/>
  <c r="P630" i="18"/>
  <c r="V630" i="18"/>
  <c r="I643" i="18"/>
  <c r="P624" i="18"/>
  <c r="V624" i="18"/>
  <c r="P636" i="18"/>
  <c r="V636" i="18"/>
  <c r="P635" i="18"/>
  <c r="V635" i="18"/>
  <c r="P628" i="18"/>
  <c r="V628" i="18"/>
  <c r="B155" i="3"/>
  <c r="K27" i="3"/>
  <c r="M71" i="2"/>
  <c r="M42" i="3" s="1"/>
  <c r="M43" i="3" s="1"/>
  <c r="L20" i="3"/>
  <c r="K13" i="4" s="1"/>
  <c r="M15" i="3"/>
  <c r="N71" i="2"/>
  <c r="N42" i="3" s="1"/>
  <c r="N43" i="3" s="1"/>
  <c r="M9" i="3"/>
  <c r="G46" i="14"/>
  <c r="G43" i="4"/>
  <c r="F46" i="14"/>
  <c r="H22" i="4"/>
  <c r="I13" i="17" s="1"/>
  <c r="I15" i="17" s="1"/>
  <c r="F49" i="14"/>
  <c r="F53" i="14" s="1"/>
  <c r="F57" i="14" s="1"/>
  <c r="F70" i="14" s="1"/>
  <c r="H6" i="11"/>
  <c r="I6" i="11" s="1"/>
  <c r="J159" i="3"/>
  <c r="K153" i="3"/>
  <c r="L153" i="3" s="1"/>
  <c r="M153" i="3" s="1"/>
  <c r="M26" i="17"/>
  <c r="N220" i="3"/>
  <c r="BM8" i="43" l="1"/>
  <c r="BN8" i="43" s="1"/>
  <c r="BO8" i="43" s="1"/>
  <c r="BP8" i="43" s="1"/>
  <c r="BQ8" i="43" s="1"/>
  <c r="BR8" i="43" s="1"/>
  <c r="BS8" i="43" s="1"/>
  <c r="BT8" i="43" s="1"/>
  <c r="BU8" i="43" s="1"/>
  <c r="BV8" i="43" s="1"/>
  <c r="BW8" i="43" s="1"/>
  <c r="BC8" i="43"/>
  <c r="BD8" i="43" s="1"/>
  <c r="BE8" i="43" s="1"/>
  <c r="BF8" i="43" s="1"/>
  <c r="BG8" i="43" s="1"/>
  <c r="BH8" i="43" s="1"/>
  <c r="BI8" i="43" s="1"/>
  <c r="BJ8" i="43" s="1"/>
  <c r="BK8" i="43" s="1"/>
  <c r="BL8" i="43" s="1"/>
  <c r="I9" i="37"/>
  <c r="H76" i="36"/>
  <c r="H79" i="36" s="1"/>
  <c r="G76" i="36"/>
  <c r="G79" i="36" s="1"/>
  <c r="E76" i="36"/>
  <c r="E79" i="36" s="1"/>
  <c r="E81" i="36" s="1"/>
  <c r="D76" i="36"/>
  <c r="D79" i="36" s="1"/>
  <c r="D81" i="36" s="1"/>
  <c r="C52" i="36"/>
  <c r="D34" i="14"/>
  <c r="D32" i="14"/>
  <c r="D62" i="36"/>
  <c r="D63" i="36" s="1"/>
  <c r="D43" i="36"/>
  <c r="E62" i="36"/>
  <c r="E63" i="36" s="1"/>
  <c r="E43" i="36"/>
  <c r="E34" i="14"/>
  <c r="E32" i="14"/>
  <c r="C71" i="36"/>
  <c r="C91" i="36" s="1"/>
  <c r="C75" i="36"/>
  <c r="C77" i="36" s="1"/>
  <c r="C83" i="36" s="1"/>
  <c r="E50" i="14"/>
  <c r="E87" i="14"/>
  <c r="D69" i="36"/>
  <c r="F24" i="17"/>
  <c r="D50" i="14"/>
  <c r="D87" i="14"/>
  <c r="G24" i="17"/>
  <c r="E69" i="36"/>
  <c r="F37" i="4"/>
  <c r="E37" i="4"/>
  <c r="G30" i="36"/>
  <c r="G44" i="36" s="1"/>
  <c r="J7" i="35"/>
  <c r="F70" i="36" s="1"/>
  <c r="F80" i="36" s="1"/>
  <c r="F81" i="36" s="1"/>
  <c r="G115" i="4"/>
  <c r="G18" i="14"/>
  <c r="G117" i="4"/>
  <c r="G19" i="14"/>
  <c r="H1228" i="18"/>
  <c r="F40" i="36"/>
  <c r="D10" i="28"/>
  <c r="D11" i="28" s="1"/>
  <c r="D12" i="28" s="1"/>
  <c r="D16" i="28" s="1"/>
  <c r="D23" i="28" s="1"/>
  <c r="D24" i="28" s="1"/>
  <c r="E10" i="28"/>
  <c r="E11" i="28" s="1"/>
  <c r="E12" i="28" s="1"/>
  <c r="E16" i="28" s="1"/>
  <c r="E23" i="28" s="1"/>
  <c r="E24" i="28" s="1"/>
  <c r="D28" i="17" s="1"/>
  <c r="F10" i="28"/>
  <c r="F11" i="28" s="1"/>
  <c r="F12" i="28" s="1"/>
  <c r="F16" i="28" s="1"/>
  <c r="F23" i="28" s="1"/>
  <c r="F24" i="28" s="1"/>
  <c r="P143" i="4"/>
  <c r="P100" i="4"/>
  <c r="F729" i="18"/>
  <c r="F728" i="18"/>
  <c r="H1226" i="18"/>
  <c r="H1230" i="18"/>
  <c r="G24" i="4"/>
  <c r="H13" i="17"/>
  <c r="H15" i="17" s="1"/>
  <c r="H17" i="17" s="1"/>
  <c r="G81" i="14" s="1"/>
  <c r="G82" i="14" s="1"/>
  <c r="R234" i="3"/>
  <c r="Q262" i="3"/>
  <c r="L163" i="3"/>
  <c r="L1224" i="18"/>
  <c r="L1142" i="18"/>
  <c r="M1142" i="18"/>
  <c r="L1156" i="18"/>
  <c r="M1156" i="18"/>
  <c r="L1157" i="18"/>
  <c r="M1157" i="18"/>
  <c r="L1158" i="18"/>
  <c r="M1158" i="18"/>
  <c r="L1155" i="18"/>
  <c r="M1155" i="18"/>
  <c r="M1193" i="18"/>
  <c r="L1193" i="18"/>
  <c r="M1145" i="18"/>
  <c r="L1145" i="18"/>
  <c r="M1144" i="18"/>
  <c r="L1144" i="18"/>
  <c r="E1035" i="18"/>
  <c r="L1033" i="18"/>
  <c r="M1033" i="18"/>
  <c r="M1068" i="18"/>
  <c r="N1068" i="18"/>
  <c r="M1066" i="18"/>
  <c r="N1066" i="18"/>
  <c r="N1064" i="18"/>
  <c r="M1064" i="18"/>
  <c r="F951" i="18"/>
  <c r="F952" i="18" s="1"/>
  <c r="F954" i="18"/>
  <c r="K74" i="3"/>
  <c r="K75" i="3" s="1"/>
  <c r="L1000" i="18"/>
  <c r="G954" i="18"/>
  <c r="G951" i="18"/>
  <c r="F918" i="18"/>
  <c r="G918" i="18"/>
  <c r="F908" i="18"/>
  <c r="F912" i="18"/>
  <c r="M1146" i="18"/>
  <c r="L1146" i="18"/>
  <c r="K70" i="4"/>
  <c r="M248" i="3"/>
  <c r="P919" i="18"/>
  <c r="N32" i="3"/>
  <c r="L33" i="4"/>
  <c r="M168" i="3" s="1"/>
  <c r="M239" i="3"/>
  <c r="L263" i="3"/>
  <c r="G201" i="3"/>
  <c r="G202" i="3" s="1"/>
  <c r="M1196" i="18"/>
  <c r="L1196" i="18"/>
  <c r="K201" i="3" s="1"/>
  <c r="L201" i="3" s="1"/>
  <c r="M201" i="3" s="1"/>
  <c r="N201" i="3" s="1"/>
  <c r="O201" i="3" s="1"/>
  <c r="P201" i="3" s="1"/>
  <c r="H103" i="4"/>
  <c r="H131" i="4"/>
  <c r="H24" i="4"/>
  <c r="H44" i="4"/>
  <c r="J15" i="4"/>
  <c r="K164" i="3"/>
  <c r="J61" i="4"/>
  <c r="K179" i="3"/>
  <c r="K200" i="3"/>
  <c r="M1008" i="18"/>
  <c r="M1006" i="18" s="1"/>
  <c r="L74" i="3" s="1"/>
  <c r="K138" i="4" s="1"/>
  <c r="L185" i="3"/>
  <c r="N181" i="3"/>
  <c r="J1153" i="18"/>
  <c r="J1151" i="18"/>
  <c r="J1152" i="18"/>
  <c r="I1153" i="18"/>
  <c r="I1151" i="18"/>
  <c r="I1152" i="18"/>
  <c r="H1153" i="18"/>
  <c r="H1151" i="18"/>
  <c r="H1152" i="18"/>
  <c r="G1153" i="18"/>
  <c r="G1151" i="18"/>
  <c r="G1152" i="18"/>
  <c r="I1085" i="18"/>
  <c r="E1148" i="18"/>
  <c r="E1195" i="18" s="1"/>
  <c r="E1196" i="18" s="1"/>
  <c r="E201" i="3" s="1"/>
  <c r="E202" i="3" s="1"/>
  <c r="J1028" i="18"/>
  <c r="K238" i="3"/>
  <c r="K224" i="3"/>
  <c r="K233" i="3"/>
  <c r="L111" i="3"/>
  <c r="L112" i="3" s="1"/>
  <c r="M110" i="3"/>
  <c r="L139" i="4" s="1"/>
  <c r="L79" i="14" s="1"/>
  <c r="N115" i="3"/>
  <c r="N1099" i="18"/>
  <c r="N1100" i="18"/>
  <c r="M1099" i="18"/>
  <c r="M1100" i="18"/>
  <c r="L1099" i="18"/>
  <c r="L1100" i="18"/>
  <c r="K1099" i="18"/>
  <c r="K1100" i="18"/>
  <c r="G1099" i="18"/>
  <c r="G1100" i="18"/>
  <c r="K229" i="3"/>
  <c r="E1022" i="18"/>
  <c r="E1023" i="18"/>
  <c r="I1087" i="18"/>
  <c r="I1088" i="18"/>
  <c r="D40" i="4"/>
  <c r="D124" i="4"/>
  <c r="F40" i="4"/>
  <c r="F124" i="4"/>
  <c r="E40" i="4"/>
  <c r="E124" i="4"/>
  <c r="H162" i="4"/>
  <c r="H156" i="4"/>
  <c r="H149" i="4"/>
  <c r="H145" i="4"/>
  <c r="H139" i="4"/>
  <c r="I23" i="17" s="1"/>
  <c r="H128" i="4"/>
  <c r="H127" i="4"/>
  <c r="H160" i="4"/>
  <c r="H158" i="4"/>
  <c r="H126" i="4"/>
  <c r="H164" i="4"/>
  <c r="H159" i="4"/>
  <c r="H155" i="4"/>
  <c r="H154" i="4"/>
  <c r="H153" i="4"/>
  <c r="H147" i="4"/>
  <c r="H165" i="4"/>
  <c r="H102" i="4" s="1"/>
  <c r="I1222" i="18" s="1"/>
  <c r="H146" i="4"/>
  <c r="H129" i="4"/>
  <c r="H163" i="4"/>
  <c r="H134" i="4"/>
  <c r="H35" i="4"/>
  <c r="H34" i="4"/>
  <c r="D30" i="4"/>
  <c r="F30" i="4"/>
  <c r="E30" i="4"/>
  <c r="H39" i="4"/>
  <c r="I16" i="17" s="1"/>
  <c r="I17" i="17" s="1"/>
  <c r="H33" i="4"/>
  <c r="H32" i="4"/>
  <c r="F141" i="3"/>
  <c r="G111" i="4"/>
  <c r="H97" i="3"/>
  <c r="M94" i="4"/>
  <c r="O140" i="3"/>
  <c r="L86" i="4"/>
  <c r="N102" i="3"/>
  <c r="L93" i="4"/>
  <c r="N134" i="3"/>
  <c r="L92" i="4"/>
  <c r="N128" i="3"/>
  <c r="H53" i="4"/>
  <c r="H79" i="4"/>
  <c r="H54" i="4"/>
  <c r="H109" i="4"/>
  <c r="H75" i="4"/>
  <c r="H55" i="4"/>
  <c r="H107" i="4"/>
  <c r="H13" i="14" s="1"/>
  <c r="H56" i="4"/>
  <c r="H106" i="4"/>
  <c r="H105" i="4"/>
  <c r="H57" i="4"/>
  <c r="H85" i="4"/>
  <c r="H104" i="4"/>
  <c r="H61" i="4"/>
  <c r="H76" i="4"/>
  <c r="H62" i="4"/>
  <c r="H101" i="4"/>
  <c r="H114" i="4" s="1"/>
  <c r="H100" i="4"/>
  <c r="H63" i="4"/>
  <c r="H64" i="4"/>
  <c r="H95" i="4"/>
  <c r="H71" i="4"/>
  <c r="H66" i="4"/>
  <c r="H91" i="4"/>
  <c r="H65" i="4"/>
  <c r="H87" i="4"/>
  <c r="H72" i="4"/>
  <c r="H116" i="4" s="1"/>
  <c r="H89" i="4"/>
  <c r="H92" i="4"/>
  <c r="H98" i="4"/>
  <c r="H86" i="4"/>
  <c r="H73" i="4"/>
  <c r="H77" i="4"/>
  <c r="H14" i="14" s="1"/>
  <c r="H93" i="4"/>
  <c r="H70" i="4"/>
  <c r="H83" i="4"/>
  <c r="H74" i="4"/>
  <c r="H118" i="4" s="1"/>
  <c r="H94" i="4"/>
  <c r="H90" i="4"/>
  <c r="I9" i="4"/>
  <c r="L218" i="3"/>
  <c r="L228" i="3" s="1"/>
  <c r="V919" i="18"/>
  <c r="E77" i="2"/>
  <c r="E80" i="2" s="1"/>
  <c r="E53" i="3" s="1"/>
  <c r="N586" i="18"/>
  <c r="M586" i="18"/>
  <c r="M588" i="18"/>
  <c r="N588" i="18"/>
  <c r="M581" i="18"/>
  <c r="N581" i="18"/>
  <c r="F96" i="14"/>
  <c r="L59" i="3"/>
  <c r="L50" i="3"/>
  <c r="V643" i="18"/>
  <c r="P643" i="18"/>
  <c r="L40" i="3"/>
  <c r="K14" i="4" s="1"/>
  <c r="K219" i="3"/>
  <c r="K259" i="3" s="1"/>
  <c r="K51" i="3"/>
  <c r="K60" i="3"/>
  <c r="L27" i="3"/>
  <c r="M20" i="3"/>
  <c r="L13" i="4" s="1"/>
  <c r="N15" i="3"/>
  <c r="B156" i="3"/>
  <c r="N9" i="3"/>
  <c r="H28" i="4"/>
  <c r="H49" i="14"/>
  <c r="H53" i="14" s="1"/>
  <c r="H57" i="14" s="1"/>
  <c r="H70" i="14" s="1"/>
  <c r="I42" i="4"/>
  <c r="I43" i="4"/>
  <c r="F75" i="14"/>
  <c r="F76" i="14" s="1"/>
  <c r="F39" i="14"/>
  <c r="F61" i="14" s="1"/>
  <c r="F71" i="14" s="1"/>
  <c r="F72" i="14" s="1"/>
  <c r="F38" i="14"/>
  <c r="G38" i="14"/>
  <c r="F20" i="14"/>
  <c r="N26" i="17"/>
  <c r="J225" i="3"/>
  <c r="O220" i="3"/>
  <c r="P220" i="3" s="1"/>
  <c r="Q220" i="3" s="1"/>
  <c r="R220" i="3" s="1"/>
  <c r="S220" i="3" s="1"/>
  <c r="T220" i="3" s="1"/>
  <c r="N153" i="3"/>
  <c r="G69" i="36" l="1"/>
  <c r="G75" i="36" s="1"/>
  <c r="G77" i="36" s="1"/>
  <c r="H81" i="14"/>
  <c r="H82" i="14" s="1"/>
  <c r="L22" i="17"/>
  <c r="K78" i="14"/>
  <c r="J9" i="37"/>
  <c r="K9" i="37" s="1"/>
  <c r="L9" i="37" s="1"/>
  <c r="M9" i="37" s="1"/>
  <c r="N9" i="37" s="1"/>
  <c r="O9" i="37" s="1"/>
  <c r="P9" i="37" s="1"/>
  <c r="Q9" i="37" s="1"/>
  <c r="R9" i="37" s="1"/>
  <c r="S9" i="37" s="1"/>
  <c r="D36" i="14"/>
  <c r="D86" i="14"/>
  <c r="D88" i="14" s="1"/>
  <c r="D52" i="36"/>
  <c r="D45" i="36"/>
  <c r="E52" i="36"/>
  <c r="E45" i="36"/>
  <c r="E86" i="14"/>
  <c r="E88" i="14" s="1"/>
  <c r="E36" i="14"/>
  <c r="D75" i="36"/>
  <c r="D77" i="36" s="1"/>
  <c r="D83" i="36" s="1"/>
  <c r="D71" i="36"/>
  <c r="D91" i="36" s="1"/>
  <c r="E75" i="36"/>
  <c r="E77" i="36" s="1"/>
  <c r="E83" i="36" s="1"/>
  <c r="E71" i="36"/>
  <c r="E91" i="36" s="1"/>
  <c r="E60" i="14"/>
  <c r="E54" i="14"/>
  <c r="D54" i="14"/>
  <c r="D60" i="14"/>
  <c r="F62" i="36"/>
  <c r="F63" i="36" s="1"/>
  <c r="F43" i="36"/>
  <c r="F41" i="36"/>
  <c r="H24" i="17"/>
  <c r="F69" i="36"/>
  <c r="C29" i="36"/>
  <c r="G6" i="35"/>
  <c r="E29" i="36"/>
  <c r="I6" i="35"/>
  <c r="D29" i="36"/>
  <c r="H6" i="35"/>
  <c r="I1228" i="18"/>
  <c r="I1230" i="18" s="1"/>
  <c r="G40" i="36"/>
  <c r="H117" i="4"/>
  <c r="H19" i="14"/>
  <c r="K7" i="35"/>
  <c r="G70" i="36" s="1"/>
  <c r="H115" i="4"/>
  <c r="H18" i="14"/>
  <c r="I24" i="17"/>
  <c r="M28" i="17"/>
  <c r="L28" i="17"/>
  <c r="K28" i="17"/>
  <c r="Q143" i="4"/>
  <c r="Q100" i="4"/>
  <c r="Q201" i="3"/>
  <c r="R201" i="3" s="1"/>
  <c r="S201" i="3" s="1"/>
  <c r="I1226" i="18"/>
  <c r="S234" i="3"/>
  <c r="R262" i="3"/>
  <c r="N94" i="4"/>
  <c r="P140" i="3"/>
  <c r="M163" i="3"/>
  <c r="M1224" i="18"/>
  <c r="L164" i="3"/>
  <c r="L252" i="3"/>
  <c r="L223" i="3" s="1"/>
  <c r="L233" i="3" s="1"/>
  <c r="J71" i="4"/>
  <c r="V954" i="18"/>
  <c r="P954" i="18"/>
  <c r="J138" i="4"/>
  <c r="K154" i="3"/>
  <c r="P918" i="18"/>
  <c r="V918" i="18"/>
  <c r="V912" i="18"/>
  <c r="P912" i="18"/>
  <c r="L1001" i="18"/>
  <c r="K99" i="2" s="1"/>
  <c r="K102" i="2" s="1"/>
  <c r="M1000" i="18"/>
  <c r="P908" i="18"/>
  <c r="V908" i="18"/>
  <c r="L70" i="4"/>
  <c r="N248" i="3"/>
  <c r="M33" i="4"/>
  <c r="N168" i="3" s="1"/>
  <c r="O32" i="3"/>
  <c r="V1085" i="18"/>
  <c r="P1085" i="18"/>
  <c r="K193" i="3"/>
  <c r="K194" i="3" s="1"/>
  <c r="M263" i="3"/>
  <c r="N239" i="3"/>
  <c r="K202" i="3"/>
  <c r="J32" i="4" s="1"/>
  <c r="I131" i="4"/>
  <c r="I74" i="4"/>
  <c r="J74" i="4" s="1"/>
  <c r="I77" i="4"/>
  <c r="I14" i="14" s="1"/>
  <c r="I103" i="4"/>
  <c r="J103" i="4" s="1"/>
  <c r="K76" i="3"/>
  <c r="K78" i="3" s="1"/>
  <c r="L75" i="3"/>
  <c r="L155" i="3"/>
  <c r="L177" i="3"/>
  <c r="L179" i="3"/>
  <c r="L200" i="3"/>
  <c r="L202" i="3" s="1"/>
  <c r="K32" i="4" s="1"/>
  <c r="K183" i="3"/>
  <c r="N1008" i="18"/>
  <c r="N1006" i="18" s="1"/>
  <c r="M74" i="3" s="1"/>
  <c r="L138" i="4" s="1"/>
  <c r="M185" i="3"/>
  <c r="O181" i="3"/>
  <c r="P181" i="3" s="1"/>
  <c r="M1153" i="18"/>
  <c r="L1153" i="18"/>
  <c r="M1151" i="18"/>
  <c r="L1151" i="18"/>
  <c r="M1152" i="18"/>
  <c r="L1152" i="18"/>
  <c r="E1151" i="18"/>
  <c r="E1153" i="18"/>
  <c r="E1152" i="18"/>
  <c r="J98" i="4"/>
  <c r="J106" i="4"/>
  <c r="J19" i="14" s="1"/>
  <c r="K261" i="3"/>
  <c r="K243" i="3"/>
  <c r="K244" i="3" s="1"/>
  <c r="L238" i="3"/>
  <c r="M111" i="3"/>
  <c r="M108" i="3"/>
  <c r="K87" i="4"/>
  <c r="N110" i="3"/>
  <c r="M139" i="4" s="1"/>
  <c r="M79" i="14" s="1"/>
  <c r="O115" i="3"/>
  <c r="V1087" i="18"/>
  <c r="P1087" i="18"/>
  <c r="F1099" i="18"/>
  <c r="F1100" i="18"/>
  <c r="E141" i="3"/>
  <c r="M1022" i="18"/>
  <c r="L1022" i="18"/>
  <c r="L1023" i="18"/>
  <c r="M1023" i="18"/>
  <c r="E123" i="3"/>
  <c r="V1088" i="18"/>
  <c r="P1088" i="18"/>
  <c r="I158" i="4"/>
  <c r="I153" i="4"/>
  <c r="I147" i="4"/>
  <c r="I134" i="4"/>
  <c r="I128" i="4"/>
  <c r="I126" i="4"/>
  <c r="I155" i="4"/>
  <c r="I129" i="4"/>
  <c r="I159" i="4"/>
  <c r="I156" i="4"/>
  <c r="I154" i="4"/>
  <c r="I146" i="4"/>
  <c r="I139" i="4"/>
  <c r="J23" i="17" s="1"/>
  <c r="I165" i="4"/>
  <c r="I163" i="4"/>
  <c r="I162" i="4"/>
  <c r="I160" i="4"/>
  <c r="I149" i="4"/>
  <c r="I145" i="4"/>
  <c r="I164" i="4"/>
  <c r="J164" i="4" s="1"/>
  <c r="K164" i="4" s="1"/>
  <c r="L164" i="4" s="1"/>
  <c r="M164" i="4" s="1"/>
  <c r="N164" i="4" s="1"/>
  <c r="O164" i="4" s="1"/>
  <c r="P164" i="4" s="1"/>
  <c r="Q164" i="4" s="1"/>
  <c r="R164" i="4" s="1"/>
  <c r="S164" i="4" s="1"/>
  <c r="I127" i="4"/>
  <c r="J127" i="4" s="1"/>
  <c r="J146" i="4" s="1"/>
  <c r="I35" i="4"/>
  <c r="I34" i="4"/>
  <c r="H30" i="4"/>
  <c r="H37" i="4"/>
  <c r="H124" i="4" s="1"/>
  <c r="I39" i="4"/>
  <c r="J16" i="17" s="1"/>
  <c r="I33" i="4"/>
  <c r="I32" i="4"/>
  <c r="G96" i="14"/>
  <c r="H111" i="4"/>
  <c r="I97" i="3"/>
  <c r="M86" i="4"/>
  <c r="O102" i="3"/>
  <c r="M93" i="4"/>
  <c r="O134" i="3"/>
  <c r="M92" i="4"/>
  <c r="O128" i="3"/>
  <c r="J101" i="4"/>
  <c r="J114" i="4" s="1"/>
  <c r="I104" i="4"/>
  <c r="J104" i="4" s="1"/>
  <c r="I101" i="4"/>
  <c r="I114" i="4" s="1"/>
  <c r="I94" i="4"/>
  <c r="I64" i="4"/>
  <c r="J64" i="4" s="1"/>
  <c r="I53" i="4"/>
  <c r="J53" i="4" s="1"/>
  <c r="I100" i="4"/>
  <c r="I107" i="4"/>
  <c r="I13" i="14" s="1"/>
  <c r="I95" i="4"/>
  <c r="I105" i="4"/>
  <c r="I54" i="4"/>
  <c r="I109" i="4"/>
  <c r="I86" i="4"/>
  <c r="I65" i="4"/>
  <c r="J65" i="4" s="1"/>
  <c r="I55" i="4"/>
  <c r="I83" i="4"/>
  <c r="I106" i="4"/>
  <c r="I75" i="4"/>
  <c r="J75" i="4" s="1"/>
  <c r="I66" i="4"/>
  <c r="I56" i="4"/>
  <c r="I89" i="4"/>
  <c r="I70" i="4"/>
  <c r="I90" i="4"/>
  <c r="I57" i="4"/>
  <c r="I85" i="4"/>
  <c r="I71" i="4"/>
  <c r="I79" i="4"/>
  <c r="I91" i="4"/>
  <c r="I61" i="4"/>
  <c r="I72" i="4"/>
  <c r="I116" i="4" s="1"/>
  <c r="I87" i="4"/>
  <c r="I73" i="4"/>
  <c r="J73" i="4" s="1"/>
  <c r="I62" i="4"/>
  <c r="I93" i="4"/>
  <c r="I76" i="4"/>
  <c r="I98" i="4"/>
  <c r="I63" i="4"/>
  <c r="J63" i="4" s="1"/>
  <c r="I92" i="4"/>
  <c r="J9" i="4"/>
  <c r="K9" i="4" s="1"/>
  <c r="L9" i="4" s="1"/>
  <c r="M9" i="4" s="1"/>
  <c r="N9" i="4" s="1"/>
  <c r="O9" i="4" s="1"/>
  <c r="P9" i="4" s="1"/>
  <c r="Q9" i="4" s="1"/>
  <c r="R9" i="4" s="1"/>
  <c r="S9" i="4" s="1"/>
  <c r="G75" i="14"/>
  <c r="G76" i="14" s="1"/>
  <c r="G39" i="14"/>
  <c r="G20" i="14"/>
  <c r="G50" i="14"/>
  <c r="G87" i="14"/>
  <c r="M218" i="3"/>
  <c r="M228" i="3" s="1"/>
  <c r="K54" i="3"/>
  <c r="J18" i="4"/>
  <c r="K65" i="3"/>
  <c r="K66" i="3" s="1"/>
  <c r="K63" i="3"/>
  <c r="J19" i="4"/>
  <c r="M59" i="3"/>
  <c r="M50" i="3"/>
  <c r="H45" i="4"/>
  <c r="M40" i="3"/>
  <c r="L14" i="4" s="1"/>
  <c r="O15" i="3"/>
  <c r="N20" i="3"/>
  <c r="M13" i="4" s="1"/>
  <c r="L219" i="3"/>
  <c r="L259" i="3" s="1"/>
  <c r="L60" i="3"/>
  <c r="K19" i="4" s="1"/>
  <c r="L51" i="3"/>
  <c r="L229" i="3"/>
  <c r="M27" i="3"/>
  <c r="J42" i="4"/>
  <c r="I49" i="14"/>
  <c r="I53" i="14" s="1"/>
  <c r="I57" i="14" s="1"/>
  <c r="I70" i="14" s="1"/>
  <c r="B157" i="3"/>
  <c r="O9" i="3"/>
  <c r="P9" i="3" s="1"/>
  <c r="Q9" i="3" s="1"/>
  <c r="R9" i="3" s="1"/>
  <c r="S9" i="3" s="1"/>
  <c r="T9" i="3" s="1"/>
  <c r="H46" i="14"/>
  <c r="I22" i="4"/>
  <c r="J13" i="17" s="1"/>
  <c r="J15" i="17" s="1"/>
  <c r="F40" i="14"/>
  <c r="F65" i="14"/>
  <c r="F17" i="14"/>
  <c r="F21" i="14" s="1"/>
  <c r="F15" i="14"/>
  <c r="F32" i="14"/>
  <c r="F34" i="14"/>
  <c r="G65" i="14"/>
  <c r="F26" i="14"/>
  <c r="O26" i="17"/>
  <c r="N28" i="17"/>
  <c r="L254" i="3"/>
  <c r="L225" i="3"/>
  <c r="O153" i="3"/>
  <c r="P153" i="3" s="1"/>
  <c r="Q153" i="3" s="1"/>
  <c r="R153" i="3" s="1"/>
  <c r="S153" i="3" s="1"/>
  <c r="T153" i="3" s="1"/>
  <c r="K22" i="17" l="1"/>
  <c r="J78" i="14"/>
  <c r="J28" i="37"/>
  <c r="J91" i="14"/>
  <c r="J96" i="14" s="1"/>
  <c r="K28" i="37"/>
  <c r="K91" i="14"/>
  <c r="M22" i="17"/>
  <c r="L78" i="14"/>
  <c r="E90" i="14"/>
  <c r="E62" i="14"/>
  <c r="D90" i="14"/>
  <c r="D62" i="14"/>
  <c r="F52" i="36"/>
  <c r="F45" i="36"/>
  <c r="F71" i="36"/>
  <c r="F91" i="36" s="1"/>
  <c r="F75" i="36"/>
  <c r="F77" i="36" s="1"/>
  <c r="F83" i="36" s="1"/>
  <c r="C31" i="36"/>
  <c r="C92" i="36" s="1"/>
  <c r="C35" i="36"/>
  <c r="E64" i="14"/>
  <c r="E66" i="14" s="1"/>
  <c r="E58" i="14"/>
  <c r="E35" i="36"/>
  <c r="E31" i="36"/>
  <c r="E92" i="36" s="1"/>
  <c r="D58" i="14"/>
  <c r="D64" i="14"/>
  <c r="D66" i="14" s="1"/>
  <c r="D31" i="36"/>
  <c r="D92" i="36" s="1"/>
  <c r="D35" i="36"/>
  <c r="G62" i="36"/>
  <c r="G63" i="36" s="1"/>
  <c r="G43" i="36"/>
  <c r="G41" i="36"/>
  <c r="G80" i="36"/>
  <c r="G81" i="36" s="1"/>
  <c r="G83" i="36" s="1"/>
  <c r="G71" i="36"/>
  <c r="G91" i="36" s="1"/>
  <c r="J115" i="4"/>
  <c r="J18" i="14"/>
  <c r="J1228" i="18"/>
  <c r="H40" i="36"/>
  <c r="I117" i="4"/>
  <c r="I19" i="14"/>
  <c r="H30" i="36"/>
  <c r="H44" i="36" s="1"/>
  <c r="L7" i="35"/>
  <c r="I115" i="4"/>
  <c r="I18" i="14"/>
  <c r="Q140" i="3"/>
  <c r="O94" i="4"/>
  <c r="K71" i="4"/>
  <c r="K189" i="3"/>
  <c r="K187" i="3"/>
  <c r="K188" i="3"/>
  <c r="J17" i="17"/>
  <c r="I81" i="14" s="1"/>
  <c r="I82" i="14" s="1"/>
  <c r="O28" i="17"/>
  <c r="P26" i="17"/>
  <c r="T201" i="3"/>
  <c r="R143" i="4"/>
  <c r="R100" i="4"/>
  <c r="J56" i="4"/>
  <c r="K56" i="4" s="1"/>
  <c r="L56" i="4" s="1"/>
  <c r="M56" i="4" s="1"/>
  <c r="N56" i="4" s="1"/>
  <c r="O56" i="4" s="1"/>
  <c r="P56" i="4" s="1"/>
  <c r="Q56" i="4" s="1"/>
  <c r="R56" i="4" s="1"/>
  <c r="S56" i="4" s="1"/>
  <c r="E66" i="17"/>
  <c r="E45" i="17"/>
  <c r="E67" i="17"/>
  <c r="E46" i="17"/>
  <c r="E64" i="17"/>
  <c r="T234" i="3"/>
  <c r="S262" i="3"/>
  <c r="N33" i="4"/>
  <c r="P32" i="3"/>
  <c r="Q181" i="3"/>
  <c r="R181" i="3" s="1"/>
  <c r="O110" i="3"/>
  <c r="N139" i="4" s="1"/>
  <c r="N79" i="14" s="1"/>
  <c r="P115" i="3"/>
  <c r="N86" i="4"/>
  <c r="U86" i="4" s="1"/>
  <c r="P102" i="3"/>
  <c r="N93" i="4"/>
  <c r="U93" i="4" s="1"/>
  <c r="P134" i="3"/>
  <c r="N92" i="4"/>
  <c r="U92" i="4" s="1"/>
  <c r="P128" i="3"/>
  <c r="O20" i="3"/>
  <c r="P15" i="3"/>
  <c r="N163" i="3"/>
  <c r="N1224" i="18"/>
  <c r="J129" i="4"/>
  <c r="J158" i="4"/>
  <c r="K129" i="4"/>
  <c r="K158" i="4"/>
  <c r="J157" i="4"/>
  <c r="K195" i="3"/>
  <c r="K84" i="3" s="1"/>
  <c r="K85" i="3" s="1"/>
  <c r="K100" i="4"/>
  <c r="L243" i="3"/>
  <c r="L244" i="3" s="1"/>
  <c r="M164" i="3"/>
  <c r="M252" i="3"/>
  <c r="M223" i="3" s="1"/>
  <c r="M233" i="3" s="1"/>
  <c r="M243" i="3" s="1"/>
  <c r="M244" i="3" s="1"/>
  <c r="K143" i="4"/>
  <c r="K61" i="4"/>
  <c r="M1001" i="18"/>
  <c r="L99" i="2" s="1"/>
  <c r="L102" i="2" s="1"/>
  <c r="N1000" i="18"/>
  <c r="M70" i="4"/>
  <c r="O248" i="3"/>
  <c r="K131" i="4"/>
  <c r="L131" i="4" s="1"/>
  <c r="M131" i="4" s="1"/>
  <c r="N131" i="4" s="1"/>
  <c r="O131" i="4" s="1"/>
  <c r="P131" i="4" s="1"/>
  <c r="Q131" i="4" s="1"/>
  <c r="R131" i="4" s="1"/>
  <c r="S131" i="4" s="1"/>
  <c r="K103" i="4"/>
  <c r="L103" i="4" s="1"/>
  <c r="M103" i="4" s="1"/>
  <c r="N103" i="4" s="1"/>
  <c r="O103" i="4" s="1"/>
  <c r="P103" i="4" s="1"/>
  <c r="Q103" i="4" s="1"/>
  <c r="R103" i="4" s="1"/>
  <c r="S103" i="4" s="1"/>
  <c r="J117" i="4"/>
  <c r="K104" i="4"/>
  <c r="L104" i="4" s="1"/>
  <c r="M104" i="4" s="1"/>
  <c r="N104" i="4" s="1"/>
  <c r="O104" i="4" s="1"/>
  <c r="P104" i="4" s="1"/>
  <c r="Q104" i="4" s="1"/>
  <c r="R104" i="4" s="1"/>
  <c r="S104" i="4" s="1"/>
  <c r="V86" i="4"/>
  <c r="K65" i="4"/>
  <c r="L65" i="4" s="1"/>
  <c r="M65" i="4" s="1"/>
  <c r="N65" i="4" s="1"/>
  <c r="O65" i="4" s="1"/>
  <c r="K73" i="4"/>
  <c r="L73" i="4" s="1"/>
  <c r="M73" i="4" s="1"/>
  <c r="N73" i="4" s="1"/>
  <c r="O73" i="4" s="1"/>
  <c r="P73" i="4" s="1"/>
  <c r="Q73" i="4" s="1"/>
  <c r="R73" i="4" s="1"/>
  <c r="S73" i="4" s="1"/>
  <c r="V93" i="4"/>
  <c r="K63" i="4"/>
  <c r="L63" i="4" s="1"/>
  <c r="M63" i="4" s="1"/>
  <c r="N63" i="4" s="1"/>
  <c r="O63" i="4" s="1"/>
  <c r="P63" i="4" s="1"/>
  <c r="Q63" i="4" s="1"/>
  <c r="R63" i="4" s="1"/>
  <c r="S63" i="4" s="1"/>
  <c r="V92" i="4"/>
  <c r="I102" i="4"/>
  <c r="J163" i="4"/>
  <c r="L193" i="3"/>
  <c r="L194" i="3" s="1"/>
  <c r="N263" i="3"/>
  <c r="O239" i="3"/>
  <c r="K167" i="3"/>
  <c r="K127" i="4"/>
  <c r="K146" i="4" s="1"/>
  <c r="I111" i="4"/>
  <c r="J118" i="4"/>
  <c r="K74" i="4"/>
  <c r="K64" i="4"/>
  <c r="L64" i="4" s="1"/>
  <c r="M64" i="4" s="1"/>
  <c r="N64" i="4" s="1"/>
  <c r="V64" i="4"/>
  <c r="K53" i="4"/>
  <c r="L167" i="3"/>
  <c r="I24" i="4"/>
  <c r="I28" i="4"/>
  <c r="C22" i="27" s="1"/>
  <c r="C23" i="27" s="1"/>
  <c r="J83" i="4"/>
  <c r="L73" i="3"/>
  <c r="L76" i="3" s="1"/>
  <c r="K83" i="4" s="1"/>
  <c r="I96" i="14"/>
  <c r="L183" i="3"/>
  <c r="M177" i="3"/>
  <c r="M179" i="3"/>
  <c r="M200" i="3"/>
  <c r="M202" i="3" s="1"/>
  <c r="O1008" i="18"/>
  <c r="O1006" i="18" s="1"/>
  <c r="N185" i="3"/>
  <c r="M112" i="3"/>
  <c r="K264" i="3"/>
  <c r="J105" i="4"/>
  <c r="K262" i="3"/>
  <c r="J100" i="4"/>
  <c r="N111" i="3"/>
  <c r="L262" i="3"/>
  <c r="I34" i="14"/>
  <c r="I86" i="14" s="1"/>
  <c r="K75" i="4"/>
  <c r="K106" i="4"/>
  <c r="L261" i="3"/>
  <c r="M238" i="3"/>
  <c r="L143" i="4"/>
  <c r="I1100" i="18"/>
  <c r="I1099" i="18"/>
  <c r="I118" i="4"/>
  <c r="M156" i="3"/>
  <c r="M75" i="3"/>
  <c r="V33" i="4"/>
  <c r="V94" i="4"/>
  <c r="U94" i="4"/>
  <c r="J97" i="3"/>
  <c r="J89" i="4"/>
  <c r="J90" i="4"/>
  <c r="J91" i="4"/>
  <c r="G32" i="14"/>
  <c r="G34" i="14"/>
  <c r="K101" i="4"/>
  <c r="K114" i="4" s="1"/>
  <c r="H96" i="14"/>
  <c r="G26" i="14"/>
  <c r="H75" i="14"/>
  <c r="H76" i="14" s="1"/>
  <c r="H39" i="14"/>
  <c r="H20" i="14"/>
  <c r="J62" i="4"/>
  <c r="J76" i="4"/>
  <c r="G17" i="14"/>
  <c r="G21" i="14" s="1"/>
  <c r="G15" i="14"/>
  <c r="G61" i="14"/>
  <c r="G71" i="14" s="1"/>
  <c r="G72" i="14" s="1"/>
  <c r="G40" i="14"/>
  <c r="N218" i="3"/>
  <c r="L54" i="3"/>
  <c r="K18" i="4"/>
  <c r="L65" i="3"/>
  <c r="L66" i="3" s="1"/>
  <c r="G60" i="14"/>
  <c r="G54" i="14"/>
  <c r="L63" i="3"/>
  <c r="N40" i="3"/>
  <c r="M14" i="4" s="1"/>
  <c r="N59" i="3"/>
  <c r="N60" i="3" s="1"/>
  <c r="N50" i="3"/>
  <c r="N51" i="3" s="1"/>
  <c r="H40" i="4"/>
  <c r="H46" i="4"/>
  <c r="N27" i="3"/>
  <c r="K42" i="4"/>
  <c r="J49" i="14"/>
  <c r="J53" i="14" s="1"/>
  <c r="J57" i="14" s="1"/>
  <c r="J70" i="14" s="1"/>
  <c r="M229" i="3"/>
  <c r="M219" i="3"/>
  <c r="M259" i="3" s="1"/>
  <c r="M51" i="3"/>
  <c r="M60" i="3"/>
  <c r="B158" i="3"/>
  <c r="J208" i="3"/>
  <c r="I44" i="4"/>
  <c r="F36" i="14"/>
  <c r="F86" i="14"/>
  <c r="M254" i="3"/>
  <c r="M225" i="3"/>
  <c r="E95" i="14" l="1"/>
  <c r="E97" i="14" s="1"/>
  <c r="E93" i="14"/>
  <c r="D95" i="14"/>
  <c r="D97" i="14" s="1"/>
  <c r="D93" i="14"/>
  <c r="C57" i="36"/>
  <c r="C59" i="36" s="1"/>
  <c r="C65" i="36" s="1"/>
  <c r="C51" i="36"/>
  <c r="C53" i="36" s="1"/>
  <c r="C94" i="36" s="1"/>
  <c r="C37" i="36"/>
  <c r="C47" i="36" s="1"/>
  <c r="E57" i="36"/>
  <c r="E59" i="36" s="1"/>
  <c r="E65" i="36" s="1"/>
  <c r="E51" i="36"/>
  <c r="E53" i="36" s="1"/>
  <c r="E94" i="36" s="1"/>
  <c r="E37" i="36"/>
  <c r="E47" i="36" s="1"/>
  <c r="D57" i="36"/>
  <c r="D59" i="36" s="1"/>
  <c r="D65" i="36" s="1"/>
  <c r="D37" i="36"/>
  <c r="D47" i="36" s="1"/>
  <c r="D51" i="36"/>
  <c r="D53" i="36" s="1"/>
  <c r="D94" i="36" s="1"/>
  <c r="G45" i="36"/>
  <c r="G52" i="36"/>
  <c r="H62" i="36"/>
  <c r="H63" i="36" s="1"/>
  <c r="C103" i="36" s="1"/>
  <c r="D111" i="36" s="1"/>
  <c r="H43" i="36"/>
  <c r="H41" i="36"/>
  <c r="H70" i="36"/>
  <c r="H80" i="36" s="1"/>
  <c r="H81" i="36" s="1"/>
  <c r="C11" i="35"/>
  <c r="J24" i="17"/>
  <c r="H69" i="36"/>
  <c r="P65" i="4"/>
  <c r="K117" i="4"/>
  <c r="K19" i="14"/>
  <c r="G29" i="36"/>
  <c r="K6" i="35"/>
  <c r="N13" i="4"/>
  <c r="O59" i="3"/>
  <c r="O60" i="3" s="1"/>
  <c r="O50" i="3"/>
  <c r="O51" i="3" s="1"/>
  <c r="O27" i="3"/>
  <c r="O40" i="3"/>
  <c r="N14" i="4" s="1"/>
  <c r="U64" i="4"/>
  <c r="O64" i="4"/>
  <c r="P64" i="4" s="1"/>
  <c r="Q64" i="4" s="1"/>
  <c r="R64" i="4" s="1"/>
  <c r="S64" i="4" s="1"/>
  <c r="P94" i="4"/>
  <c r="R140" i="3"/>
  <c r="Q32" i="3"/>
  <c r="O33" i="4"/>
  <c r="P168" i="3" s="1"/>
  <c r="Q102" i="3"/>
  <c r="O86" i="4"/>
  <c r="Q134" i="3"/>
  <c r="O93" i="4"/>
  <c r="Q128" i="3"/>
  <c r="O92" i="4"/>
  <c r="L188" i="3"/>
  <c r="L189" i="3"/>
  <c r="L187" i="3"/>
  <c r="L71" i="4"/>
  <c r="P28" i="17"/>
  <c r="Q26" i="17"/>
  <c r="O111" i="3"/>
  <c r="T262" i="3"/>
  <c r="S143" i="4"/>
  <c r="S100" i="4"/>
  <c r="O168" i="3"/>
  <c r="U33" i="4"/>
  <c r="P1008" i="18"/>
  <c r="P1006" i="18" s="1"/>
  <c r="O74" i="3" s="1"/>
  <c r="O185" i="3"/>
  <c r="O218" i="3"/>
  <c r="E65" i="17"/>
  <c r="E44" i="17"/>
  <c r="J1222" i="18"/>
  <c r="S181" i="3"/>
  <c r="Q115" i="3"/>
  <c r="P110" i="3"/>
  <c r="O139" i="4" s="1"/>
  <c r="O79" i="14" s="1"/>
  <c r="Q15" i="3"/>
  <c r="P20" i="3"/>
  <c r="N70" i="4"/>
  <c r="P248" i="3"/>
  <c r="O263" i="3"/>
  <c r="P239" i="3"/>
  <c r="K157" i="4"/>
  <c r="L195" i="3"/>
  <c r="L84" i="3" s="1"/>
  <c r="L85" i="3" s="1"/>
  <c r="L146" i="3" s="1"/>
  <c r="L147" i="3" s="1"/>
  <c r="L264" i="3"/>
  <c r="K105" i="4"/>
  <c r="J141" i="4"/>
  <c r="N164" i="3"/>
  <c r="N252" i="3"/>
  <c r="N223" i="3" s="1"/>
  <c r="N233" i="3" s="1"/>
  <c r="K146" i="3"/>
  <c r="K147" i="3" s="1"/>
  <c r="K86" i="3"/>
  <c r="K88" i="3" s="1"/>
  <c r="L61" i="4"/>
  <c r="N1001" i="18"/>
  <c r="M99" i="2" s="1"/>
  <c r="M102" i="2" s="1"/>
  <c r="O1000" i="18"/>
  <c r="K89" i="4"/>
  <c r="K90" i="4"/>
  <c r="L90" i="4" s="1"/>
  <c r="K91" i="4"/>
  <c r="L91" i="4" s="1"/>
  <c r="M193" i="3"/>
  <c r="M194" i="3" s="1"/>
  <c r="L127" i="4"/>
  <c r="L146" i="4" s="1"/>
  <c r="L23" i="17"/>
  <c r="K118" i="4"/>
  <c r="L74" i="4"/>
  <c r="V74" i="4" s="1"/>
  <c r="L53" i="4"/>
  <c r="K62" i="4"/>
  <c r="J66" i="4"/>
  <c r="L78" i="3"/>
  <c r="M73" i="3"/>
  <c r="M76" i="3" s="1"/>
  <c r="N73" i="3" s="1"/>
  <c r="L32" i="4"/>
  <c r="N177" i="3"/>
  <c r="N179" i="3"/>
  <c r="N200" i="3"/>
  <c r="N202" i="3" s="1"/>
  <c r="M32" i="4" s="1"/>
  <c r="M183" i="3"/>
  <c r="M262" i="3"/>
  <c r="L100" i="4"/>
  <c r="M264" i="3"/>
  <c r="L105" i="4"/>
  <c r="N108" i="3"/>
  <c r="N112" i="3" s="1"/>
  <c r="L87" i="4"/>
  <c r="J34" i="14"/>
  <c r="J86" i="14" s="1"/>
  <c r="L75" i="4"/>
  <c r="L106" i="4"/>
  <c r="M261" i="3"/>
  <c r="I30" i="4"/>
  <c r="I37" i="4"/>
  <c r="I124" i="4" s="1"/>
  <c r="K97" i="3"/>
  <c r="K94" i="3" s="1"/>
  <c r="J85" i="4" s="1"/>
  <c r="G36" i="14"/>
  <c r="G86" i="14"/>
  <c r="G88" i="14" s="1"/>
  <c r="N219" i="3"/>
  <c r="N259" i="3" s="1"/>
  <c r="N228" i="3"/>
  <c r="N238" i="3" s="1"/>
  <c r="L101" i="4"/>
  <c r="L114" i="4" s="1"/>
  <c r="H26" i="14"/>
  <c r="H40" i="14"/>
  <c r="H61" i="14"/>
  <c r="H71" i="14" s="1"/>
  <c r="H72" i="14" s="1"/>
  <c r="H17" i="14"/>
  <c r="H21" i="14" s="1"/>
  <c r="H15" i="14"/>
  <c r="H32" i="14"/>
  <c r="H34" i="14"/>
  <c r="K76" i="4"/>
  <c r="N54" i="3"/>
  <c r="N63" i="3"/>
  <c r="M19" i="4"/>
  <c r="M18" i="4"/>
  <c r="N65" i="3"/>
  <c r="N66" i="3" s="1"/>
  <c r="M54" i="3"/>
  <c r="L18" i="4"/>
  <c r="M65" i="3"/>
  <c r="M66" i="3" s="1"/>
  <c r="M63" i="3"/>
  <c r="L19" i="4"/>
  <c r="G90" i="14"/>
  <c r="G62" i="14"/>
  <c r="H47" i="4"/>
  <c r="K49" i="14"/>
  <c r="K53" i="14" s="1"/>
  <c r="K57" i="14" s="1"/>
  <c r="K70" i="14" s="1"/>
  <c r="L42" i="4"/>
  <c r="V13" i="4"/>
  <c r="J20" i="4"/>
  <c r="I45" i="4"/>
  <c r="H87" i="14"/>
  <c r="H50" i="14"/>
  <c r="M42" i="4"/>
  <c r="L49" i="14"/>
  <c r="L53" i="14" s="1"/>
  <c r="L57" i="14" s="1"/>
  <c r="L70" i="14" s="1"/>
  <c r="K20" i="4"/>
  <c r="N254" i="3"/>
  <c r="N225" i="3"/>
  <c r="L91" i="14" l="1"/>
  <c r="L28" i="37"/>
  <c r="M91" i="14"/>
  <c r="M28" i="37"/>
  <c r="V87" i="4"/>
  <c r="J142" i="4"/>
  <c r="J149" i="4" s="1"/>
  <c r="H45" i="36"/>
  <c r="C104" i="36" s="1"/>
  <c r="D112" i="36" s="1"/>
  <c r="H52" i="36"/>
  <c r="H71" i="36"/>
  <c r="H91" i="36" s="1"/>
  <c r="H75" i="36"/>
  <c r="H77" i="36" s="1"/>
  <c r="H83" i="36" s="1"/>
  <c r="Q65" i="4"/>
  <c r="G35" i="36"/>
  <c r="G31" i="36"/>
  <c r="G92" i="36" s="1"/>
  <c r="O164" i="3"/>
  <c r="O252" i="3"/>
  <c r="O223" i="3" s="1"/>
  <c r="O233" i="3" s="1"/>
  <c r="L117" i="4"/>
  <c r="L19" i="14"/>
  <c r="O1224" i="18"/>
  <c r="O163" i="3"/>
  <c r="Q94" i="4"/>
  <c r="S140" i="3"/>
  <c r="P33" i="4"/>
  <c r="Q168" i="3" s="1"/>
  <c r="R32" i="3"/>
  <c r="P86" i="4"/>
  <c r="R102" i="3"/>
  <c r="P93" i="4"/>
  <c r="R134" i="3"/>
  <c r="P92" i="4"/>
  <c r="R128" i="3"/>
  <c r="Q248" i="3"/>
  <c r="O70" i="4"/>
  <c r="M71" i="4"/>
  <c r="M188" i="3"/>
  <c r="M189" i="3"/>
  <c r="M187" i="3"/>
  <c r="P40" i="3"/>
  <c r="O14" i="4" s="1"/>
  <c r="O13" i="4"/>
  <c r="Q28" i="17"/>
  <c r="R26" i="17"/>
  <c r="J1226" i="18"/>
  <c r="J1230" i="18"/>
  <c r="O177" i="3"/>
  <c r="O200" i="3"/>
  <c r="O202" i="3" s="1"/>
  <c r="N32" i="4" s="1"/>
  <c r="O179" i="3"/>
  <c r="O228" i="3"/>
  <c r="O219" i="3"/>
  <c r="T181" i="3"/>
  <c r="R115" i="3"/>
  <c r="Q110" i="3"/>
  <c r="P111" i="3"/>
  <c r="R15" i="3"/>
  <c r="Q20" i="3"/>
  <c r="P13" i="4" s="1"/>
  <c r="P27" i="3"/>
  <c r="P50" i="3"/>
  <c r="P51" i="3" s="1"/>
  <c r="O18" i="4" s="1"/>
  <c r="P59" i="3"/>
  <c r="P60" i="3" s="1"/>
  <c r="Q239" i="3"/>
  <c r="P263" i="3"/>
  <c r="L129" i="4"/>
  <c r="L158" i="4"/>
  <c r="M129" i="4"/>
  <c r="M158" i="4"/>
  <c r="L157" i="4"/>
  <c r="M195" i="3"/>
  <c r="M84" i="3" s="1"/>
  <c r="M85" i="3" s="1"/>
  <c r="M146" i="3" s="1"/>
  <c r="M147" i="3" s="1"/>
  <c r="N243" i="3"/>
  <c r="N244" i="3" s="1"/>
  <c r="O243" i="3"/>
  <c r="O244" i="3" s="1"/>
  <c r="J84" i="4"/>
  <c r="L83" i="3"/>
  <c r="L86" i="3" s="1"/>
  <c r="K84" i="4" s="1"/>
  <c r="L89" i="4"/>
  <c r="V89" i="4" s="1"/>
  <c r="K141" i="4"/>
  <c r="N143" i="4"/>
  <c r="M61" i="4"/>
  <c r="O1001" i="18"/>
  <c r="N99" i="2" s="1"/>
  <c r="N102" i="2" s="1"/>
  <c r="P1000" i="18"/>
  <c r="P1001" i="18" s="1"/>
  <c r="O99" i="2" s="1"/>
  <c r="O102" i="2" s="1"/>
  <c r="V90" i="4"/>
  <c r="M90" i="4"/>
  <c r="N90" i="4" s="1"/>
  <c r="V91" i="4"/>
  <c r="M91" i="4"/>
  <c r="N91" i="4" s="1"/>
  <c r="N193" i="3"/>
  <c r="N194" i="3" s="1"/>
  <c r="M127" i="4"/>
  <c r="M146" i="4" s="1"/>
  <c r="M23" i="17"/>
  <c r="M167" i="3"/>
  <c r="N167" i="3"/>
  <c r="K34" i="14"/>
  <c r="K86" i="14" s="1"/>
  <c r="L62" i="4"/>
  <c r="L66" i="4" s="1"/>
  <c r="K66" i="4"/>
  <c r="L118" i="4"/>
  <c r="M74" i="4"/>
  <c r="M53" i="4"/>
  <c r="V61" i="4"/>
  <c r="K165" i="3"/>
  <c r="L165" i="3"/>
  <c r="V32" i="4"/>
  <c r="K96" i="14"/>
  <c r="N183" i="3"/>
  <c r="O108" i="3"/>
  <c r="O112" i="3" s="1"/>
  <c r="M87" i="4"/>
  <c r="V75" i="4"/>
  <c r="M75" i="4"/>
  <c r="N75" i="4" s="1"/>
  <c r="M78" i="3"/>
  <c r="L83" i="4"/>
  <c r="N229" i="3"/>
  <c r="L97" i="3"/>
  <c r="L94" i="3" s="1"/>
  <c r="K85" i="4" s="1"/>
  <c r="M101" i="4"/>
  <c r="M114" i="4" s="1"/>
  <c r="H36" i="14"/>
  <c r="H86" i="14"/>
  <c r="H88" i="14" s="1"/>
  <c r="L76" i="4"/>
  <c r="V18" i="4"/>
  <c r="O63" i="3"/>
  <c r="N19" i="4"/>
  <c r="O54" i="3"/>
  <c r="N18" i="4"/>
  <c r="O65" i="3"/>
  <c r="O66" i="3" s="1"/>
  <c r="G95" i="14"/>
  <c r="G97" i="14" s="1"/>
  <c r="G93" i="14"/>
  <c r="G64" i="14"/>
  <c r="G66" i="14" s="1"/>
  <c r="G58" i="14"/>
  <c r="V71" i="4"/>
  <c r="V70" i="4"/>
  <c r="V56" i="4"/>
  <c r="V19" i="4"/>
  <c r="I46" i="4"/>
  <c r="I40" i="4"/>
  <c r="H54" i="14"/>
  <c r="H60" i="14"/>
  <c r="M49" i="14"/>
  <c r="M53" i="14" s="1"/>
  <c r="M57" i="14" s="1"/>
  <c r="M70" i="14" s="1"/>
  <c r="U13" i="4"/>
  <c r="N42" i="4"/>
  <c r="O254" i="3"/>
  <c r="P254" i="3" s="1"/>
  <c r="Q254" i="3" s="1"/>
  <c r="R254" i="3" s="1"/>
  <c r="S254" i="3" s="1"/>
  <c r="T254" i="3" s="1"/>
  <c r="O225" i="3"/>
  <c r="P225" i="3" s="1"/>
  <c r="Q225" i="3" s="1"/>
  <c r="R225" i="3" s="1"/>
  <c r="S225" i="3" s="1"/>
  <c r="T225" i="3" s="1"/>
  <c r="V63" i="4"/>
  <c r="N28" i="37" l="1"/>
  <c r="N91" i="14"/>
  <c r="M97" i="3"/>
  <c r="M94" i="3" s="1"/>
  <c r="L85" i="4" s="1"/>
  <c r="K142" i="4"/>
  <c r="K149" i="4" s="1"/>
  <c r="R65" i="4"/>
  <c r="G51" i="36"/>
  <c r="G53" i="36" s="1"/>
  <c r="G94" i="36" s="1"/>
  <c r="G57" i="36"/>
  <c r="G59" i="36" s="1"/>
  <c r="G65" i="36" s="1"/>
  <c r="G37" i="36"/>
  <c r="G47" i="36" s="1"/>
  <c r="N49" i="14"/>
  <c r="N53" i="14" s="1"/>
  <c r="N57" i="14" s="1"/>
  <c r="N70" i="14" s="1"/>
  <c r="O49" i="14"/>
  <c r="O53" i="14" s="1"/>
  <c r="O57" i="14" s="1"/>
  <c r="O70" i="14" s="1"/>
  <c r="H29" i="36"/>
  <c r="L6" i="35"/>
  <c r="C14" i="35" s="1"/>
  <c r="C15" i="35" s="1"/>
  <c r="U75" i="4"/>
  <c r="O75" i="4"/>
  <c r="P75" i="4" s="1"/>
  <c r="Q75" i="4" s="1"/>
  <c r="R75" i="4" s="1"/>
  <c r="S75" i="4" s="1"/>
  <c r="R94" i="4"/>
  <c r="T140" i="3"/>
  <c r="S94" i="4" s="1"/>
  <c r="Q33" i="4"/>
  <c r="R168" i="3" s="1"/>
  <c r="S32" i="3"/>
  <c r="Q86" i="4"/>
  <c r="S102" i="3"/>
  <c r="Q93" i="4"/>
  <c r="S134" i="3"/>
  <c r="Q92" i="4"/>
  <c r="S128" i="3"/>
  <c r="P70" i="4"/>
  <c r="R248" i="3"/>
  <c r="N71" i="4"/>
  <c r="U71" i="4" s="1"/>
  <c r="U90" i="4"/>
  <c r="O90" i="4"/>
  <c r="P90" i="4" s="1"/>
  <c r="Q90" i="4" s="1"/>
  <c r="R90" i="4" s="1"/>
  <c r="S90" i="4" s="1"/>
  <c r="U91" i="4"/>
  <c r="O91" i="4"/>
  <c r="P91" i="4" s="1"/>
  <c r="Q91" i="4" s="1"/>
  <c r="R91" i="4" s="1"/>
  <c r="S91" i="4" s="1"/>
  <c r="N188" i="3"/>
  <c r="N189" i="3"/>
  <c r="N187" i="3"/>
  <c r="P164" i="3"/>
  <c r="P252" i="3"/>
  <c r="O15" i="4"/>
  <c r="N46" i="14" s="1"/>
  <c r="O42" i="4"/>
  <c r="Q1008" i="18"/>
  <c r="Q1006" i="18" s="1"/>
  <c r="P74" i="3" s="1"/>
  <c r="P185" i="3"/>
  <c r="P163" i="3"/>
  <c r="P218" i="3"/>
  <c r="P42" i="4"/>
  <c r="R1008" i="18"/>
  <c r="R1006" i="18" s="1"/>
  <c r="Q74" i="3" s="1"/>
  <c r="Q185" i="3"/>
  <c r="Q163" i="3"/>
  <c r="Q218" i="3"/>
  <c r="P63" i="3"/>
  <c r="O19" i="4"/>
  <c r="O20" i="4" s="1"/>
  <c r="P165" i="3" s="1"/>
  <c r="R28" i="17"/>
  <c r="S26" i="17"/>
  <c r="P139" i="4"/>
  <c r="P79" i="14" s="1"/>
  <c r="O167" i="3"/>
  <c r="N129" i="4"/>
  <c r="N158" i="4"/>
  <c r="O229" i="3"/>
  <c r="O261" i="3" s="1"/>
  <c r="O238" i="3"/>
  <c r="N61" i="4"/>
  <c r="O193" i="3"/>
  <c r="O194" i="3" s="1"/>
  <c r="O183" i="3"/>
  <c r="O259" i="3"/>
  <c r="N101" i="4"/>
  <c r="N114" i="4" s="1"/>
  <c r="R110" i="3"/>
  <c r="S115" i="3"/>
  <c r="Q111" i="3"/>
  <c r="S15" i="3"/>
  <c r="R20" i="3"/>
  <c r="Q13" i="4" s="1"/>
  <c r="Q27" i="3"/>
  <c r="Q40" i="3"/>
  <c r="P14" i="4" s="1"/>
  <c r="Q50" i="3"/>
  <c r="Q51" i="3" s="1"/>
  <c r="P18" i="4" s="1"/>
  <c r="Q59" i="3"/>
  <c r="Q60" i="3" s="1"/>
  <c r="P54" i="3"/>
  <c r="P65" i="3"/>
  <c r="P66" i="3" s="1"/>
  <c r="R239" i="3"/>
  <c r="Q263" i="3"/>
  <c r="N87" i="4"/>
  <c r="P108" i="3"/>
  <c r="P112" i="3" s="1"/>
  <c r="L141" i="4"/>
  <c r="M89" i="4"/>
  <c r="M157" i="4"/>
  <c r="N195" i="3"/>
  <c r="N84" i="3" s="1"/>
  <c r="N85" i="3" s="1"/>
  <c r="O262" i="3"/>
  <c r="N100" i="4"/>
  <c r="M143" i="4"/>
  <c r="M100" i="4"/>
  <c r="N262" i="3"/>
  <c r="N264" i="3"/>
  <c r="M105" i="4"/>
  <c r="N105" i="4"/>
  <c r="O264" i="3"/>
  <c r="L88" i="3"/>
  <c r="M83" i="3"/>
  <c r="M86" i="3" s="1"/>
  <c r="L84" i="4" s="1"/>
  <c r="N23" i="17"/>
  <c r="N127" i="4"/>
  <c r="O127" i="4" s="1"/>
  <c r="V62" i="4"/>
  <c r="M62" i="4"/>
  <c r="N53" i="4"/>
  <c r="O53" i="4" s="1"/>
  <c r="P53" i="4" s="1"/>
  <c r="Q53" i="4" s="1"/>
  <c r="R53" i="4" s="1"/>
  <c r="S53" i="4" s="1"/>
  <c r="N74" i="4"/>
  <c r="M118" i="4"/>
  <c r="M106" i="4"/>
  <c r="N261" i="3"/>
  <c r="V76" i="4"/>
  <c r="M76" i="4"/>
  <c r="U19" i="4"/>
  <c r="U18" i="4"/>
  <c r="I47" i="4"/>
  <c r="H62" i="14"/>
  <c r="H90" i="14"/>
  <c r="L96" i="14"/>
  <c r="L34" i="14"/>
  <c r="L86" i="14" s="1"/>
  <c r="M20" i="4"/>
  <c r="U70" i="4"/>
  <c r="U56" i="4"/>
  <c r="L20" i="4"/>
  <c r="U87" i="4" l="1"/>
  <c r="S65" i="4"/>
  <c r="H35" i="36"/>
  <c r="H31" i="36"/>
  <c r="H92" i="36" s="1"/>
  <c r="P49" i="14"/>
  <c r="P53" i="14" s="1"/>
  <c r="P57" i="14" s="1"/>
  <c r="P70" i="14" s="1"/>
  <c r="M117" i="4"/>
  <c r="M19" i="14"/>
  <c r="N157" i="4"/>
  <c r="O195" i="3"/>
  <c r="O84" i="3" s="1"/>
  <c r="O85" i="3" s="1"/>
  <c r="P127" i="4"/>
  <c r="O146" i="4"/>
  <c r="P23" i="17"/>
  <c r="N118" i="4"/>
  <c r="O74" i="4"/>
  <c r="P138" i="4"/>
  <c r="Q158" i="3"/>
  <c r="R33" i="4"/>
  <c r="S168" i="3" s="1"/>
  <c r="T32" i="3"/>
  <c r="S33" i="4" s="1"/>
  <c r="T168" i="3" s="1"/>
  <c r="R86" i="4"/>
  <c r="T102" i="3"/>
  <c r="S86" i="4" s="1"/>
  <c r="R93" i="4"/>
  <c r="T134" i="3"/>
  <c r="S93" i="4" s="1"/>
  <c r="R92" i="4"/>
  <c r="T128" i="3"/>
  <c r="S92" i="4" s="1"/>
  <c r="Q70" i="4"/>
  <c r="S248" i="3"/>
  <c r="O188" i="3"/>
  <c r="O189" i="3"/>
  <c r="O187" i="3"/>
  <c r="P253" i="3"/>
  <c r="O72" i="4" s="1"/>
  <c r="O116" i="4" s="1"/>
  <c r="P223" i="3"/>
  <c r="O43" i="4"/>
  <c r="O22" i="4"/>
  <c r="P158" i="3"/>
  <c r="O138" i="4"/>
  <c r="P179" i="3"/>
  <c r="P200" i="3"/>
  <c r="P202" i="3" s="1"/>
  <c r="O32" i="4" s="1"/>
  <c r="P177" i="3"/>
  <c r="P228" i="3"/>
  <c r="P219" i="3"/>
  <c r="Q42" i="4"/>
  <c r="S1008" i="18"/>
  <c r="S1006" i="18" s="1"/>
  <c r="R74" i="3" s="1"/>
  <c r="R185" i="3"/>
  <c r="R163" i="3"/>
  <c r="R218" i="3"/>
  <c r="P15" i="4"/>
  <c r="O46" i="14" s="1"/>
  <c r="Q164" i="3"/>
  <c r="Q252" i="3"/>
  <c r="Q223" i="3" s="1"/>
  <c r="Q63" i="3"/>
  <c r="P19" i="4"/>
  <c r="P20" i="4" s="1"/>
  <c r="Q165" i="3" s="1"/>
  <c r="S28" i="17"/>
  <c r="T26" i="17"/>
  <c r="T28" i="17" s="1"/>
  <c r="Q139" i="4"/>
  <c r="Q79" i="14" s="1"/>
  <c r="Q108" i="3"/>
  <c r="Q112" i="3" s="1"/>
  <c r="O87" i="4"/>
  <c r="N106" i="4"/>
  <c r="S110" i="3"/>
  <c r="T115" i="3"/>
  <c r="T110" i="3" s="1"/>
  <c r="R111" i="3"/>
  <c r="T15" i="3"/>
  <c r="T20" i="3" s="1"/>
  <c r="S13" i="4" s="1"/>
  <c r="S20" i="3"/>
  <c r="R13" i="4" s="1"/>
  <c r="R27" i="3"/>
  <c r="R40" i="3"/>
  <c r="Q14" i="4" s="1"/>
  <c r="R50" i="3"/>
  <c r="R51" i="3" s="1"/>
  <c r="Q18" i="4" s="1"/>
  <c r="R59" i="3"/>
  <c r="R60" i="3" s="1"/>
  <c r="Q54" i="3"/>
  <c r="Q65" i="3"/>
  <c r="Q66" i="3" s="1"/>
  <c r="S239" i="3"/>
  <c r="R263" i="3"/>
  <c r="Q219" i="3"/>
  <c r="P101" i="4" s="1"/>
  <c r="P114" i="4" s="1"/>
  <c r="Q228" i="3"/>
  <c r="Q200" i="3"/>
  <c r="Q202" i="3" s="1"/>
  <c r="P32" i="4" s="1"/>
  <c r="Q177" i="3"/>
  <c r="Q179" i="3"/>
  <c r="N89" i="4"/>
  <c r="O89" i="4" s="1"/>
  <c r="M141" i="4"/>
  <c r="V85" i="4"/>
  <c r="L142" i="4"/>
  <c r="L149" i="4" s="1"/>
  <c r="O23" i="17"/>
  <c r="N146" i="4"/>
  <c r="N83" i="3"/>
  <c r="N86" i="3" s="1"/>
  <c r="M84" i="4" s="1"/>
  <c r="M88" i="3"/>
  <c r="N62" i="4"/>
  <c r="O62" i="4" s="1"/>
  <c r="P62" i="4" s="1"/>
  <c r="Q62" i="4" s="1"/>
  <c r="R62" i="4" s="1"/>
  <c r="S62" i="4" s="1"/>
  <c r="M66" i="4"/>
  <c r="U61" i="4"/>
  <c r="N165" i="3"/>
  <c r="M165" i="3"/>
  <c r="N76" i="4"/>
  <c r="O76" i="4" s="1"/>
  <c r="P76" i="4" s="1"/>
  <c r="Q76" i="4" s="1"/>
  <c r="R76" i="4" s="1"/>
  <c r="S76" i="4" s="1"/>
  <c r="H64" i="14"/>
  <c r="H66" i="14" s="1"/>
  <c r="H58" i="14"/>
  <c r="H95" i="14"/>
  <c r="H97" i="14" s="1"/>
  <c r="H93" i="14"/>
  <c r="U74" i="4"/>
  <c r="M34" i="14"/>
  <c r="M86" i="14" s="1"/>
  <c r="Q22" i="17" l="1"/>
  <c r="P78" i="14"/>
  <c r="P22" i="17"/>
  <c r="O78" i="14"/>
  <c r="N96" i="14"/>
  <c r="O91" i="14"/>
  <c r="O96" i="14" s="1"/>
  <c r="O28" i="37"/>
  <c r="P28" i="37"/>
  <c r="P91" i="14"/>
  <c r="H51" i="36"/>
  <c r="H53" i="36" s="1"/>
  <c r="H94" i="36" s="1"/>
  <c r="H57" i="36"/>
  <c r="H59" i="36" s="1"/>
  <c r="H37" i="36"/>
  <c r="H47" i="36" s="1"/>
  <c r="N34" i="14"/>
  <c r="N50" i="14"/>
  <c r="N87" i="14"/>
  <c r="N117" i="4"/>
  <c r="N19" i="14"/>
  <c r="R49" i="14"/>
  <c r="R53" i="14" s="1"/>
  <c r="R57" i="14" s="1"/>
  <c r="R70" i="14" s="1"/>
  <c r="Q49" i="14"/>
  <c r="Q53" i="14" s="1"/>
  <c r="Q57" i="14" s="1"/>
  <c r="Q70" i="14" s="1"/>
  <c r="Q167" i="3"/>
  <c r="P146" i="4"/>
  <c r="Q127" i="4"/>
  <c r="Q23" i="17"/>
  <c r="O118" i="4"/>
  <c r="P74" i="4"/>
  <c r="Q138" i="4"/>
  <c r="R158" i="3"/>
  <c r="R70" i="4"/>
  <c r="T248" i="3"/>
  <c r="S70" i="4" s="1"/>
  <c r="P89" i="4"/>
  <c r="O141" i="4"/>
  <c r="P224" i="3"/>
  <c r="O98" i="4" s="1"/>
  <c r="P233" i="3"/>
  <c r="P243" i="3" s="1"/>
  <c r="P244" i="3" s="1"/>
  <c r="O44" i="4"/>
  <c r="O24" i="4"/>
  <c r="P13" i="17"/>
  <c r="O71" i="4"/>
  <c r="O77" i="4" s="1"/>
  <c r="O14" i="14" s="1"/>
  <c r="O20" i="14" s="1"/>
  <c r="O158" i="4"/>
  <c r="O129" i="4"/>
  <c r="P167" i="3"/>
  <c r="P183" i="3"/>
  <c r="P187" i="3" s="1"/>
  <c r="P193" i="3"/>
  <c r="P194" i="3" s="1"/>
  <c r="O61" i="4"/>
  <c r="O66" i="4" s="1"/>
  <c r="P238" i="3"/>
  <c r="P229" i="3"/>
  <c r="P259" i="3"/>
  <c r="O101" i="4"/>
  <c r="O114" i="4" s="1"/>
  <c r="R179" i="3"/>
  <c r="R200" i="3"/>
  <c r="R202" i="3" s="1"/>
  <c r="Q32" i="4" s="1"/>
  <c r="R177" i="3"/>
  <c r="R228" i="3"/>
  <c r="R219" i="3"/>
  <c r="P22" i="4"/>
  <c r="P43" i="4"/>
  <c r="S42" i="4"/>
  <c r="U1008" i="18"/>
  <c r="U1006" i="18" s="1"/>
  <c r="T74" i="3" s="1"/>
  <c r="T185" i="3"/>
  <c r="T163" i="3"/>
  <c r="T218" i="3"/>
  <c r="R42" i="4"/>
  <c r="T1008" i="18"/>
  <c r="T1006" i="18" s="1"/>
  <c r="S74" i="3" s="1"/>
  <c r="S185" i="3"/>
  <c r="S163" i="3"/>
  <c r="S218" i="3"/>
  <c r="Q15" i="4"/>
  <c r="P46" i="14" s="1"/>
  <c r="R164" i="3"/>
  <c r="R252" i="3"/>
  <c r="R223" i="3" s="1"/>
  <c r="R63" i="3"/>
  <c r="Q19" i="4"/>
  <c r="Q20" i="4" s="1"/>
  <c r="R165" i="3" s="1"/>
  <c r="P61" i="4"/>
  <c r="P66" i="4" s="1"/>
  <c r="P71" i="4"/>
  <c r="P87" i="4"/>
  <c r="R108" i="3"/>
  <c r="R112" i="3" s="1"/>
  <c r="R139" i="4"/>
  <c r="R79" i="14" s="1"/>
  <c r="S139" i="4"/>
  <c r="S79" i="14" s="1"/>
  <c r="P129" i="4"/>
  <c r="P158" i="4"/>
  <c r="S111" i="3"/>
  <c r="T27" i="3"/>
  <c r="T40" i="3"/>
  <c r="S14" i="4" s="1"/>
  <c r="T50" i="3"/>
  <c r="T51" i="3" s="1"/>
  <c r="S18" i="4" s="1"/>
  <c r="T59" i="3"/>
  <c r="T60" i="3" s="1"/>
  <c r="S19" i="4" s="1"/>
  <c r="S27" i="3"/>
  <c r="S40" i="3"/>
  <c r="R14" i="4" s="1"/>
  <c r="S50" i="3"/>
  <c r="S51" i="3" s="1"/>
  <c r="R18" i="4" s="1"/>
  <c r="S59" i="3"/>
  <c r="S60" i="3" s="1"/>
  <c r="R54" i="3"/>
  <c r="R65" i="3"/>
  <c r="R66" i="3" s="1"/>
  <c r="T239" i="3"/>
  <c r="T263" i="3" s="1"/>
  <c r="S263" i="3"/>
  <c r="Q259" i="3"/>
  <c r="Q229" i="3"/>
  <c r="P106" i="4" s="1"/>
  <c r="Q238" i="3"/>
  <c r="Q183" i="3"/>
  <c r="Q193" i="3"/>
  <c r="Q194" i="3" s="1"/>
  <c r="N141" i="4"/>
  <c r="U89" i="4"/>
  <c r="O83" i="3"/>
  <c r="O86" i="3" s="1"/>
  <c r="P83" i="3" s="1"/>
  <c r="N88" i="3"/>
  <c r="U62" i="4"/>
  <c r="N66" i="4"/>
  <c r="U66" i="4" s="1"/>
  <c r="U76" i="4"/>
  <c r="M96" i="14"/>
  <c r="U32" i="4"/>
  <c r="N20" i="4"/>
  <c r="U63" i="4"/>
  <c r="H65" i="36" l="1"/>
  <c r="C102" i="36"/>
  <c r="P96" i="14"/>
  <c r="R22" i="17"/>
  <c r="Q78" i="14"/>
  <c r="Q91" i="14"/>
  <c r="Q28" i="37"/>
  <c r="N86" i="14"/>
  <c r="N88" i="14" s="1"/>
  <c r="O34" i="14"/>
  <c r="O115" i="4"/>
  <c r="N26" i="14" s="1"/>
  <c r="O18" i="14"/>
  <c r="O75" i="14" s="1"/>
  <c r="O76" i="14" s="1"/>
  <c r="P24" i="4"/>
  <c r="P117" i="4"/>
  <c r="P19" i="14"/>
  <c r="Q146" i="4"/>
  <c r="R127" i="4"/>
  <c r="R23" i="17"/>
  <c r="P118" i="4"/>
  <c r="Q74" i="4"/>
  <c r="P141" i="4"/>
  <c r="Q89" i="4"/>
  <c r="R138" i="4"/>
  <c r="S158" i="3"/>
  <c r="P264" i="3"/>
  <c r="O105" i="4"/>
  <c r="P261" i="3"/>
  <c r="O106" i="4"/>
  <c r="Q71" i="4"/>
  <c r="Q129" i="4"/>
  <c r="Q158" i="4"/>
  <c r="R167" i="3"/>
  <c r="R193" i="3"/>
  <c r="R194" i="3" s="1"/>
  <c r="R183" i="3"/>
  <c r="R187" i="3" s="1"/>
  <c r="Q61" i="4"/>
  <c r="Q66" i="4" s="1"/>
  <c r="R229" i="3"/>
  <c r="R238" i="3"/>
  <c r="P44" i="4"/>
  <c r="Q13" i="17"/>
  <c r="T177" i="3"/>
  <c r="T179" i="3"/>
  <c r="T200" i="3"/>
  <c r="T202" i="3" s="1"/>
  <c r="S32" i="4" s="1"/>
  <c r="T219" i="3"/>
  <c r="T228" i="3"/>
  <c r="S177" i="3"/>
  <c r="S179" i="3"/>
  <c r="S200" i="3"/>
  <c r="S202" i="3" s="1"/>
  <c r="R32" i="4" s="1"/>
  <c r="S219" i="3"/>
  <c r="S228" i="3"/>
  <c r="Q22" i="4"/>
  <c r="Q43" i="4"/>
  <c r="T63" i="3"/>
  <c r="P189" i="3"/>
  <c r="P188" i="3"/>
  <c r="O157" i="4"/>
  <c r="P195" i="3"/>
  <c r="P84" i="3" s="1"/>
  <c r="Q101" i="4"/>
  <c r="Q114" i="4" s="1"/>
  <c r="R259" i="3"/>
  <c r="S138" i="4"/>
  <c r="S78" i="14" s="1"/>
  <c r="T158" i="3"/>
  <c r="S15" i="4"/>
  <c r="R46" i="14" s="1"/>
  <c r="T164" i="3"/>
  <c r="T252" i="3"/>
  <c r="R15" i="4"/>
  <c r="Q46" i="14" s="1"/>
  <c r="S164" i="3"/>
  <c r="S252" i="3"/>
  <c r="S63" i="3"/>
  <c r="R19" i="4"/>
  <c r="R20" i="4" s="1"/>
  <c r="S165" i="3" s="1"/>
  <c r="Q187" i="3"/>
  <c r="Q188" i="3"/>
  <c r="Q189" i="3"/>
  <c r="S20" i="4"/>
  <c r="T165" i="3" s="1"/>
  <c r="S108" i="3"/>
  <c r="S112" i="3" s="1"/>
  <c r="Q87" i="4"/>
  <c r="Q195" i="3"/>
  <c r="Q84" i="3" s="1"/>
  <c r="P157" i="4"/>
  <c r="T111" i="3"/>
  <c r="T54" i="3"/>
  <c r="T65" i="3"/>
  <c r="T66" i="3" s="1"/>
  <c r="S54" i="3"/>
  <c r="S65" i="3"/>
  <c r="S66" i="3" s="1"/>
  <c r="Q261" i="3"/>
  <c r="O88" i="3"/>
  <c r="N84" i="4"/>
  <c r="O165" i="3"/>
  <c r="K253" i="3"/>
  <c r="O253" i="3"/>
  <c r="P267" i="3" s="1"/>
  <c r="P268" i="3" s="1"/>
  <c r="O224" i="3"/>
  <c r="P260" i="3" s="1"/>
  <c r="N253" i="3"/>
  <c r="N224" i="3"/>
  <c r="M253" i="3"/>
  <c r="M224" i="3"/>
  <c r="L253" i="3"/>
  <c r="L224" i="3"/>
  <c r="S22" i="17" l="1"/>
  <c r="R78" i="14"/>
  <c r="S28" i="37"/>
  <c r="S91" i="14"/>
  <c r="S96" i="14" s="1"/>
  <c r="Q96" i="14"/>
  <c r="R91" i="14"/>
  <c r="R96" i="14" s="1"/>
  <c r="R28" i="37"/>
  <c r="O86" i="14"/>
  <c r="O50" i="14"/>
  <c r="O87" i="14"/>
  <c r="P34" i="14"/>
  <c r="O117" i="4"/>
  <c r="O19" i="14"/>
  <c r="P50" i="14"/>
  <c r="P87" i="14"/>
  <c r="R146" i="4"/>
  <c r="S127" i="4"/>
  <c r="S23" i="17"/>
  <c r="Q118" i="4"/>
  <c r="R74" i="4"/>
  <c r="Q141" i="4"/>
  <c r="R89" i="4"/>
  <c r="Q106" i="4"/>
  <c r="R261" i="3"/>
  <c r="R189" i="3"/>
  <c r="R188" i="3"/>
  <c r="R195" i="3"/>
  <c r="R84" i="3" s="1"/>
  <c r="Q157" i="4"/>
  <c r="T183" i="3"/>
  <c r="T193" i="3"/>
  <c r="T194" i="3" s="1"/>
  <c r="S61" i="4"/>
  <c r="S66" i="4" s="1"/>
  <c r="S71" i="4"/>
  <c r="S129" i="4"/>
  <c r="S158" i="4"/>
  <c r="T167" i="3"/>
  <c r="T259" i="3"/>
  <c r="S101" i="4"/>
  <c r="S114" i="4" s="1"/>
  <c r="T238" i="3"/>
  <c r="T229" i="3"/>
  <c r="S183" i="3"/>
  <c r="S193" i="3"/>
  <c r="S194" i="3" s="1"/>
  <c r="R61" i="4"/>
  <c r="R66" i="4" s="1"/>
  <c r="R71" i="4"/>
  <c r="R129" i="4"/>
  <c r="R158" i="4"/>
  <c r="S167" i="3"/>
  <c r="S259" i="3"/>
  <c r="R101" i="4"/>
  <c r="R114" i="4" s="1"/>
  <c r="S238" i="3"/>
  <c r="S229" i="3"/>
  <c r="Q44" i="4"/>
  <c r="Q24" i="4"/>
  <c r="R13" i="17"/>
  <c r="P85" i="3"/>
  <c r="T22" i="17"/>
  <c r="S22" i="4"/>
  <c r="S43" i="4"/>
  <c r="T253" i="3"/>
  <c r="T223" i="3"/>
  <c r="R22" i="4"/>
  <c r="R43" i="4"/>
  <c r="S253" i="3"/>
  <c r="R72" i="4" s="1"/>
  <c r="R116" i="4" s="1"/>
  <c r="S223" i="3"/>
  <c r="P265" i="3"/>
  <c r="P270" i="3" s="1"/>
  <c r="T108" i="3"/>
  <c r="T112" i="3" s="1"/>
  <c r="S87" i="4" s="1"/>
  <c r="R87" i="4"/>
  <c r="J72" i="4"/>
  <c r="J116" i="4" s="1"/>
  <c r="K267" i="3"/>
  <c r="K268" i="3" s="1"/>
  <c r="N72" i="4"/>
  <c r="O267" i="3"/>
  <c r="O268" i="3" s="1"/>
  <c r="M72" i="4"/>
  <c r="N267" i="3"/>
  <c r="N268" i="3" s="1"/>
  <c r="L72" i="4"/>
  <c r="M267" i="3"/>
  <c r="M268" i="3" s="1"/>
  <c r="K72" i="4"/>
  <c r="L267" i="3"/>
  <c r="L268" i="3" s="1"/>
  <c r="N98" i="4"/>
  <c r="M98" i="4"/>
  <c r="L98" i="4"/>
  <c r="K98" i="4"/>
  <c r="M15" i="4"/>
  <c r="K15" i="4"/>
  <c r="U14" i="4"/>
  <c r="N15" i="4"/>
  <c r="L15" i="4"/>
  <c r="V14" i="4"/>
  <c r="K260" i="3"/>
  <c r="K265" i="3" s="1"/>
  <c r="O260" i="3"/>
  <c r="O265" i="3" s="1"/>
  <c r="N260" i="3"/>
  <c r="N265" i="3" s="1"/>
  <c r="M260" i="3"/>
  <c r="M265" i="3" s="1"/>
  <c r="L260" i="3"/>
  <c r="L265" i="3" s="1"/>
  <c r="G28" i="4"/>
  <c r="O88" i="14" l="1"/>
  <c r="P86" i="14"/>
  <c r="P88" i="14" s="1"/>
  <c r="Q34" i="14"/>
  <c r="Q117" i="4"/>
  <c r="Q19" i="14"/>
  <c r="S24" i="4"/>
  <c r="Q50" i="14"/>
  <c r="Q87" i="14"/>
  <c r="N77" i="4"/>
  <c r="N14" i="14" s="1"/>
  <c r="N20" i="14" s="1"/>
  <c r="N116" i="4"/>
  <c r="M77" i="4"/>
  <c r="M14" i="14" s="1"/>
  <c r="M20" i="14" s="1"/>
  <c r="M116" i="4"/>
  <c r="L77" i="4"/>
  <c r="L14" i="14" s="1"/>
  <c r="L20" i="14" s="1"/>
  <c r="L116" i="4"/>
  <c r="K77" i="4"/>
  <c r="K14" i="14" s="1"/>
  <c r="K20" i="14" s="1"/>
  <c r="K116" i="4"/>
  <c r="N115" i="4"/>
  <c r="N18" i="14"/>
  <c r="N75" i="14" s="1"/>
  <c r="N76" i="14" s="1"/>
  <c r="M115" i="4"/>
  <c r="M18" i="14"/>
  <c r="M75" i="14" s="1"/>
  <c r="M76" i="14" s="1"/>
  <c r="L115" i="4"/>
  <c r="L18" i="14"/>
  <c r="L75" i="14" s="1"/>
  <c r="L76" i="14" s="1"/>
  <c r="K115" i="4"/>
  <c r="K18" i="14"/>
  <c r="K75" i="14" s="1"/>
  <c r="K76" i="14" s="1"/>
  <c r="T23" i="17"/>
  <c r="S146" i="4"/>
  <c r="R118" i="4"/>
  <c r="S74" i="4"/>
  <c r="R141" i="4"/>
  <c r="S89" i="4"/>
  <c r="S141" i="4" s="1"/>
  <c r="T189" i="3"/>
  <c r="T187" i="3"/>
  <c r="T188" i="3"/>
  <c r="S189" i="3"/>
  <c r="S188" i="3"/>
  <c r="S187" i="3"/>
  <c r="T261" i="3"/>
  <c r="S106" i="4"/>
  <c r="S261" i="3"/>
  <c r="R106" i="4"/>
  <c r="S44" i="4"/>
  <c r="T13" i="17"/>
  <c r="T267" i="3"/>
  <c r="T268" i="3" s="1"/>
  <c r="S72" i="4"/>
  <c r="T224" i="3"/>
  <c r="T233" i="3"/>
  <c r="T243" i="3" s="1"/>
  <c r="T244" i="3" s="1"/>
  <c r="R44" i="4"/>
  <c r="R24" i="4"/>
  <c r="S13" i="17"/>
  <c r="S224" i="3"/>
  <c r="R98" i="4" s="1"/>
  <c r="S233" i="3"/>
  <c r="S243" i="3" s="1"/>
  <c r="S244" i="3" s="1"/>
  <c r="R105" i="4" s="1"/>
  <c r="R77" i="4"/>
  <c r="R14" i="14" s="1"/>
  <c r="R20" i="14" s="1"/>
  <c r="S157" i="4"/>
  <c r="T195" i="3"/>
  <c r="T84" i="3" s="1"/>
  <c r="R157" i="4"/>
  <c r="S195" i="3"/>
  <c r="S84" i="3" s="1"/>
  <c r="Q85" i="3"/>
  <c r="R85" i="3" s="1"/>
  <c r="P86" i="3"/>
  <c r="O132" i="4"/>
  <c r="O113" i="4"/>
  <c r="K270" i="3"/>
  <c r="O270" i="3"/>
  <c r="N270" i="3"/>
  <c r="M270" i="3"/>
  <c r="L270" i="3"/>
  <c r="J77" i="4"/>
  <c r="J14" i="14" s="1"/>
  <c r="J20" i="14" s="1"/>
  <c r="G30" i="4"/>
  <c r="G37" i="4"/>
  <c r="G44" i="4"/>
  <c r="J43" i="4"/>
  <c r="J22" i="4"/>
  <c r="M43" i="4"/>
  <c r="M22" i="4"/>
  <c r="K43" i="4"/>
  <c r="K22" i="4"/>
  <c r="I46" i="14"/>
  <c r="L46" i="14"/>
  <c r="J46" i="14"/>
  <c r="M46" i="14"/>
  <c r="K46" i="14"/>
  <c r="I75" i="14"/>
  <c r="I76" i="14" s="1"/>
  <c r="J75" i="14"/>
  <c r="J76" i="14" s="1"/>
  <c r="I20" i="14"/>
  <c r="U53" i="4"/>
  <c r="V53" i="4"/>
  <c r="N43" i="4"/>
  <c r="N22" i="4"/>
  <c r="L43" i="4"/>
  <c r="L22" i="4"/>
  <c r="U69" i="4"/>
  <c r="V69" i="4"/>
  <c r="G45" i="4"/>
  <c r="O80" i="14" l="1"/>
  <c r="P21" i="17"/>
  <c r="Q86" i="14"/>
  <c r="Q88" i="14" s="1"/>
  <c r="R50" i="14"/>
  <c r="R87" i="14"/>
  <c r="S118" i="4"/>
  <c r="S117" i="4"/>
  <c r="S19" i="14"/>
  <c r="R117" i="4"/>
  <c r="R19" i="14"/>
  <c r="S77" i="4"/>
  <c r="S14" i="14" s="1"/>
  <c r="S20" i="14" s="1"/>
  <c r="S116" i="4"/>
  <c r="R115" i="4"/>
  <c r="Q26" i="14" s="1"/>
  <c r="R18" i="14"/>
  <c r="R75" i="14" s="1"/>
  <c r="R76" i="14" s="1"/>
  <c r="J132" i="4"/>
  <c r="J113" i="4"/>
  <c r="N132" i="4"/>
  <c r="N113" i="4"/>
  <c r="M132" i="4"/>
  <c r="M113" i="4"/>
  <c r="L132" i="4"/>
  <c r="L113" i="4"/>
  <c r="K132" i="4"/>
  <c r="K113" i="4"/>
  <c r="E56" i="17"/>
  <c r="E57" i="17" s="1"/>
  <c r="E58" i="17" s="1"/>
  <c r="T260" i="3"/>
  <c r="S98" i="4"/>
  <c r="T264" i="3"/>
  <c r="S105" i="4"/>
  <c r="O84" i="4"/>
  <c r="Q83" i="3"/>
  <c r="Q86" i="3" s="1"/>
  <c r="P88" i="3"/>
  <c r="S85" i="3"/>
  <c r="T85" i="3" s="1"/>
  <c r="R253" i="3"/>
  <c r="Q253" i="3"/>
  <c r="P72" i="4" s="1"/>
  <c r="J24" i="4"/>
  <c r="K13" i="17"/>
  <c r="M24" i="4"/>
  <c r="N13" i="17"/>
  <c r="K24" i="4"/>
  <c r="L13" i="17"/>
  <c r="N24" i="4"/>
  <c r="O13" i="17"/>
  <c r="L24" i="4"/>
  <c r="M13" i="17"/>
  <c r="G124" i="4"/>
  <c r="F50" i="14"/>
  <c r="F87" i="14"/>
  <c r="F88" i="14" s="1"/>
  <c r="F54" i="14"/>
  <c r="F60" i="14"/>
  <c r="J44" i="4"/>
  <c r="M44" i="4"/>
  <c r="K44" i="4"/>
  <c r="L44" i="4"/>
  <c r="N44" i="4"/>
  <c r="G46" i="4"/>
  <c r="G40" i="4"/>
  <c r="K21" i="17" l="1"/>
  <c r="J80" i="14"/>
  <c r="O21" i="17"/>
  <c r="N80" i="14"/>
  <c r="N21" i="17"/>
  <c r="M80" i="14"/>
  <c r="L80" i="14"/>
  <c r="M21" i="17"/>
  <c r="L21" i="17"/>
  <c r="K80" i="14"/>
  <c r="R34" i="14"/>
  <c r="S115" i="4"/>
  <c r="R26" i="14" s="1"/>
  <c r="S18" i="14"/>
  <c r="S75" i="14" s="1"/>
  <c r="S76" i="14" s="1"/>
  <c r="P77" i="4"/>
  <c r="P14" i="14" s="1"/>
  <c r="P20" i="14" s="1"/>
  <c r="P116" i="4"/>
  <c r="F29" i="36"/>
  <c r="J6" i="35"/>
  <c r="C10" i="35" s="1"/>
  <c r="C12" i="35" s="1"/>
  <c r="C16" i="35" s="1"/>
  <c r="R83" i="3"/>
  <c r="R86" i="3" s="1"/>
  <c r="Q88" i="3"/>
  <c r="P84" i="4"/>
  <c r="T265" i="3"/>
  <c r="T270" i="3" s="1"/>
  <c r="S267" i="3"/>
  <c r="S268" i="3" s="1"/>
  <c r="Q72" i="4"/>
  <c r="R224" i="3"/>
  <c r="R233" i="3"/>
  <c r="R243" i="3" s="1"/>
  <c r="R244" i="3" s="1"/>
  <c r="R267" i="3"/>
  <c r="R268" i="3" s="1"/>
  <c r="Q267" i="3"/>
  <c r="Q268" i="3" s="1"/>
  <c r="Q224" i="3"/>
  <c r="P98" i="4" s="1"/>
  <c r="Q233" i="3"/>
  <c r="Q243" i="3" s="1"/>
  <c r="Q244" i="3" s="1"/>
  <c r="P105" i="4" s="1"/>
  <c r="L50" i="14"/>
  <c r="L87" i="14"/>
  <c r="L88" i="14" s="1"/>
  <c r="J50" i="14"/>
  <c r="J87" i="14"/>
  <c r="J88" i="14" s="1"/>
  <c r="I50" i="14"/>
  <c r="I87" i="14"/>
  <c r="I88" i="14" s="1"/>
  <c r="F62" i="14"/>
  <c r="F90" i="14"/>
  <c r="G47" i="4"/>
  <c r="M50" i="14"/>
  <c r="M87" i="14"/>
  <c r="M88" i="14" s="1"/>
  <c r="K50" i="14"/>
  <c r="K87" i="14"/>
  <c r="K88" i="14" s="1"/>
  <c r="R86" i="14" l="1"/>
  <c r="R88" i="14" s="1"/>
  <c r="F35" i="36"/>
  <c r="F31" i="36"/>
  <c r="F92" i="36" s="1"/>
  <c r="Q77" i="4"/>
  <c r="Q14" i="14" s="1"/>
  <c r="Q20" i="14" s="1"/>
  <c r="Q116" i="4"/>
  <c r="P115" i="4"/>
  <c r="O26" i="14" s="1"/>
  <c r="P18" i="14"/>
  <c r="P75" i="14" s="1"/>
  <c r="P76" i="14" s="1"/>
  <c r="S83" i="3"/>
  <c r="S86" i="3" s="1"/>
  <c r="R88" i="3"/>
  <c r="Q84" i="4"/>
  <c r="S113" i="4"/>
  <c r="S132" i="4"/>
  <c r="S260" i="3"/>
  <c r="Q98" i="4"/>
  <c r="S264" i="3"/>
  <c r="Q105" i="4"/>
  <c r="R260" i="3"/>
  <c r="Q260" i="3"/>
  <c r="R264" i="3"/>
  <c r="Q264" i="3"/>
  <c r="F95" i="14"/>
  <c r="F97" i="14" s="1"/>
  <c r="F93" i="14"/>
  <c r="F58" i="14"/>
  <c r="F64" i="14"/>
  <c r="F66" i="14" s="1"/>
  <c r="S80" i="14" l="1"/>
  <c r="T21" i="17"/>
  <c r="F57" i="36"/>
  <c r="F59" i="36" s="1"/>
  <c r="F65" i="36" s="1"/>
  <c r="F51" i="36"/>
  <c r="F53" i="36" s="1"/>
  <c r="F94" i="36" s="1"/>
  <c r="F37" i="36"/>
  <c r="Q115" i="4"/>
  <c r="P26" i="14" s="1"/>
  <c r="Q18" i="14"/>
  <c r="Q75" i="14" s="1"/>
  <c r="Q76" i="14" s="1"/>
  <c r="S265" i="3"/>
  <c r="S270" i="3" s="1"/>
  <c r="T83" i="3"/>
  <c r="T86" i="3" s="1"/>
  <c r="S88" i="3"/>
  <c r="R84" i="4"/>
  <c r="R265" i="3"/>
  <c r="R270" i="3" s="1"/>
  <c r="Q265" i="3"/>
  <c r="Q270" i="3" s="1"/>
  <c r="J95" i="4"/>
  <c r="F47" i="36" l="1"/>
  <c r="R132" i="4"/>
  <c r="R113" i="4"/>
  <c r="S84" i="4"/>
  <c r="T88" i="3"/>
  <c r="Q132" i="4"/>
  <c r="Q113" i="4"/>
  <c r="P132" i="4"/>
  <c r="P113" i="4"/>
  <c r="I32" i="14"/>
  <c r="I38" i="14"/>
  <c r="K95" i="4"/>
  <c r="S21" i="17" l="1"/>
  <c r="R80" i="14"/>
  <c r="R21" i="17"/>
  <c r="Q80" i="14"/>
  <c r="Q21" i="17"/>
  <c r="P80" i="14"/>
  <c r="D110" i="36"/>
  <c r="D114" i="36" s="1"/>
  <c r="C106" i="36"/>
  <c r="V65" i="4"/>
  <c r="I65" i="14"/>
  <c r="V83" i="4" l="1"/>
  <c r="L95" i="4"/>
  <c r="V95" i="4" l="1"/>
  <c r="I36" i="14"/>
  <c r="I39" i="14"/>
  <c r="I40" i="14" l="1"/>
  <c r="I61" i="14"/>
  <c r="I71" i="14" l="1"/>
  <c r="I72" i="14" s="1"/>
  <c r="U65" i="4" l="1"/>
  <c r="N74" i="3" l="1"/>
  <c r="M138" i="4" s="1"/>
  <c r="N22" i="17" l="1"/>
  <c r="M78" i="14"/>
  <c r="O158" i="3"/>
  <c r="N138" i="4"/>
  <c r="N75" i="3"/>
  <c r="N157" i="3"/>
  <c r="O22" i="17" l="1"/>
  <c r="N78" i="14"/>
  <c r="O75" i="3"/>
  <c r="N146" i="3"/>
  <c r="N147" i="3" s="1"/>
  <c r="N76" i="3"/>
  <c r="M83" i="4" s="1"/>
  <c r="O146" i="3" l="1"/>
  <c r="O147" i="3" s="1"/>
  <c r="P75" i="3"/>
  <c r="N78" i="3"/>
  <c r="O73" i="3"/>
  <c r="O76" i="3" s="1"/>
  <c r="P73" i="3" s="1"/>
  <c r="P76" i="3" l="1"/>
  <c r="P146" i="3"/>
  <c r="Q75" i="3"/>
  <c r="O78" i="3"/>
  <c r="N83" i="4"/>
  <c r="N97" i="3"/>
  <c r="N94" i="3" s="1"/>
  <c r="M85" i="4" s="1"/>
  <c r="O83" i="4" l="1"/>
  <c r="Q73" i="3"/>
  <c r="Q76" i="3" s="1"/>
  <c r="P83" i="4" s="1"/>
  <c r="P78" i="3"/>
  <c r="O27" i="4"/>
  <c r="O25" i="37" s="1"/>
  <c r="P149" i="3"/>
  <c r="P147" i="3"/>
  <c r="Q146" i="3"/>
  <c r="R75" i="3"/>
  <c r="M95" i="4"/>
  <c r="M142" i="4"/>
  <c r="M149" i="4" s="1"/>
  <c r="U83" i="4"/>
  <c r="O97" i="3"/>
  <c r="O94" i="3" s="1"/>
  <c r="N85" i="4" s="1"/>
  <c r="P97" i="3" l="1"/>
  <c r="P94" i="3" s="1"/>
  <c r="O85" i="4" s="1"/>
  <c r="O142" i="4" s="1"/>
  <c r="O149" i="4" s="1"/>
  <c r="Q97" i="3"/>
  <c r="Q94" i="3" s="1"/>
  <c r="P85" i="4" s="1"/>
  <c r="O28" i="4"/>
  <c r="O126" i="4"/>
  <c r="P166" i="3"/>
  <c r="P169" i="3" s="1"/>
  <c r="P14" i="17"/>
  <c r="P27" i="4"/>
  <c r="P25" i="37" s="1"/>
  <c r="Q149" i="3"/>
  <c r="N142" i="4"/>
  <c r="N149" i="4" s="1"/>
  <c r="Q78" i="3"/>
  <c r="R73" i="3"/>
  <c r="R76" i="3" s="1"/>
  <c r="Q83" i="4" s="1"/>
  <c r="Q147" i="3"/>
  <c r="R146" i="3"/>
  <c r="S75" i="3"/>
  <c r="U85" i="4"/>
  <c r="N95" i="4"/>
  <c r="O37" i="4" l="1"/>
  <c r="O30" i="4"/>
  <c r="P142" i="4"/>
  <c r="P149" i="4" s="1"/>
  <c r="P95" i="4"/>
  <c r="O95" i="4"/>
  <c r="O26" i="37"/>
  <c r="O52" i="14"/>
  <c r="R97" i="3"/>
  <c r="R94" i="3" s="1"/>
  <c r="Q85" i="4" s="1"/>
  <c r="O45" i="4"/>
  <c r="P28" i="4"/>
  <c r="P45" i="4" s="1"/>
  <c r="P126" i="4"/>
  <c r="P170" i="3"/>
  <c r="P15" i="17"/>
  <c r="P18" i="17"/>
  <c r="Q166" i="3"/>
  <c r="Q14" i="17"/>
  <c r="Q27" i="4"/>
  <c r="Q25" i="37" s="1"/>
  <c r="R149" i="3"/>
  <c r="R78" i="3"/>
  <c r="S73" i="3"/>
  <c r="S76" i="3" s="1"/>
  <c r="R147" i="3"/>
  <c r="S146" i="3"/>
  <c r="T75" i="3"/>
  <c r="T146" i="3" s="1"/>
  <c r="U95" i="4"/>
  <c r="O33" i="37" l="1"/>
  <c r="O124" i="4"/>
  <c r="Q95" i="4"/>
  <c r="Q142" i="4"/>
  <c r="Q149" i="4" s="1"/>
  <c r="P30" i="4"/>
  <c r="P26" i="37"/>
  <c r="P52" i="14"/>
  <c r="P37" i="4"/>
  <c r="Q126" i="4"/>
  <c r="Q28" i="4"/>
  <c r="Q15" i="17"/>
  <c r="Q18" i="17"/>
  <c r="R166" i="3"/>
  <c r="R14" i="17"/>
  <c r="O39" i="4"/>
  <c r="O35" i="37" s="1"/>
  <c r="P171" i="3"/>
  <c r="P207" i="3" s="1"/>
  <c r="P208" i="3" s="1"/>
  <c r="O153" i="4" s="1"/>
  <c r="O160" i="4" s="1"/>
  <c r="R27" i="4"/>
  <c r="R25" i="37" s="1"/>
  <c r="S149" i="3"/>
  <c r="S27" i="4"/>
  <c r="S25" i="37" s="1"/>
  <c r="T149" i="3"/>
  <c r="R83" i="4"/>
  <c r="T73" i="3"/>
  <c r="T76" i="3" s="1"/>
  <c r="S78" i="3"/>
  <c r="S147" i="3"/>
  <c r="T147" i="3"/>
  <c r="M155" i="3"/>
  <c r="N155" i="3" s="1"/>
  <c r="O155" i="3" s="1"/>
  <c r="P155" i="3" s="1"/>
  <c r="Q155" i="3" s="1"/>
  <c r="R155" i="3" s="1"/>
  <c r="S155" i="3" s="1"/>
  <c r="T155" i="3" s="1"/>
  <c r="N156" i="3"/>
  <c r="O156" i="3" s="1"/>
  <c r="P156" i="3" s="1"/>
  <c r="Q156" i="3" s="1"/>
  <c r="R156" i="3" s="1"/>
  <c r="S156" i="3" s="1"/>
  <c r="T156" i="3" s="1"/>
  <c r="K149" i="3"/>
  <c r="J27" i="4"/>
  <c r="O157" i="3"/>
  <c r="P157" i="3" s="1"/>
  <c r="Q157" i="3" s="1"/>
  <c r="R157" i="3" s="1"/>
  <c r="S157" i="3" s="1"/>
  <c r="T157" i="3" s="1"/>
  <c r="P33" i="37" l="1"/>
  <c r="P124" i="4"/>
  <c r="Q52" i="14"/>
  <c r="Q26" i="37"/>
  <c r="S97" i="3"/>
  <c r="S94" i="3" s="1"/>
  <c r="R85" i="4" s="1"/>
  <c r="K14" i="17"/>
  <c r="J25" i="37"/>
  <c r="O60" i="14"/>
  <c r="O54" i="14"/>
  <c r="P60" i="14"/>
  <c r="P54" i="14"/>
  <c r="Q45" i="4"/>
  <c r="Q37" i="4"/>
  <c r="Q30" i="4"/>
  <c r="R28" i="4"/>
  <c r="R126" i="4"/>
  <c r="O46" i="4"/>
  <c r="O40" i="4"/>
  <c r="S28" i="4"/>
  <c r="S126" i="4"/>
  <c r="R15" i="17"/>
  <c r="R18" i="17"/>
  <c r="O133" i="4"/>
  <c r="O134" i="4" s="1"/>
  <c r="O162" i="4" s="1"/>
  <c r="P16" i="17"/>
  <c r="P17" i="17" s="1"/>
  <c r="S166" i="3"/>
  <c r="S169" i="3" s="1"/>
  <c r="S14" i="17"/>
  <c r="T166" i="3"/>
  <c r="T169" i="3" s="1"/>
  <c r="T14" i="17"/>
  <c r="T78" i="3"/>
  <c r="S83" i="4"/>
  <c r="K166" i="3"/>
  <c r="K169" i="3" s="1"/>
  <c r="K170" i="3" s="1"/>
  <c r="J126" i="4"/>
  <c r="L149" i="3"/>
  <c r="K27" i="4"/>
  <c r="K25" i="37" s="1"/>
  <c r="K159" i="3"/>
  <c r="L154" i="3"/>
  <c r="J28" i="4"/>
  <c r="R95" i="4" l="1"/>
  <c r="R142" i="4"/>
  <c r="R149" i="4" s="1"/>
  <c r="Q124" i="4"/>
  <c r="Q33" i="37"/>
  <c r="R26" i="37"/>
  <c r="R52" i="14"/>
  <c r="O56" i="14"/>
  <c r="O36" i="37"/>
  <c r="S26" i="37"/>
  <c r="S52" i="14"/>
  <c r="P24" i="17"/>
  <c r="P29" i="17" s="1"/>
  <c r="O81" i="14"/>
  <c r="O82" i="14" s="1"/>
  <c r="T97" i="3"/>
  <c r="T94" i="3" s="1"/>
  <c r="S85" i="4" s="1"/>
  <c r="J37" i="4"/>
  <c r="J26" i="37"/>
  <c r="J52" i="14"/>
  <c r="O90" i="14"/>
  <c r="P90" i="14"/>
  <c r="Q60" i="14"/>
  <c r="Q54" i="14"/>
  <c r="O47" i="4"/>
  <c r="R45" i="4"/>
  <c r="R37" i="4"/>
  <c r="R30" i="4"/>
  <c r="S45" i="4"/>
  <c r="S37" i="4"/>
  <c r="S30" i="4"/>
  <c r="S170" i="3"/>
  <c r="S15" i="17"/>
  <c r="S18" i="17"/>
  <c r="T170" i="3"/>
  <c r="T15" i="17"/>
  <c r="T18" i="17"/>
  <c r="K126" i="4"/>
  <c r="L14" i="17"/>
  <c r="J39" i="4"/>
  <c r="K171" i="3"/>
  <c r="K207" i="3" s="1"/>
  <c r="K208" i="3" s="1"/>
  <c r="J153" i="4" s="1"/>
  <c r="J160" i="4" s="1"/>
  <c r="K28" i="4"/>
  <c r="L166" i="3"/>
  <c r="L169" i="3" s="1"/>
  <c r="L170" i="3" s="1"/>
  <c r="L27" i="4"/>
  <c r="M149" i="3"/>
  <c r="M154" i="3"/>
  <c r="L159" i="3"/>
  <c r="J45" i="4"/>
  <c r="J30" i="4"/>
  <c r="K15" i="17"/>
  <c r="K18" i="17"/>
  <c r="J33" i="37" l="1"/>
  <c r="J124" i="4"/>
  <c r="S95" i="4"/>
  <c r="S142" i="4"/>
  <c r="S149" i="4" s="1"/>
  <c r="S60" i="14"/>
  <c r="S54" i="14"/>
  <c r="R54" i="14"/>
  <c r="R60" i="14"/>
  <c r="R124" i="4"/>
  <c r="R33" i="37"/>
  <c r="S124" i="4"/>
  <c r="S33" i="37"/>
  <c r="J133" i="4"/>
  <c r="J35" i="37"/>
  <c r="K26" i="37"/>
  <c r="K52" i="14"/>
  <c r="M14" i="17"/>
  <c r="L25" i="37"/>
  <c r="O93" i="14"/>
  <c r="O95" i="14"/>
  <c r="O97" i="14" s="1"/>
  <c r="P93" i="14"/>
  <c r="P95" i="14"/>
  <c r="P97" i="14" s="1"/>
  <c r="Q90" i="14"/>
  <c r="R39" i="4"/>
  <c r="R35" i="37" s="1"/>
  <c r="S171" i="3"/>
  <c r="S207" i="3" s="1"/>
  <c r="S208" i="3" s="1"/>
  <c r="R153" i="4" s="1"/>
  <c r="R160" i="4" s="1"/>
  <c r="S39" i="4"/>
  <c r="S35" i="37" s="1"/>
  <c r="T171" i="3"/>
  <c r="T207" i="3" s="1"/>
  <c r="T208" i="3" s="1"/>
  <c r="S153" i="4" s="1"/>
  <c r="S160" i="4" s="1"/>
  <c r="M166" i="3"/>
  <c r="M169" i="3" s="1"/>
  <c r="M170" i="3" s="1"/>
  <c r="L126" i="4"/>
  <c r="K16" i="17"/>
  <c r="K17" i="17" s="1"/>
  <c r="K209" i="3"/>
  <c r="K37" i="4"/>
  <c r="K33" i="37" s="1"/>
  <c r="K45" i="4"/>
  <c r="K30" i="4"/>
  <c r="L18" i="17"/>
  <c r="L15" i="17"/>
  <c r="N149" i="3"/>
  <c r="M27" i="4"/>
  <c r="V27" i="4"/>
  <c r="R169" i="3" s="1"/>
  <c r="L28" i="4"/>
  <c r="M159" i="3"/>
  <c r="N154" i="3"/>
  <c r="I60" i="14"/>
  <c r="I54" i="14"/>
  <c r="J40" i="4"/>
  <c r="J46" i="4"/>
  <c r="J134" i="4" l="1"/>
  <c r="J162" i="4" s="1"/>
  <c r="J165" i="4" s="1"/>
  <c r="S90" i="14"/>
  <c r="R90" i="14"/>
  <c r="K24" i="17"/>
  <c r="K29" i="17" s="1"/>
  <c r="J81" i="14"/>
  <c r="J82" i="14" s="1"/>
  <c r="N14" i="17"/>
  <c r="M25" i="37"/>
  <c r="L26" i="37"/>
  <c r="L52" i="14"/>
  <c r="J56" i="14"/>
  <c r="J36" i="37"/>
  <c r="Q95" i="14"/>
  <c r="Q97" i="14" s="1"/>
  <c r="Q93" i="14"/>
  <c r="R133" i="4"/>
  <c r="R134" i="4" s="1"/>
  <c r="R162" i="4" s="1"/>
  <c r="S16" i="17"/>
  <c r="S17" i="17" s="1"/>
  <c r="R40" i="4"/>
  <c r="R46" i="4"/>
  <c r="S133" i="4"/>
  <c r="S134" i="4" s="1"/>
  <c r="S162" i="4" s="1"/>
  <c r="T16" i="17"/>
  <c r="T17" i="17" s="1"/>
  <c r="S40" i="4"/>
  <c r="S46" i="4"/>
  <c r="R170" i="3"/>
  <c r="N166" i="3"/>
  <c r="N169" i="3" s="1"/>
  <c r="N170" i="3" s="1"/>
  <c r="M126" i="4"/>
  <c r="J60" i="14"/>
  <c r="J54" i="14"/>
  <c r="L206" i="3"/>
  <c r="J54" i="4"/>
  <c r="L39" i="4"/>
  <c r="M171" i="3"/>
  <c r="M207" i="3" s="1"/>
  <c r="M208" i="3" s="1"/>
  <c r="L153" i="4" s="1"/>
  <c r="L160" i="4" s="1"/>
  <c r="K124" i="4"/>
  <c r="K39" i="4"/>
  <c r="K35" i="37" s="1"/>
  <c r="L171" i="3"/>
  <c r="L207" i="3" s="1"/>
  <c r="O149" i="3"/>
  <c r="N27" i="4"/>
  <c r="M28" i="4"/>
  <c r="L37" i="4"/>
  <c r="L45" i="4"/>
  <c r="L30" i="4"/>
  <c r="M18" i="17"/>
  <c r="M15" i="17"/>
  <c r="O154" i="3"/>
  <c r="N159" i="3"/>
  <c r="I62" i="14"/>
  <c r="I90" i="14"/>
  <c r="J47" i="4"/>
  <c r="K163" i="4" l="1"/>
  <c r="J102" i="4"/>
  <c r="R93" i="14"/>
  <c r="R95" i="14"/>
  <c r="R97" i="14" s="1"/>
  <c r="S95" i="14"/>
  <c r="S97" i="14" s="1"/>
  <c r="S93" i="14"/>
  <c r="S24" i="17"/>
  <c r="S29" i="17" s="1"/>
  <c r="R81" i="14"/>
  <c r="R82" i="14" s="1"/>
  <c r="R56" i="14"/>
  <c r="R36" i="37"/>
  <c r="T24" i="17"/>
  <c r="S81" i="14"/>
  <c r="S82" i="14" s="1"/>
  <c r="S36" i="37"/>
  <c r="S56" i="14"/>
  <c r="J55" i="4"/>
  <c r="L133" i="4"/>
  <c r="L35" i="37"/>
  <c r="O14" i="17"/>
  <c r="N25" i="37"/>
  <c r="M52" i="14"/>
  <c r="M26" i="37"/>
  <c r="L124" i="4"/>
  <c r="L33" i="37"/>
  <c r="R47" i="4"/>
  <c r="S47" i="4"/>
  <c r="R171" i="3"/>
  <c r="R207" i="3" s="1"/>
  <c r="R208" i="3" s="1"/>
  <c r="Q153" i="4" s="1"/>
  <c r="Q160" i="4" s="1"/>
  <c r="Q39" i="4"/>
  <c r="O159" i="3"/>
  <c r="P154" i="3"/>
  <c r="K40" i="4"/>
  <c r="K133" i="4"/>
  <c r="K134" i="4" s="1"/>
  <c r="O166" i="3"/>
  <c r="O169" i="3" s="1"/>
  <c r="O170" i="3" s="1"/>
  <c r="N126" i="4"/>
  <c r="J90" i="14"/>
  <c r="I26" i="14"/>
  <c r="L208" i="3"/>
  <c r="V39" i="4"/>
  <c r="M16" i="17"/>
  <c r="M17" i="17" s="1"/>
  <c r="L16" i="17"/>
  <c r="L17" i="17" s="1"/>
  <c r="K46" i="4"/>
  <c r="M39" i="4"/>
  <c r="N171" i="3"/>
  <c r="N207" i="3" s="1"/>
  <c r="N208" i="3" s="1"/>
  <c r="M153" i="4" s="1"/>
  <c r="M160" i="4" s="1"/>
  <c r="N28" i="4"/>
  <c r="U27" i="4"/>
  <c r="Q169" i="3" s="1"/>
  <c r="M30" i="4"/>
  <c r="M37" i="4"/>
  <c r="M45" i="4"/>
  <c r="N18" i="17"/>
  <c r="N15" i="17"/>
  <c r="K54" i="14"/>
  <c r="K60" i="14"/>
  <c r="L40" i="4"/>
  <c r="L46" i="4"/>
  <c r="I95" i="14"/>
  <c r="I97" i="14" s="1"/>
  <c r="I93" i="14"/>
  <c r="I64" i="14"/>
  <c r="I66" i="14" s="1"/>
  <c r="I58" i="14"/>
  <c r="K1222" i="18" l="1"/>
  <c r="K1226" i="18" s="1"/>
  <c r="J107" i="4"/>
  <c r="L134" i="4"/>
  <c r="L162" i="4" s="1"/>
  <c r="T29" i="17"/>
  <c r="E35" i="17"/>
  <c r="S64" i="14"/>
  <c r="S58" i="14"/>
  <c r="J57" i="4"/>
  <c r="R16" i="17"/>
  <c r="R17" i="17" s="1"/>
  <c r="Q35" i="37"/>
  <c r="K56" i="14"/>
  <c r="K36" i="37"/>
  <c r="M24" i="17"/>
  <c r="M29" i="17" s="1"/>
  <c r="L81" i="14"/>
  <c r="L82" i="14" s="1"/>
  <c r="L24" i="17"/>
  <c r="L29" i="17" s="1"/>
  <c r="K81" i="14"/>
  <c r="K82" i="14" s="1"/>
  <c r="M133" i="4"/>
  <c r="M35" i="37"/>
  <c r="N26" i="37"/>
  <c r="N52" i="14"/>
  <c r="M124" i="4"/>
  <c r="M33" i="37"/>
  <c r="L56" i="14"/>
  <c r="L36" i="37"/>
  <c r="R64" i="14"/>
  <c r="R58" i="14"/>
  <c r="Q40" i="4"/>
  <c r="Q46" i="4"/>
  <c r="Q133" i="4"/>
  <c r="Q134" i="4" s="1"/>
  <c r="Q162" i="4" s="1"/>
  <c r="P159" i="3"/>
  <c r="Q154" i="3"/>
  <c r="Q170" i="3"/>
  <c r="L209" i="3"/>
  <c r="K153" i="4"/>
  <c r="K160" i="4" s="1"/>
  <c r="K162" i="4" s="1"/>
  <c r="K165" i="4" s="1"/>
  <c r="K47" i="4"/>
  <c r="J93" i="14"/>
  <c r="J95" i="14"/>
  <c r="J97" i="14" s="1"/>
  <c r="N16" i="17"/>
  <c r="N17" i="17" s="1"/>
  <c r="N39" i="4"/>
  <c r="O171" i="3"/>
  <c r="O207" i="3" s="1"/>
  <c r="O208" i="3" s="1"/>
  <c r="N153" i="4" s="1"/>
  <c r="N160" i="4" s="1"/>
  <c r="N37" i="4"/>
  <c r="N45" i="4"/>
  <c r="N30" i="4"/>
  <c r="O15" i="17"/>
  <c r="O18" i="17"/>
  <c r="L54" i="14"/>
  <c r="L60" i="14"/>
  <c r="M46" i="4"/>
  <c r="M40" i="4"/>
  <c r="K90" i="14"/>
  <c r="L47" i="4"/>
  <c r="J13" i="14" l="1"/>
  <c r="J109" i="4"/>
  <c r="M134" i="4"/>
  <c r="M162" i="4" s="1"/>
  <c r="J31" i="14"/>
  <c r="Q81" i="14"/>
  <c r="Q82" i="14" s="1"/>
  <c r="R24" i="17"/>
  <c r="R29" i="17" s="1"/>
  <c r="N54" i="14"/>
  <c r="N60" i="14"/>
  <c r="Q56" i="14"/>
  <c r="Q36" i="37"/>
  <c r="J82" i="37"/>
  <c r="J80" i="37"/>
  <c r="J35" i="14"/>
  <c r="J98" i="37"/>
  <c r="J95" i="37"/>
  <c r="J92" i="37"/>
  <c r="J90" i="37"/>
  <c r="J81" i="37"/>
  <c r="J79" i="37"/>
  <c r="J94" i="37"/>
  <c r="J93" i="37"/>
  <c r="J87" i="37"/>
  <c r="J83" i="37"/>
  <c r="J78" i="37"/>
  <c r="J75" i="37"/>
  <c r="J76" i="37"/>
  <c r="J72" i="37"/>
  <c r="J89" i="37"/>
  <c r="J74" i="37"/>
  <c r="J73" i="37"/>
  <c r="J84" i="37"/>
  <c r="J91" i="37"/>
  <c r="N24" i="17"/>
  <c r="N29" i="17" s="1"/>
  <c r="M81" i="14"/>
  <c r="M82" i="14" s="1"/>
  <c r="N133" i="4"/>
  <c r="N35" i="37"/>
  <c r="N124" i="4"/>
  <c r="N134" i="4" s="1"/>
  <c r="N162" i="4" s="1"/>
  <c r="N33" i="37"/>
  <c r="M36" i="37"/>
  <c r="M56" i="14"/>
  <c r="Q47" i="4"/>
  <c r="Q171" i="3"/>
  <c r="Q207" i="3" s="1"/>
  <c r="Q208" i="3" s="1"/>
  <c r="P153" i="4" s="1"/>
  <c r="P160" i="4" s="1"/>
  <c r="P39" i="4"/>
  <c r="Q159" i="3"/>
  <c r="R154" i="3"/>
  <c r="K102" i="4"/>
  <c r="L163" i="4"/>
  <c r="L165" i="4" s="1"/>
  <c r="K54" i="4"/>
  <c r="M206" i="3"/>
  <c r="M209" i="3" s="1"/>
  <c r="J64" i="14"/>
  <c r="J58" i="14"/>
  <c r="J79" i="4"/>
  <c r="J46" i="37" s="1"/>
  <c r="U39" i="4"/>
  <c r="O16" i="17"/>
  <c r="O17" i="17" s="1"/>
  <c r="N40" i="4"/>
  <c r="N46" i="4"/>
  <c r="M54" i="14"/>
  <c r="M60" i="14"/>
  <c r="L90" i="14"/>
  <c r="M47" i="4"/>
  <c r="K93" i="14"/>
  <c r="K95" i="14"/>
  <c r="K97" i="14" s="1"/>
  <c r="K64" i="14"/>
  <c r="K58" i="14"/>
  <c r="J96" i="37" l="1"/>
  <c r="K1228" i="18"/>
  <c r="K1230" i="18" s="1"/>
  <c r="J38" i="14"/>
  <c r="J32" i="14"/>
  <c r="N90" i="14"/>
  <c r="Q58" i="14"/>
  <c r="Q64" i="14"/>
  <c r="J39" i="14"/>
  <c r="J61" i="14" s="1"/>
  <c r="J36" i="14"/>
  <c r="Q16" i="17"/>
  <c r="Q17" i="17" s="1"/>
  <c r="P35" i="37"/>
  <c r="J68" i="37"/>
  <c r="J66" i="37"/>
  <c r="J62" i="37"/>
  <c r="J50" i="37"/>
  <c r="J45" i="37"/>
  <c r="J64" i="37"/>
  <c r="J63" i="37"/>
  <c r="J52" i="37"/>
  <c r="J51" i="37"/>
  <c r="J65" i="37"/>
  <c r="J61" i="37"/>
  <c r="J60" i="37"/>
  <c r="J59" i="37"/>
  <c r="J55" i="37"/>
  <c r="J54" i="37"/>
  <c r="J53" i="37"/>
  <c r="J42" i="37"/>
  <c r="J43" i="37"/>
  <c r="J44" i="37"/>
  <c r="O24" i="17"/>
  <c r="N81" i="14"/>
  <c r="N82" i="14" s="1"/>
  <c r="N56" i="14"/>
  <c r="N36" i="37"/>
  <c r="P40" i="4"/>
  <c r="P46" i="4"/>
  <c r="P133" i="4"/>
  <c r="P134" i="4" s="1"/>
  <c r="P162" i="4" s="1"/>
  <c r="R159" i="3"/>
  <c r="S154" i="3"/>
  <c r="K107" i="4"/>
  <c r="L1222" i="18"/>
  <c r="J111" i="4"/>
  <c r="M163" i="4"/>
  <c r="M165" i="4" s="1"/>
  <c r="L102" i="4"/>
  <c r="K55" i="4"/>
  <c r="J26" i="14"/>
  <c r="L54" i="4"/>
  <c r="N206" i="3"/>
  <c r="N209" i="3" s="1"/>
  <c r="I17" i="14"/>
  <c r="I21" i="14" s="1"/>
  <c r="I15" i="14"/>
  <c r="N47" i="4"/>
  <c r="M90" i="14"/>
  <c r="L95" i="14"/>
  <c r="L97" i="14" s="1"/>
  <c r="L93" i="14"/>
  <c r="L64" i="14"/>
  <c r="L58" i="14"/>
  <c r="E36" i="17" l="1"/>
  <c r="E37" i="17" s="1"/>
  <c r="O29" i="17"/>
  <c r="J40" i="14"/>
  <c r="J65" i="14"/>
  <c r="J66" i="14" s="1"/>
  <c r="N93" i="14"/>
  <c r="N95" i="14"/>
  <c r="N97" i="14" s="1"/>
  <c r="J62" i="14"/>
  <c r="J71" i="14"/>
  <c r="J72" i="14" s="1"/>
  <c r="P81" i="14"/>
  <c r="P82" i="14" s="1"/>
  <c r="Q24" i="17"/>
  <c r="Q29" i="17" s="1"/>
  <c r="N58" i="14"/>
  <c r="N64" i="14"/>
  <c r="P36" i="37"/>
  <c r="P56" i="14"/>
  <c r="K13" i="14"/>
  <c r="P47" i="4"/>
  <c r="S159" i="3"/>
  <c r="T154" i="3"/>
  <c r="T159" i="3" s="1"/>
  <c r="K109" i="4"/>
  <c r="L1226" i="18"/>
  <c r="L107" i="4"/>
  <c r="M1222" i="18"/>
  <c r="N163" i="4"/>
  <c r="N165" i="4" s="1"/>
  <c r="M102" i="4"/>
  <c r="K57" i="4"/>
  <c r="K26" i="14"/>
  <c r="V54" i="4"/>
  <c r="L55" i="4"/>
  <c r="M54" i="4"/>
  <c r="O206" i="3"/>
  <c r="O209" i="3" s="1"/>
  <c r="M58" i="14"/>
  <c r="M64" i="14"/>
  <c r="M95" i="14"/>
  <c r="M97" i="14" s="1"/>
  <c r="M93" i="14"/>
  <c r="E38" i="17" l="1"/>
  <c r="E39" i="17" s="1"/>
  <c r="C9" i="47" s="1"/>
  <c r="E59" i="17"/>
  <c r="E60" i="17" s="1"/>
  <c r="P64" i="14"/>
  <c r="P58" i="14"/>
  <c r="L1228" i="18"/>
  <c r="L1230" i="18" s="1"/>
  <c r="K96" i="37"/>
  <c r="K81" i="37"/>
  <c r="K79" i="37"/>
  <c r="K78" i="37"/>
  <c r="K94" i="37"/>
  <c r="K93" i="37"/>
  <c r="K83" i="37"/>
  <c r="K82" i="37"/>
  <c r="K80" i="37"/>
  <c r="K75" i="37"/>
  <c r="K98" i="37"/>
  <c r="K95" i="37"/>
  <c r="K92" i="37"/>
  <c r="K90" i="37"/>
  <c r="K87" i="37"/>
  <c r="K35" i="14"/>
  <c r="K76" i="37"/>
  <c r="K89" i="37"/>
  <c r="K72" i="37"/>
  <c r="K73" i="37"/>
  <c r="K74" i="37"/>
  <c r="K84" i="37"/>
  <c r="K91" i="37"/>
  <c r="L13" i="14"/>
  <c r="K31" i="14"/>
  <c r="M55" i="4"/>
  <c r="M57" i="4" s="1"/>
  <c r="O64" i="14"/>
  <c r="O58" i="14"/>
  <c r="N102" i="4"/>
  <c r="O163" i="4"/>
  <c r="O165" i="4" s="1"/>
  <c r="N54" i="4"/>
  <c r="P206" i="3"/>
  <c r="P209" i="3" s="1"/>
  <c r="L109" i="4"/>
  <c r="M1226" i="18"/>
  <c r="M107" i="4"/>
  <c r="N1222" i="18"/>
  <c r="L26" i="14"/>
  <c r="K79" i="4"/>
  <c r="V55" i="4"/>
  <c r="L57" i="4"/>
  <c r="E68" i="17" l="1"/>
  <c r="C10" i="47"/>
  <c r="E40" i="17"/>
  <c r="E62" i="17"/>
  <c r="E47" i="17"/>
  <c r="E61" i="17"/>
  <c r="E41" i="17"/>
  <c r="K39" i="14"/>
  <c r="K61" i="14" s="1"/>
  <c r="K36" i="14"/>
  <c r="K32" i="14"/>
  <c r="K38" i="14"/>
  <c r="M1228" i="18"/>
  <c r="M1230" i="18" s="1"/>
  <c r="L98" i="37"/>
  <c r="L96" i="37"/>
  <c r="L87" i="37"/>
  <c r="L80" i="37"/>
  <c r="L79" i="37"/>
  <c r="L81" i="37"/>
  <c r="L78" i="37"/>
  <c r="L93" i="37"/>
  <c r="L94" i="37"/>
  <c r="L35" i="14"/>
  <c r="L95" i="37"/>
  <c r="L83" i="37"/>
  <c r="L92" i="37"/>
  <c r="L90" i="37"/>
  <c r="L82" i="37"/>
  <c r="L75" i="37"/>
  <c r="L72" i="37"/>
  <c r="L89" i="37"/>
  <c r="L76" i="37"/>
  <c r="L74" i="37"/>
  <c r="L73" i="37"/>
  <c r="L84" i="37"/>
  <c r="L91" i="37"/>
  <c r="M13" i="14"/>
  <c r="K111" i="4"/>
  <c r="K46" i="37"/>
  <c r="K65" i="37"/>
  <c r="K50" i="37"/>
  <c r="K59" i="37"/>
  <c r="K52" i="37"/>
  <c r="K68" i="37"/>
  <c r="K66" i="37"/>
  <c r="K63" i="37"/>
  <c r="K62" i="37"/>
  <c r="K45" i="37"/>
  <c r="K42" i="37"/>
  <c r="K61" i="37"/>
  <c r="K60" i="37"/>
  <c r="K51" i="37"/>
  <c r="K55" i="37"/>
  <c r="K54" i="37"/>
  <c r="K53" i="37"/>
  <c r="K43" i="37"/>
  <c r="K64" i="37"/>
  <c r="K44" i="37"/>
  <c r="L31" i="14"/>
  <c r="M31" i="14"/>
  <c r="N107" i="4"/>
  <c r="O1222" i="18"/>
  <c r="O1226" i="18" s="1"/>
  <c r="P163" i="4"/>
  <c r="P165" i="4" s="1"/>
  <c r="O102" i="4"/>
  <c r="Q206" i="3"/>
  <c r="Q209" i="3" s="1"/>
  <c r="O54" i="4"/>
  <c r="N55" i="4"/>
  <c r="U54" i="4"/>
  <c r="M26" i="14"/>
  <c r="M109" i="4"/>
  <c r="M96" i="37" s="1"/>
  <c r="N1226" i="18"/>
  <c r="J15" i="14"/>
  <c r="J17" i="14"/>
  <c r="J21" i="14" s="1"/>
  <c r="L79" i="4"/>
  <c r="M79" i="4"/>
  <c r="K62" i="14" l="1"/>
  <c r="K71" i="14"/>
  <c r="K72" i="14" s="1"/>
  <c r="K40" i="14"/>
  <c r="K65" i="14"/>
  <c r="K66" i="14" s="1"/>
  <c r="L39" i="14"/>
  <c r="L61" i="14" s="1"/>
  <c r="L36" i="14"/>
  <c r="L38" i="14"/>
  <c r="L32" i="14"/>
  <c r="M38" i="14"/>
  <c r="M32" i="14"/>
  <c r="N13" i="14"/>
  <c r="O107" i="4"/>
  <c r="O109" i="4" s="1"/>
  <c r="O91" i="37" s="1"/>
  <c r="N1228" i="18"/>
  <c r="N1230" i="18" s="1"/>
  <c r="M72" i="37"/>
  <c r="M75" i="37"/>
  <c r="M89" i="37"/>
  <c r="M95" i="37"/>
  <c r="M76" i="37"/>
  <c r="M73" i="37"/>
  <c r="M35" i="14"/>
  <c r="M78" i="37"/>
  <c r="M82" i="37"/>
  <c r="M92" i="37"/>
  <c r="M90" i="37"/>
  <c r="M87" i="37"/>
  <c r="M83" i="37"/>
  <c r="M93" i="37"/>
  <c r="M81" i="37"/>
  <c r="M94" i="37"/>
  <c r="M98" i="37"/>
  <c r="M80" i="37"/>
  <c r="M79" i="37"/>
  <c r="M74" i="37"/>
  <c r="M84" i="37"/>
  <c r="M91" i="37"/>
  <c r="V79" i="4"/>
  <c r="L50" i="37"/>
  <c r="L68" i="37"/>
  <c r="L66" i="37"/>
  <c r="L59" i="37"/>
  <c r="L45" i="37"/>
  <c r="L42" i="37"/>
  <c r="L65" i="37"/>
  <c r="L64" i="37"/>
  <c r="L62" i="37"/>
  <c r="L61" i="37"/>
  <c r="L60" i="37"/>
  <c r="L55" i="37"/>
  <c r="L53" i="37"/>
  <c r="L52" i="37"/>
  <c r="L54" i="37"/>
  <c r="L46" i="37"/>
  <c r="L63" i="37"/>
  <c r="L43" i="37"/>
  <c r="L51" i="37"/>
  <c r="L44" i="37"/>
  <c r="M64" i="37"/>
  <c r="M59" i="37"/>
  <c r="M55" i="37"/>
  <c r="M60" i="37"/>
  <c r="M53" i="37"/>
  <c r="M54" i="37"/>
  <c r="M45" i="37"/>
  <c r="M61" i="37"/>
  <c r="M42" i="37"/>
  <c r="M62" i="37"/>
  <c r="M68" i="37"/>
  <c r="M66" i="37"/>
  <c r="M46" i="37"/>
  <c r="M65" i="37"/>
  <c r="M50" i="37"/>
  <c r="M63" i="37"/>
  <c r="M51" i="37"/>
  <c r="M52" i="37"/>
  <c r="M44" i="37"/>
  <c r="M43" i="37"/>
  <c r="N109" i="4"/>
  <c r="N96" i="37" s="1"/>
  <c r="P102" i="4"/>
  <c r="Q163" i="4"/>
  <c r="Q165" i="4" s="1"/>
  <c r="P54" i="4"/>
  <c r="R206" i="3"/>
  <c r="R209" i="3" s="1"/>
  <c r="O55" i="4"/>
  <c r="N57" i="4"/>
  <c r="U55" i="4"/>
  <c r="K17" i="14"/>
  <c r="K21" i="14" s="1"/>
  <c r="K15" i="14"/>
  <c r="L111" i="4"/>
  <c r="L15" i="14"/>
  <c r="L17" i="14"/>
  <c r="L21" i="14" s="1"/>
  <c r="M111" i="4"/>
  <c r="N17" i="14" l="1"/>
  <c r="N21" i="14" s="1"/>
  <c r="N15" i="14"/>
  <c r="L62" i="14"/>
  <c r="L71" i="14"/>
  <c r="L72" i="14" s="1"/>
  <c r="L40" i="14"/>
  <c r="L65" i="14"/>
  <c r="L66" i="14" s="1"/>
  <c r="M65" i="14"/>
  <c r="M66" i="14" s="1"/>
  <c r="O96" i="37"/>
  <c r="O13" i="14"/>
  <c r="M39" i="14"/>
  <c r="M36" i="14"/>
  <c r="O1228" i="18"/>
  <c r="O1230" i="18" s="1"/>
  <c r="N89" i="37"/>
  <c r="N82" i="37"/>
  <c r="N81" i="37"/>
  <c r="N93" i="37"/>
  <c r="N79" i="37"/>
  <c r="N78" i="37"/>
  <c r="N80" i="37"/>
  <c r="N83" i="37"/>
  <c r="N35" i="14"/>
  <c r="N98" i="37"/>
  <c r="N75" i="37"/>
  <c r="N95" i="37"/>
  <c r="N74" i="37"/>
  <c r="N76" i="37"/>
  <c r="N73" i="37"/>
  <c r="N87" i="37"/>
  <c r="N72" i="37"/>
  <c r="N90" i="37"/>
  <c r="N91" i="37"/>
  <c r="N92" i="37"/>
  <c r="N84" i="37"/>
  <c r="N94" i="37"/>
  <c r="P107" i="4"/>
  <c r="P109" i="4" s="1"/>
  <c r="O80" i="37"/>
  <c r="O89" i="37"/>
  <c r="O35" i="14"/>
  <c r="O93" i="37"/>
  <c r="O73" i="37"/>
  <c r="O75" i="37"/>
  <c r="O81" i="37"/>
  <c r="O82" i="37"/>
  <c r="O83" i="37"/>
  <c r="O87" i="37"/>
  <c r="O90" i="37"/>
  <c r="O98" i="37"/>
  <c r="O79" i="37"/>
  <c r="O92" i="37"/>
  <c r="O76" i="37"/>
  <c r="O78" i="37"/>
  <c r="O95" i="37"/>
  <c r="O72" i="37"/>
  <c r="O74" i="37"/>
  <c r="O84" i="37"/>
  <c r="O94" i="37"/>
  <c r="O57" i="4"/>
  <c r="N31" i="14"/>
  <c r="N79" i="4"/>
  <c r="R163" i="4"/>
  <c r="R165" i="4" s="1"/>
  <c r="Q102" i="4"/>
  <c r="P55" i="4"/>
  <c r="Q54" i="4"/>
  <c r="S206" i="3"/>
  <c r="S209" i="3" s="1"/>
  <c r="O15" i="14" l="1"/>
  <c r="O17" i="14"/>
  <c r="O21" i="14" s="1"/>
  <c r="N36" i="14"/>
  <c r="N39" i="14"/>
  <c r="N61" i="14" s="1"/>
  <c r="P96" i="37"/>
  <c r="P13" i="14"/>
  <c r="O36" i="14"/>
  <c r="O39" i="14"/>
  <c r="O61" i="14" s="1"/>
  <c r="O31" i="14"/>
  <c r="O79" i="4"/>
  <c r="N32" i="14"/>
  <c r="N38" i="14"/>
  <c r="N44" i="37"/>
  <c r="N43" i="37"/>
  <c r="N42" i="37"/>
  <c r="N45" i="37"/>
  <c r="N51" i="37"/>
  <c r="N52" i="37"/>
  <c r="N53" i="37"/>
  <c r="N54" i="37"/>
  <c r="N55" i="37"/>
  <c r="N60" i="37"/>
  <c r="N61" i="37"/>
  <c r="N62" i="37"/>
  <c r="N68" i="37"/>
  <c r="N50" i="37"/>
  <c r="N63" i="37"/>
  <c r="N59" i="37"/>
  <c r="N64" i="37"/>
  <c r="N65" i="37"/>
  <c r="N66" i="37"/>
  <c r="M61" i="14"/>
  <c r="M40" i="14"/>
  <c r="N46" i="37"/>
  <c r="N111" i="4"/>
  <c r="U79" i="4"/>
  <c r="P91" i="37"/>
  <c r="P79" i="37"/>
  <c r="P78" i="37"/>
  <c r="P94" i="37"/>
  <c r="P87" i="37"/>
  <c r="P89" i="37"/>
  <c r="P76" i="37"/>
  <c r="P35" i="14"/>
  <c r="P73" i="37"/>
  <c r="P72" i="37"/>
  <c r="P74" i="37"/>
  <c r="P84" i="37"/>
  <c r="P95" i="37"/>
  <c r="P93" i="37"/>
  <c r="P92" i="37"/>
  <c r="P90" i="37"/>
  <c r="P83" i="37"/>
  <c r="P82" i="37"/>
  <c r="P81" i="37"/>
  <c r="P80" i="37"/>
  <c r="P75" i="37"/>
  <c r="P98" i="37"/>
  <c r="Q107" i="4"/>
  <c r="Q109" i="4" s="1"/>
  <c r="P57" i="4"/>
  <c r="M15" i="14"/>
  <c r="M17" i="14"/>
  <c r="M21" i="14" s="1"/>
  <c r="R102" i="4"/>
  <c r="S163" i="4"/>
  <c r="S165" i="4" s="1"/>
  <c r="S102" i="4" s="1"/>
  <c r="Q55" i="4"/>
  <c r="R54" i="4"/>
  <c r="T206" i="3"/>
  <c r="T209" i="3" s="1"/>
  <c r="S54" i="4" s="1"/>
  <c r="P15" i="14" l="1"/>
  <c r="P17" i="14"/>
  <c r="P21" i="14" s="1"/>
  <c r="O46" i="37"/>
  <c r="O44" i="37"/>
  <c r="O111" i="4"/>
  <c r="N62" i="14"/>
  <c r="N71" i="14"/>
  <c r="N72" i="14" s="1"/>
  <c r="O62" i="14"/>
  <c r="O71" i="14"/>
  <c r="O72" i="14" s="1"/>
  <c r="O32" i="14"/>
  <c r="O38" i="14"/>
  <c r="O43" i="37"/>
  <c r="O62" i="37"/>
  <c r="O61" i="37"/>
  <c r="O68" i="37"/>
  <c r="O60" i="37"/>
  <c r="O55" i="37"/>
  <c r="O53" i="37"/>
  <c r="O42" i="37"/>
  <c r="O52" i="37"/>
  <c r="O63" i="37"/>
  <c r="O54" i="37"/>
  <c r="O51" i="37"/>
  <c r="O59" i="37"/>
  <c r="O64" i="37"/>
  <c r="O65" i="37"/>
  <c r="O66" i="37"/>
  <c r="O50" i="37"/>
  <c r="O45" i="37"/>
  <c r="N40" i="14"/>
  <c r="N65" i="14"/>
  <c r="N66" i="14" s="1"/>
  <c r="M71" i="14"/>
  <c r="M72" i="14" s="1"/>
  <c r="M62" i="14"/>
  <c r="P36" i="14"/>
  <c r="P39" i="14"/>
  <c r="P61" i="14" s="1"/>
  <c r="Q96" i="37"/>
  <c r="Q13" i="14"/>
  <c r="P31" i="14"/>
  <c r="P79" i="4"/>
  <c r="R107" i="4"/>
  <c r="R109" i="4" s="1"/>
  <c r="R91" i="37" s="1"/>
  <c r="S107" i="4"/>
  <c r="S109" i="4" s="1"/>
  <c r="S91" i="37" s="1"/>
  <c r="Q91" i="37"/>
  <c r="Q81" i="37"/>
  <c r="Q80" i="37"/>
  <c r="Q75" i="37"/>
  <c r="Q78" i="37"/>
  <c r="Q95" i="37"/>
  <c r="Q94" i="37"/>
  <c r="Q93" i="37"/>
  <c r="Q92" i="37"/>
  <c r="Q90" i="37"/>
  <c r="Q83" i="37"/>
  <c r="Q82" i="37"/>
  <c r="Q35" i="14"/>
  <c r="Q76" i="37"/>
  <c r="Q73" i="37"/>
  <c r="Q74" i="37"/>
  <c r="Q72" i="37"/>
  <c r="Q84" i="37"/>
  <c r="Q87" i="37"/>
  <c r="Q98" i="37"/>
  <c r="Q89" i="37"/>
  <c r="Q79" i="37"/>
  <c r="Q57" i="4"/>
  <c r="R55" i="4"/>
  <c r="S55" i="4"/>
  <c r="Q17" i="14" l="1"/>
  <c r="Q21" i="14" s="1"/>
  <c r="Q15" i="14"/>
  <c r="P46" i="37"/>
  <c r="P111" i="4"/>
  <c r="P44" i="37"/>
  <c r="O40" i="14"/>
  <c r="O65" i="14"/>
  <c r="O66" i="14" s="1"/>
  <c r="P62" i="14"/>
  <c r="P71" i="14"/>
  <c r="P72" i="14" s="1"/>
  <c r="P32" i="14"/>
  <c r="P38" i="14"/>
  <c r="P43" i="37"/>
  <c r="P61" i="37"/>
  <c r="P62" i="37"/>
  <c r="P63" i="37"/>
  <c r="P68" i="37"/>
  <c r="P54" i="37"/>
  <c r="P42" i="37"/>
  <c r="P50" i="37"/>
  <c r="P51" i="37"/>
  <c r="P52" i="37"/>
  <c r="P53" i="37"/>
  <c r="P55" i="37"/>
  <c r="P59" i="37"/>
  <c r="P60" i="37"/>
  <c r="P45" i="37"/>
  <c r="P64" i="37"/>
  <c r="P65" i="37"/>
  <c r="P66" i="37"/>
  <c r="R96" i="37"/>
  <c r="R13" i="14"/>
  <c r="S96" i="37"/>
  <c r="S13" i="14"/>
  <c r="Q36" i="14"/>
  <c r="Q39" i="14"/>
  <c r="Q61" i="14" s="1"/>
  <c r="Q31" i="14"/>
  <c r="Q79" i="4"/>
  <c r="R92" i="37"/>
  <c r="R79" i="37"/>
  <c r="R72" i="37"/>
  <c r="R98" i="37"/>
  <c r="R82" i="37"/>
  <c r="R93" i="37"/>
  <c r="R81" i="37"/>
  <c r="R95" i="37"/>
  <c r="R83" i="37"/>
  <c r="R80" i="37"/>
  <c r="R94" i="37"/>
  <c r="R90" i="37"/>
  <c r="R75" i="37"/>
  <c r="R78" i="37"/>
  <c r="R76" i="37"/>
  <c r="R89" i="37"/>
  <c r="R73" i="37"/>
  <c r="R87" i="37"/>
  <c r="R74" i="37"/>
  <c r="R35" i="14"/>
  <c r="R84" i="37"/>
  <c r="S80" i="37"/>
  <c r="S78" i="37"/>
  <c r="S83" i="37"/>
  <c r="S82" i="37"/>
  <c r="S95" i="37"/>
  <c r="S79" i="37"/>
  <c r="S75" i="37"/>
  <c r="S94" i="37"/>
  <c r="S98" i="37"/>
  <c r="S90" i="37"/>
  <c r="S35" i="14"/>
  <c r="S93" i="37"/>
  <c r="S89" i="37"/>
  <c r="S76" i="37"/>
  <c r="S87" i="37"/>
  <c r="S73" i="37"/>
  <c r="S81" i="37"/>
  <c r="S92" i="37"/>
  <c r="S74" i="37"/>
  <c r="S72" i="37"/>
  <c r="S84" i="37"/>
  <c r="R57" i="4"/>
  <c r="S57" i="4"/>
  <c r="R15" i="14" l="1"/>
  <c r="R17" i="14"/>
  <c r="R21" i="14" s="1"/>
  <c r="S15" i="14"/>
  <c r="S17" i="14"/>
  <c r="S21" i="14" s="1"/>
  <c r="Q46" i="37"/>
  <c r="Q44" i="37"/>
  <c r="Q111" i="4"/>
  <c r="P40" i="14"/>
  <c r="P65" i="14"/>
  <c r="P66" i="14" s="1"/>
  <c r="Q62" i="14"/>
  <c r="Q71" i="14"/>
  <c r="Q72" i="14" s="1"/>
  <c r="Q32" i="14"/>
  <c r="Q38" i="14"/>
  <c r="Q43" i="37"/>
  <c r="Q45" i="37"/>
  <c r="Q50" i="37"/>
  <c r="Q64" i="37"/>
  <c r="Q42" i="37"/>
  <c r="Q51" i="37"/>
  <c r="Q52" i="37"/>
  <c r="Q53" i="37"/>
  <c r="Q54" i="37"/>
  <c r="Q59" i="37"/>
  <c r="Q60" i="37"/>
  <c r="Q62" i="37"/>
  <c r="Q63" i="37"/>
  <c r="Q66" i="37"/>
  <c r="Q55" i="37"/>
  <c r="Q61" i="37"/>
  <c r="Q65" i="37"/>
  <c r="Q68" i="37"/>
  <c r="R36" i="14"/>
  <c r="R39" i="14"/>
  <c r="R61" i="14" s="1"/>
  <c r="S36" i="14"/>
  <c r="S39" i="14"/>
  <c r="S61" i="14" s="1"/>
  <c r="R31" i="14"/>
  <c r="R79" i="4"/>
  <c r="R46" i="37" s="1"/>
  <c r="S31" i="14"/>
  <c r="S79" i="4"/>
  <c r="R44" i="37" l="1"/>
  <c r="R111" i="4"/>
  <c r="S46" i="37"/>
  <c r="S44" i="37"/>
  <c r="S111" i="4"/>
  <c r="Q40" i="14"/>
  <c r="Q65" i="14"/>
  <c r="Q66" i="14" s="1"/>
  <c r="R62" i="14"/>
  <c r="R71" i="14"/>
  <c r="R72" i="14" s="1"/>
  <c r="S62" i="14"/>
  <c r="S71" i="14"/>
  <c r="S72" i="14" s="1"/>
  <c r="R32" i="14"/>
  <c r="R38" i="14"/>
  <c r="R43" i="37"/>
  <c r="R64" i="37"/>
  <c r="R63" i="37"/>
  <c r="R51" i="37"/>
  <c r="R66" i="37"/>
  <c r="R55" i="37"/>
  <c r="R61" i="37"/>
  <c r="R65" i="37"/>
  <c r="R68" i="37"/>
  <c r="R45" i="37"/>
  <c r="R50" i="37"/>
  <c r="R52" i="37"/>
  <c r="R59" i="37"/>
  <c r="R42" i="37"/>
  <c r="R62" i="37"/>
  <c r="R53" i="37"/>
  <c r="R54" i="37"/>
  <c r="R60" i="37"/>
  <c r="S32" i="14"/>
  <c r="S38" i="14"/>
  <c r="S43" i="37"/>
  <c r="S64" i="37"/>
  <c r="S55" i="37"/>
  <c r="S59" i="37"/>
  <c r="S45" i="37"/>
  <c r="S61" i="37"/>
  <c r="S62" i="37"/>
  <c r="S63" i="37"/>
  <c r="S42" i="37"/>
  <c r="S52" i="37"/>
  <c r="S65" i="37"/>
  <c r="S66" i="37"/>
  <c r="S68" i="37"/>
  <c r="S60" i="37"/>
  <c r="S54" i="37"/>
  <c r="S50" i="37"/>
  <c r="S51" i="37"/>
  <c r="S53" i="37"/>
  <c r="R40" i="14" l="1"/>
  <c r="R65" i="14"/>
  <c r="R66" i="14" s="1"/>
  <c r="S65" i="14"/>
  <c r="S66" i="14" s="1"/>
  <c r="S40" i="14"/>
  <c r="C17" i="39"/>
  <c r="D17" i="39"/>
  <c r="E17" i="39"/>
  <c r="H17" i="39"/>
  <c r="C18" i="39"/>
  <c r="D18" i="39"/>
  <c r="E18" i="39"/>
  <c r="H18" i="39"/>
  <c r="H19" i="39"/>
  <c r="E48" i="17"/>
  <c r="E49" i="17"/>
  <c r="E51" i="17"/>
  <c r="E69" i="17"/>
  <c r="E70" i="17"/>
  <c r="E72" i="17"/>
  <c r="E78" i="17"/>
  <c r="E93" i="17"/>
  <c r="D16" i="30"/>
  <c r="C21" i="30"/>
  <c r="C22" i="30"/>
  <c r="C24" i="30"/>
  <c r="C25" i="30"/>
  <c r="D27" i="30"/>
  <c r="E28" i="30"/>
  <c r="C40" i="43"/>
  <c r="C41" i="43"/>
  <c r="C43" i="43"/>
  <c r="C58" i="43"/>
  <c r="C59" i="43"/>
  <c r="C61" i="43"/>
  <c r="C77" i="43"/>
  <c r="C78" i="43"/>
  <c r="C80" i="43"/>
  <c r="D9" i="47"/>
  <c r="E9" i="47"/>
  <c r="G9" i="47"/>
  <c r="H9" i="47"/>
  <c r="D10" i="47"/>
  <c r="E10" i="47"/>
  <c r="G10" i="47"/>
  <c r="H10" i="47"/>
  <c r="D11" i="47"/>
  <c r="E11" i="47"/>
  <c r="G11" i="47"/>
  <c r="H11" i="47"/>
  <c r="D12" i="47"/>
  <c r="E12" i="47"/>
  <c r="G12" i="47"/>
  <c r="H12" i="47"/>
  <c r="D13" i="47"/>
  <c r="E13" i="47"/>
  <c r="G13" i="47"/>
  <c r="H13"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suyas</author>
  </authors>
  <commentList>
    <comment ref="C10" authorId="0" shapeId="0" xr:uid="{046F2602-C4EA-44E7-A716-09C88EB7655B}">
      <text>
        <r>
          <rPr>
            <b/>
            <sz val="9"/>
            <color indexed="81"/>
            <rFont val="Tahoma"/>
            <family val="2"/>
          </rPr>
          <t>suyash:
take it from trading economics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tc={F1B480D7-4FA2-49AA-8647-8EAD1EB0CAD8}</author>
  </authors>
  <commentList>
    <comment ref="B130" authorId="0" shapeId="0" xr:uid="{F1B480D7-4FA2-49AA-8647-8EAD1EB0CAD8}">
      <text>
        <t>[Threaded comment]
Your version of Excel allows you to read this threaded comment; however, any edits to it will get removed if the file is opened in a newer version of Excel. Learn more: https://go.microsoft.com/fwlink/?linkid=870924
Comment:
    Additions of items from original cash flow statement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<sst xmlns="http://schemas.openxmlformats.org/spreadsheetml/2006/main" count="2802" uniqueCount="1345">
  <si>
    <t>Net Income</t>
  </si>
  <si>
    <t>Total SG&amp;A</t>
  </si>
  <si>
    <t>Depreciation</t>
  </si>
  <si>
    <t>Gross Profit</t>
  </si>
  <si>
    <t>Less: Cost of Goods Sold</t>
  </si>
  <si>
    <t>Sales</t>
  </si>
  <si>
    <t>In Rs Crores unless stated otherwise</t>
  </si>
  <si>
    <t>Audited Income Statement</t>
  </si>
  <si>
    <t>Total Non-Current Liabilities</t>
  </si>
  <si>
    <t>Total Current Liabilities</t>
  </si>
  <si>
    <t>Other Current Liabilities</t>
  </si>
  <si>
    <t>Creditors</t>
  </si>
  <si>
    <t>Total Assets</t>
  </si>
  <si>
    <t>Total Non-Current Assets</t>
  </si>
  <si>
    <t>Other Non-Current Assets</t>
  </si>
  <si>
    <t>Goodwill</t>
  </si>
  <si>
    <t>Total Current Assets</t>
  </si>
  <si>
    <t>Other Current Assets</t>
  </si>
  <si>
    <t>Debtors</t>
  </si>
  <si>
    <t>Inventory</t>
  </si>
  <si>
    <t>Cash</t>
  </si>
  <si>
    <t>Audited Balance Sheet</t>
  </si>
  <si>
    <t>Control Sheet</t>
  </si>
  <si>
    <t>In INR Unless Stated Otherwise</t>
  </si>
  <si>
    <t>Actual</t>
  </si>
  <si>
    <t>Explicit Forecast Period</t>
  </si>
  <si>
    <t>Sales Assumptions</t>
  </si>
  <si>
    <t>#</t>
  </si>
  <si>
    <t>Management Case</t>
  </si>
  <si>
    <t>Worst Case</t>
  </si>
  <si>
    <t>Current Case :</t>
  </si>
  <si>
    <t>COGS Assumptions</t>
  </si>
  <si>
    <t>Selling, General and Administrative (SG&amp;A)  Assumptions</t>
  </si>
  <si>
    <t>Marginal Tax Rate</t>
  </si>
  <si>
    <t>Tax Rate  Assumptions</t>
  </si>
  <si>
    <t>Non-Current Asset  Assumptions</t>
  </si>
  <si>
    <t>Dividend Payout  Assumptions</t>
  </si>
  <si>
    <t>Dividend Payout Ratio %</t>
  </si>
  <si>
    <t>Schedules</t>
  </si>
  <si>
    <t>Current Case:</t>
  </si>
  <si>
    <t>Sales Schedule</t>
  </si>
  <si>
    <t>Total Sales</t>
  </si>
  <si>
    <t xml:space="preserve"> </t>
  </si>
  <si>
    <t>COGS Schedule</t>
  </si>
  <si>
    <t>SG&amp;A Schedule</t>
  </si>
  <si>
    <t>3 Statement Model</t>
  </si>
  <si>
    <t>Total SG&amp;A % Sales</t>
  </si>
  <si>
    <t>Total SG&amp;A Expense (Excluding Depriciation &amp; Interest Expense)</t>
  </si>
  <si>
    <t>Non-Current Asset Schedule</t>
  </si>
  <si>
    <t>Less: Depreciation</t>
  </si>
  <si>
    <t>Total Depreciation</t>
  </si>
  <si>
    <t>Tax Expense Schedule</t>
  </si>
  <si>
    <t>Revenue</t>
  </si>
  <si>
    <t>Less: COGS</t>
  </si>
  <si>
    <t>Less: SG&amp;A</t>
  </si>
  <si>
    <t>Less: Depreciation &amp; Amortization</t>
  </si>
  <si>
    <t>Earnings Before Tax</t>
  </si>
  <si>
    <t>Less: Tax Expense</t>
  </si>
  <si>
    <t>Income Statement</t>
  </si>
  <si>
    <t>5 Years</t>
  </si>
  <si>
    <t>3 Years</t>
  </si>
  <si>
    <t xml:space="preserve">              CAGR</t>
  </si>
  <si>
    <t>Interest  Schedule</t>
  </si>
  <si>
    <t>EBITDA</t>
  </si>
  <si>
    <t>Earnings Before Interest &amp; Tax</t>
  </si>
  <si>
    <t>Sales Growth %</t>
  </si>
  <si>
    <t>Gross Profit Margins %</t>
  </si>
  <si>
    <t>EBITDA Margins %</t>
  </si>
  <si>
    <t>EBIT Margins %</t>
  </si>
  <si>
    <t>Actual Tax Rate %</t>
  </si>
  <si>
    <t>Net Income Margin %</t>
  </si>
  <si>
    <t>Balance Sheet</t>
  </si>
  <si>
    <t>Working Capital Schedule</t>
  </si>
  <si>
    <t>Check</t>
  </si>
  <si>
    <t>Less: Dividends</t>
  </si>
  <si>
    <t>Dividend Payout Ratio</t>
  </si>
  <si>
    <t>Add: Net Income</t>
  </si>
  <si>
    <t>No. of Days in a Year</t>
  </si>
  <si>
    <t>Debtor Days</t>
  </si>
  <si>
    <t>COGS</t>
  </si>
  <si>
    <t>Inventory Days</t>
  </si>
  <si>
    <t>Other Current Assets % Sales</t>
  </si>
  <si>
    <t>Creditor Days</t>
  </si>
  <si>
    <t>Other Current Liabilities % Sales</t>
  </si>
  <si>
    <t>Change in Working Capital</t>
  </si>
  <si>
    <t>Change in Debtors</t>
  </si>
  <si>
    <t>Change in Inventory</t>
  </si>
  <si>
    <t>Change in Other Current Assets</t>
  </si>
  <si>
    <t>Change in Current Assets</t>
  </si>
  <si>
    <t>Change in Creditors</t>
  </si>
  <si>
    <t>Change in Current Liabilities</t>
  </si>
  <si>
    <t>Net Change in Working Capital</t>
  </si>
  <si>
    <t>Cash Flow Statement</t>
  </si>
  <si>
    <t>Interest</t>
  </si>
  <si>
    <t>Capex</t>
  </si>
  <si>
    <t>Net Working Capital</t>
  </si>
  <si>
    <t>Liquidity Ratios</t>
  </si>
  <si>
    <t>Current Assets</t>
  </si>
  <si>
    <t>Current Liabilities</t>
  </si>
  <si>
    <t>Current Ratio</t>
  </si>
  <si>
    <t>Debtors Days</t>
  </si>
  <si>
    <t>Cash Conversion Cycle</t>
  </si>
  <si>
    <t>Leverage/ Solvency Ratios</t>
  </si>
  <si>
    <t>Total Debt</t>
  </si>
  <si>
    <t>Total Equity</t>
  </si>
  <si>
    <t>Debt/Equity Ratio</t>
  </si>
  <si>
    <t>Debt/Total Assets Ratio</t>
  </si>
  <si>
    <t>Profitability/ Margin Ratios</t>
  </si>
  <si>
    <t>Gross Margin Ratio</t>
  </si>
  <si>
    <t>EBITDA Margin Ratio</t>
  </si>
  <si>
    <t>EBIT Margin Ratio</t>
  </si>
  <si>
    <t>Net Profit Margin Ratio</t>
  </si>
  <si>
    <t>EBIT</t>
  </si>
  <si>
    <t>Return on Assets Ratio</t>
  </si>
  <si>
    <t>Return on Equity Ratio</t>
  </si>
  <si>
    <t>Efficiency Ratios</t>
  </si>
  <si>
    <t>Assets Turnover Ratio</t>
  </si>
  <si>
    <t>Inventory Turnover Ratio</t>
  </si>
  <si>
    <t>Reinvestment Rate</t>
  </si>
  <si>
    <t>Coverage Ratios</t>
  </si>
  <si>
    <t>Debt to EBITDA Coverage Ratio</t>
  </si>
  <si>
    <t>Debt Service Coverage Ratio</t>
  </si>
  <si>
    <t>Interest Coverage Ratio</t>
  </si>
  <si>
    <t>Debt Repayment</t>
  </si>
  <si>
    <t>Free Cash Flow to Firm</t>
  </si>
  <si>
    <t>Less: Tax</t>
  </si>
  <si>
    <t>EBIT(1-T)</t>
  </si>
  <si>
    <t>Add: Depreciation</t>
  </si>
  <si>
    <t>Less: Reinvestments</t>
  </si>
  <si>
    <t>Intangible Non-Current Spends</t>
  </si>
  <si>
    <t>Discount Period (Years)</t>
  </si>
  <si>
    <t>Mid-Year Convention?</t>
  </si>
  <si>
    <t>Mid Year Convention</t>
  </si>
  <si>
    <t>Yes</t>
  </si>
  <si>
    <t>No</t>
  </si>
  <si>
    <t>Discount Rate</t>
  </si>
  <si>
    <t>WACC</t>
  </si>
  <si>
    <t>Present Value Factor</t>
  </si>
  <si>
    <t>Present Value of Free Cash Flow to Firm</t>
  </si>
  <si>
    <t>Equity Risk Premium</t>
  </si>
  <si>
    <t>Weighted Average Cost of Capital</t>
  </si>
  <si>
    <t>DCF Calculation- Perpetuity Growth</t>
  </si>
  <si>
    <t>Perpetuity Growth Rate</t>
  </si>
  <si>
    <t>Teminal Year FCFF x (1+PGR)</t>
  </si>
  <si>
    <t>Terminal Value</t>
  </si>
  <si>
    <t>Present Value of Terminal Value</t>
  </si>
  <si>
    <t>Present Value of FCFFs</t>
  </si>
  <si>
    <t>Enterprise Value</t>
  </si>
  <si>
    <t>Implied Exit Multiple</t>
  </si>
  <si>
    <t>Implied EV/EBITDA Multiple</t>
  </si>
  <si>
    <t>Ratio Analysis</t>
  </si>
  <si>
    <t>DCF Valuation</t>
  </si>
  <si>
    <t>Less: Debt</t>
  </si>
  <si>
    <t>Add: Cash</t>
  </si>
  <si>
    <t>Equity Value</t>
  </si>
  <si>
    <t>DCF Calculation- Exit Multiple</t>
  </si>
  <si>
    <t>Exit Multiple</t>
  </si>
  <si>
    <t>Terminal Year EBITDA</t>
  </si>
  <si>
    <t>Sensitivity Analysis- Perpetuity Growth</t>
  </si>
  <si>
    <t>Sensitivity Analysis- Exit Multiple</t>
  </si>
  <si>
    <t>Revenue Growth</t>
  </si>
  <si>
    <t>Company Historical Growth</t>
  </si>
  <si>
    <t>Hindustan Unilever Ltd.</t>
  </si>
  <si>
    <t>EQUITIES AND LIABILITIES</t>
  </si>
  <si>
    <t>SHAREHOLDER'S FUNDS</t>
  </si>
  <si>
    <t>Equity Share Capital</t>
  </si>
  <si>
    <t>Minority Interest</t>
  </si>
  <si>
    <t>NON-CURRENT LIABILITIES</t>
  </si>
  <si>
    <t>Deferred Tax Liabilities [Net]</t>
  </si>
  <si>
    <t>CURRENT LIABILITIES</t>
  </si>
  <si>
    <t>Short Term Borrowings</t>
  </si>
  <si>
    <t>Trade Payables</t>
  </si>
  <si>
    <t>ASSETS</t>
  </si>
  <si>
    <t>NON-CURRENT ASSETS</t>
  </si>
  <si>
    <t>Intangible Assets</t>
  </si>
  <si>
    <t>Capital Work-In-Progress</t>
  </si>
  <si>
    <t>Non-Current Investments</t>
  </si>
  <si>
    <t>Deferred Tax Assets [Net]</t>
  </si>
  <si>
    <t>Long Term Loans And Advances</t>
  </si>
  <si>
    <t>CURRENT ASSETS</t>
  </si>
  <si>
    <t>Current Investments</t>
  </si>
  <si>
    <t>Inventories</t>
  </si>
  <si>
    <t>Trade Receivables</t>
  </si>
  <si>
    <t>Cash And Cash Equivalents</t>
  </si>
  <si>
    <t>OtherCurrentAssets</t>
  </si>
  <si>
    <t>OTHER ADDITIONAL INFORMATION</t>
  </si>
  <si>
    <t>CONTINGENT LIABILITIES, COMMITMENTS</t>
  </si>
  <si>
    <t>Contingent Liabilities</t>
  </si>
  <si>
    <t>Property, Plant &amp; Equipments</t>
  </si>
  <si>
    <t>Financial Assets</t>
  </si>
  <si>
    <t>Loans</t>
  </si>
  <si>
    <t>Other Financial Assets</t>
  </si>
  <si>
    <t>Non-Current Tax Assets</t>
  </si>
  <si>
    <t>Other Equity</t>
  </si>
  <si>
    <t>Total Share Holder's Equity</t>
  </si>
  <si>
    <t xml:space="preserve">Total Equity </t>
  </si>
  <si>
    <t>Financial Liabilities</t>
  </si>
  <si>
    <t>Non-Current Tax Liabities (Net)</t>
  </si>
  <si>
    <t>Current Tax Liabilities</t>
  </si>
  <si>
    <t>Total Equity and Liabilities</t>
  </si>
  <si>
    <t>INCOME</t>
  </si>
  <si>
    <t>Revenue From Operations [Gross]</t>
  </si>
  <si>
    <t>Revenue From Operations [Net]</t>
  </si>
  <si>
    <t>Other Operating Revenues</t>
  </si>
  <si>
    <t>Other Income</t>
  </si>
  <si>
    <t>Total Revenue</t>
  </si>
  <si>
    <t>EXPENSES</t>
  </si>
  <si>
    <t>Cost Of Materials Consumed</t>
  </si>
  <si>
    <t>Purchase Of Stock-In Trade</t>
  </si>
  <si>
    <t>Changes In Inventories Of FG,WIP And Stock-In Trade</t>
  </si>
  <si>
    <t>Employee Benefit Expenses</t>
  </si>
  <si>
    <t>Other Expenses</t>
  </si>
  <si>
    <t>Profit/Loss Before Exceptional, ExtraOrdinary Items And Tax</t>
  </si>
  <si>
    <t>Exceptional Items</t>
  </si>
  <si>
    <t>Profit/Loss Before Tax</t>
  </si>
  <si>
    <t>Tax Expenses-Continued Operations</t>
  </si>
  <si>
    <t>Current Tax</t>
  </si>
  <si>
    <t>Deferred Tax</t>
  </si>
  <si>
    <t>Total Tax Expenses</t>
  </si>
  <si>
    <t>Profit/Loss After Tax And Before ExtraOrdinary Items</t>
  </si>
  <si>
    <t>Profit/Loss From Continuing Operations</t>
  </si>
  <si>
    <t>Profit Loss From Discontinuing Operations</t>
  </si>
  <si>
    <t>Total Tax Expenses Discontinuing Operations</t>
  </si>
  <si>
    <t>Net Profit Loss From Discontinuing Operations</t>
  </si>
  <si>
    <t>Profit/Loss For The Period</t>
  </si>
  <si>
    <t>Share Of Profit/Loss Of Associates</t>
  </si>
  <si>
    <t>Consolidated Profit/Loss After MI And Associates</t>
  </si>
  <si>
    <t>Cost of Goods Sold</t>
  </si>
  <si>
    <t>Total Cost of Goods Sold</t>
  </si>
  <si>
    <t>SG&amp;A (Excluding Depreciation, Amortization, Interest &amp; Tax)</t>
  </si>
  <si>
    <t>Total SG&amp;A Expenses</t>
  </si>
  <si>
    <t>Less: Finance Costs</t>
  </si>
  <si>
    <t>EBT</t>
  </si>
  <si>
    <t>Add: Other Income</t>
  </si>
  <si>
    <t>Earnings Before Interest, Tax, Depreciation &amp; Amortization</t>
  </si>
  <si>
    <t>Profit Before Tax &amp; Exceptional Items</t>
  </si>
  <si>
    <t xml:space="preserve">Profit Before Tax </t>
  </si>
  <si>
    <t>Less: Tax Expenses</t>
  </si>
  <si>
    <t xml:space="preserve">Profit After Tax </t>
  </si>
  <si>
    <t>Audited Cash Flow Statement</t>
  </si>
  <si>
    <t>Profit before tax</t>
  </si>
  <si>
    <t>Adjustments for:</t>
  </si>
  <si>
    <t>Dividend income</t>
  </si>
  <si>
    <t>Interest expense</t>
  </si>
  <si>
    <t>Dividends paid</t>
  </si>
  <si>
    <t>Principal payment of lease liabilities</t>
  </si>
  <si>
    <t>Depreciation and amortisation expense</t>
  </si>
  <si>
    <t>Loss on sale of property, plant and equipment</t>
  </si>
  <si>
    <t>Fair value loss/ (gain) on financial liability on acquisition</t>
  </si>
  <si>
    <t>Interest income</t>
  </si>
  <si>
    <t>Other non operating income - Fair value gain on investments</t>
  </si>
  <si>
    <t>Profit on sale of water purification business</t>
  </si>
  <si>
    <t>Movement in provision towards litigation</t>
  </si>
  <si>
    <t>Payment from Retirement Benefit Scheme Reserve</t>
  </si>
  <si>
    <t>Share of loss of joint venture</t>
  </si>
  <si>
    <t>Inventory written off (net)</t>
  </si>
  <si>
    <t>Bad debts/assets written off net of Provision/(write back)</t>
  </si>
  <si>
    <t>Share based payment expense</t>
  </si>
  <si>
    <t>Mark-to-market (gain)/loss on derivative financial instruments</t>
  </si>
  <si>
    <t>Cash generated from operations before working capital changes</t>
  </si>
  <si>
    <t>(Increase)/decrease in Non-Current Assets</t>
  </si>
  <si>
    <t>(Increase)/decrease in Current Assets</t>
  </si>
  <si>
    <t>(Increase)/decrease in Inventories</t>
  </si>
  <si>
    <t>Increase/(decrease) in Non-Current Liabilities</t>
  </si>
  <si>
    <t>Increase/(decrease) in Current Liabilities</t>
  </si>
  <si>
    <t>Cash flows generated from operations</t>
  </si>
  <si>
    <t>Taxes paid, net of refunds</t>
  </si>
  <si>
    <t>Net cash flows generated from operating activities - [A]</t>
  </si>
  <si>
    <t>B. CASH FLOWS FROM INVESTING ACTIVITIES:</t>
  </si>
  <si>
    <t>Purchase of property, plant and equipment</t>
  </si>
  <si>
    <t>Sale proceeds of property, plant and equipment</t>
  </si>
  <si>
    <t>Purchase of intangible assets</t>
  </si>
  <si>
    <t>Sale proceeds of water purification business</t>
  </si>
  <si>
    <t>Contingent consideration paid on business combination</t>
  </si>
  <si>
    <t>Purchase of current investments</t>
  </si>
  <si>
    <t>Sale proceeds of current investments</t>
  </si>
  <si>
    <t>Investment in term deposits (having original maturity of more than 3 months)</t>
  </si>
  <si>
    <t>Redemption/maturity of term deposits (having original maturity of more than 3 months)</t>
  </si>
  <si>
    <t>Interest received</t>
  </si>
  <si>
    <t>Dividend received from others</t>
  </si>
  <si>
    <t>Net cash flows generated from/ (used in) investing activities - [B]</t>
  </si>
  <si>
    <t>C. CASH FLOWS FROM FINANCING ACTIVITIES:</t>
  </si>
  <si>
    <t>Repayment of amount taken for short term purpose</t>
  </si>
  <si>
    <t>Interest paid on lease liabilities</t>
  </si>
  <si>
    <t>Interest paid other than on lease liabilities</t>
  </si>
  <si>
    <t>Net cash flows used in financing activities - [C]</t>
  </si>
  <si>
    <t>Net increase in cash and cash equivalents - [A+B+C]</t>
  </si>
  <si>
    <t>Add: Cash and cash equivalents at the beginning of the year</t>
  </si>
  <si>
    <t>Cash and cash equivalents at the end of the year</t>
  </si>
  <si>
    <t>-</t>
  </si>
  <si>
    <t>Profit/(Loss) from Joint venture</t>
  </si>
  <si>
    <t>Profit/(Loss) from discontinued operations</t>
  </si>
  <si>
    <t>Stamp duty on issue of equity shares</t>
  </si>
  <si>
    <t>Investment in non-current deposits with banks</t>
  </si>
  <si>
    <t>Investment in subsidiary</t>
  </si>
  <si>
    <t>Transaction cost on acquisition</t>
  </si>
  <si>
    <t>Investment in joint venture</t>
  </si>
  <si>
    <t>Loans repaid by others/ (Given to others)</t>
  </si>
  <si>
    <t>Dividend distribution tax paid</t>
  </si>
  <si>
    <t>Amount taken for short-term purpose</t>
  </si>
  <si>
    <t>Proceeds from ESOP/Performance shares</t>
  </si>
  <si>
    <t>Government Grant Accrued (Net)</t>
  </si>
  <si>
    <t>Provision for expenses on employee stock options</t>
  </si>
  <si>
    <t>Profit on Sale of Brand Rights</t>
  </si>
  <si>
    <t>Transaction Cost from Acquisition</t>
  </si>
  <si>
    <t>Contingent Consideration true up for business combination</t>
  </si>
  <si>
    <t>A. CASH FLOWS FROM OPERATING ACTIVITIES</t>
  </si>
  <si>
    <t>Revenue Growth YoY%</t>
  </si>
  <si>
    <t>Particulars</t>
  </si>
  <si>
    <t>Revenue from Operations (Net)</t>
  </si>
  <si>
    <t>Sales Growth</t>
  </si>
  <si>
    <t>CAGR</t>
  </si>
  <si>
    <t xml:space="preserve">          CAGR</t>
  </si>
  <si>
    <t>Beauty &amp; Personal Care</t>
  </si>
  <si>
    <t>Statista</t>
  </si>
  <si>
    <t>https://www.statista.com/outlook/cmo/beauty-personal-care/india?srsltid=AfmBOor06dOydgZypRHA7v9iUQLdqunxwMCtZrRF0v_vwnIV254NUChX</t>
  </si>
  <si>
    <t>US$34.40bn in 2026</t>
  </si>
  <si>
    <t> 3.35% (CAGR 2026-2030).</t>
  </si>
  <si>
    <t>In India, the per person revenue generated in the Beauty &amp; Personal Care market is approximately US$23.44 in 2026, based on the total population figures.</t>
  </si>
  <si>
    <t>Consumers in India are increasingly gravitating towards beauty and personal care products that emphasize natural ingredients and sustainability, reflecting a broader cultural shift towards health-conscious living. This trend is particularly pronounced among younger demographics, who prioritize eco-friendly brands</t>
  </si>
  <si>
    <t>Younger Population</t>
  </si>
  <si>
    <t>Disposable Income</t>
  </si>
  <si>
    <t>Rural Consumption</t>
  </si>
  <si>
    <t>Urbanization</t>
  </si>
  <si>
    <t>Geopolitics</t>
  </si>
  <si>
    <t>Commodity Inflation</t>
  </si>
  <si>
    <t>Redseer</t>
  </si>
  <si>
    <t>https://redseer.com/reports/indias-40bn-beauty-personal-care-market-growth-shifts-and-opportunities-for-2030/</t>
  </si>
  <si>
    <t>By 2030, India will be the fourth-largest beauty and personal care (BPC) market globally, growing to $40 billion.</t>
  </si>
  <si>
    <t xml:space="preserve"> historically, the Indian BPC market struggled with unorganised supply chains, margin leakages, low profitability, and consumer perception barriers.</t>
  </si>
  <si>
    <r>
      <t>Currently, only around 20 brands – most of which are housed under FMCG giant umbrellas – exceed </t>
    </r>
    <r>
      <rPr>
        <b/>
        <sz val="11"/>
        <color theme="1"/>
        <rFont val="Arial"/>
        <family val="2"/>
      </rPr>
      <t>INR 1,500cr in revenue</t>
    </r>
    <r>
      <rPr>
        <sz val="11"/>
        <color theme="1"/>
        <rFont val="Arial"/>
        <family val="2"/>
      </rPr>
      <t> (FY26E).</t>
    </r>
  </si>
  <si>
    <t>Online marketplaces and quick commerce</t>
  </si>
  <si>
    <t>Social media and influencer ecosystems</t>
  </si>
  <si>
    <t>Gen Z and Alpha consumers </t>
  </si>
  <si>
    <t>imarcgroup</t>
  </si>
  <si>
    <t>https://www.imarcgroup.com/india-beauty-personal-care-market</t>
  </si>
  <si>
    <r>
      <t>The India beauty and personal care market size was valued at </t>
    </r>
    <r>
      <rPr>
        <b/>
        <i/>
        <sz val="10"/>
        <color rgb="FF2D2D2D"/>
        <rFont val="Arial"/>
        <family val="2"/>
      </rPr>
      <t>USD 31.19 Billion</t>
    </r>
    <r>
      <rPr>
        <i/>
        <sz val="10"/>
        <color rgb="FF2D2D2D"/>
        <rFont val="Arial"/>
        <family val="2"/>
      </rPr>
      <t> in 2025</t>
    </r>
  </si>
  <si>
    <r>
      <t> projected to reach </t>
    </r>
    <r>
      <rPr>
        <b/>
        <i/>
        <sz val="10"/>
        <color rgb="FF2D2D2D"/>
        <rFont val="Arial"/>
        <family val="2"/>
      </rPr>
      <t>USD 48.72 Billion</t>
    </r>
    <r>
      <rPr>
        <i/>
        <sz val="10"/>
        <color rgb="FF2D2D2D"/>
        <rFont val="Arial"/>
        <family val="2"/>
      </rPr>
      <t> by 2034</t>
    </r>
  </si>
  <si>
    <r>
      <t>5.08%</t>
    </r>
    <r>
      <rPr>
        <i/>
        <sz val="10"/>
        <color rgb="FF2D2D2D"/>
        <rFont val="Arial"/>
        <family val="2"/>
      </rPr>
      <t> from 2026-2034.</t>
    </r>
  </si>
  <si>
    <t>North India holds the largest market share of 29% in 2025</t>
  </si>
  <si>
    <t>key players include Avon Products Inc. (Natura &amp; Co Holding S.A.), Beiersdorf AG, Colgate-Palmolive Company, Coty Inc., Hindustan Unilever Limited, Kao Corporation, L'occitane India, L'Oréal S.A, Revlon Inc., The Estée Lauder Companies Inc., and The Procter &amp; Gamble Company.</t>
  </si>
  <si>
    <t>Premiumisation</t>
  </si>
  <si>
    <t>Digital Commerce Revolution Reshaping Beauty Product Discovery and Purchase Behavior</t>
  </si>
  <si>
    <t>Premiumization and International Brand Expansion Accelerating Across Metropolitan Markets</t>
  </si>
  <si>
    <t>Natural, Organic, and Ayurvedic Formulations Gaining Mainstream Consumer Acceptance</t>
  </si>
  <si>
    <t>BDO</t>
  </si>
  <si>
    <t>https://www.bdo.in/getmedia/867ab988-ddd3-4272-9441-011fe6b54cd4/The-Beauty-Revolution-in-the-Indian-Market_BDO-India.pdf</t>
  </si>
  <si>
    <t>Digitisation</t>
  </si>
  <si>
    <t>mfs</t>
  </si>
  <si>
    <t>https://mfs.cii.in/assets/pdf/Beauty_and_Cosmetic_Products.pdf</t>
  </si>
  <si>
    <t>Growth</t>
  </si>
  <si>
    <t>3% growth by 2032</t>
  </si>
  <si>
    <t>IBEF</t>
  </si>
  <si>
    <t>https://www.ibef.org/news/india-you-e-beauty-the-blush-and-glow-of-the-new-billion-dollar-boom</t>
  </si>
  <si>
    <t>The country has emerged as the world’s fastest-growing online market for beauty products, with beauty e-commerce and quick commerce sales rising 39% in value between June and November 2024 compared to the previous year, far outpacing the 3% growth in physical store sales, according to NielsenIQ</t>
  </si>
  <si>
    <t> Platforms such as Amazon, Myntra, Blinkit, Zepto, Nykaa, and Reliance Retail’s Tira</t>
  </si>
  <si>
    <t>India’s beauty and personal care market, valued at Rs. 2,43,236 crore (US$ 28 billion), is expected to reach Rs. 2,95,358 crore (US$ 34 billion) by 2028</t>
  </si>
  <si>
    <t>10-11% annually (2028)</t>
  </si>
  <si>
    <t>Market Research</t>
  </si>
  <si>
    <t>Home Care</t>
  </si>
  <si>
    <t>Research and Markets</t>
  </si>
  <si>
    <t>The latest data released by the Indian Ministry of Statistics and Programme Implementation showed that the average Monthly Per Capita Consumption Expenditure (MPCE) in rural areas reached INR 3,773 in 2022-2032.</t>
  </si>
  <si>
    <t>Based on distribution channels, the market is segmented into supermarkets and hypermarkets, convenience stores, and online, among others. The online segment is projected to grow at a CAGR of 19.3%% during the forecast period of 2025-2034.</t>
  </si>
  <si>
    <t>Expert market research</t>
  </si>
  <si>
    <t>https://www.expertmarketresearch.com/reports/india-household-care-market</t>
  </si>
  <si>
    <t>Consensus Estimate</t>
  </si>
  <si>
    <t>https://trendlyne.com/equity/consensus-estimates/560/HINDUNILVR/hindustan-unilever-ltd/</t>
  </si>
  <si>
    <t>Company Concalls</t>
  </si>
  <si>
    <t>The India household care market reached approximately USD 10.00 Billion in 2025.</t>
  </si>
  <si>
    <t>14.80% between 2026 and 2035  reaching a value of around USD 39.76 Billion by 2035.</t>
  </si>
  <si>
    <t>The market has seen substantial growth, largely due to the proliferation of online platforms. India's e-commerce revenues are projected to increase from $46.2 billion in 2020 to $136.47 billion by 2026. The emergence of e-commerce has revolutionised the shopping experience for consumers of household care items, providing them with convenience, a wide range of choices, and easy access.</t>
  </si>
  <si>
    <t>personal and household care categories – growing 32% in 2019 and 40% in 2020. While personal care contributes to just 5.7% of all FMCG spend, it has been the key contributor to a 15% growth in FMCG spending over the last two years.</t>
  </si>
  <si>
    <t>Kantar</t>
  </si>
  <si>
    <t>https://www.kantar.com/inspiration/fmcg/personal-and-household-care-categories-lead-fmcg-in-india</t>
  </si>
  <si>
    <t> FMCG growth varies from -4% to +14%</t>
  </si>
  <si>
    <t>Grand View Research</t>
  </si>
  <si>
    <t>The home and laundry care market in India is expected to reach a projected revenue of US$ 24,928.3 million by 2030</t>
  </si>
  <si>
    <t>8.8% is expected of India home and laundry care market from 2022 to 2030.</t>
  </si>
  <si>
    <t>https://www.grandviewresearch.com/horizon/outlook/home-and-laundry-care-market/india</t>
  </si>
  <si>
    <t>Population Age</t>
  </si>
  <si>
    <t>Live Mint</t>
  </si>
  <si>
    <t>https://www.livemint.com/companies/young-consumers-ecofriendly-homecare-personal-care-fmcg-startups-detergents-11730778011455.html</t>
  </si>
  <si>
    <t>An increasing number of millennials and Gen Z consumers is turning to new-age environmentally friendly home and personal care products like detergents, handwashes and floor cleaner</t>
  </si>
  <si>
    <t>Beco, Koparo, Bare Necessities, Born Good, Happi Planet and other startups that offer plant-based and toxin-free goods are rapidly expanding product lines and investing increasingly in understanding the psychology of the emerging set of users</t>
  </si>
  <si>
    <t>India’s homecare products market grew almost 27% from 2015 to 2023 across urban and rural regions, fuelled by the government’s Swachh Bharat Mission—Clean India Mission—initiative, according to research agency Kantar</t>
  </si>
  <si>
    <t>According to Kantar, mass-market products like detergent bars and washing powders did not grow much in the year ended March 2024, an effect of a slowdown in consumption in the country. However, premium products like fabric conditioners and dishwashing liquids grew in double digits, driven by increased demand from richer households.</t>
  </si>
  <si>
    <t>https://www.researchandmarkets.com/report/india-household-cleaners-market?srsltid=AfmBOoqpUxjjcmjPXLpJvisub9WzfK5XaWcDYKjgVOkx5SPLXAN2AywZ#product--toc</t>
  </si>
  <si>
    <t>The India household cleaners market size was valued at USD 10.35 billion in 2024. The market is projected to reach USD 36.31 billion by 2033</t>
  </si>
  <si>
    <t>14.96% during 2025-2033.</t>
  </si>
  <si>
    <t>Global Data</t>
  </si>
  <si>
    <t>https://www.globaldata.com/store/report/india-household-products-market-analysis/</t>
  </si>
  <si>
    <t>The Indian household products sector is expected to grow from INR710.9 billion ($8.5 billion) in 2024 to INR981.6 billion ($11.4 billion) in 2029</t>
  </si>
  <si>
    <t>6.7% till 2029</t>
  </si>
  <si>
    <t>F&amp;R</t>
  </si>
  <si>
    <t>https://www.bdo.in/getmedia/9159e0b0-4438-4da7-ba1b-16fcec8ceb1e/Packaging-India%E2%80%99s-Evolving-Food-Consumption_BDO-India-(1).pdf</t>
  </si>
  <si>
    <t>India’s packaged convenience food industry as of FY22, boasts a size of ~INR 3,194bn and is poised for substantial growth, with approximately 11% CAGR.</t>
  </si>
  <si>
    <t>11% from 2022-2026</t>
  </si>
  <si>
    <t>https://www.ibef.org/blogs/the-future-of-food-processing-in-india-growth-opportunities-and-challenges</t>
  </si>
  <si>
    <t>The food processing industry in India has witnessed rapid growth in the recent past, with the sector emerging as one of the most promising industries driving the economic growth of the country</t>
  </si>
  <si>
    <t>expected to reach US$ 735.5 billion</t>
  </si>
  <si>
    <t> 8.8% during 2023-2032, according to IMARC </t>
  </si>
  <si>
    <t>Opportunities:</t>
  </si>
  <si>
    <t>Rising urbanisation and changing consumption patterns</t>
  </si>
  <si>
    <t>Focus on health and organic products</t>
  </si>
  <si>
    <t>Integration of Technology</t>
  </si>
  <si>
    <t>Export potential and demand for Indian ethnic food</t>
  </si>
  <si>
    <t>India's food exports are expected to reach US$ 61 billion by 2024, with ethnic foods, including spices and snacks, accounting for a significant portion of this growth (according to the Ministry of Commerce and Industry, Government of India). The global demand for Indian cuisine has been increasing, with exports of processed food products growing at a CAGR of 15% over the past five years. The government’s initiatives aim to boost food processing exports by US$ 10 billion by 2025 </t>
  </si>
  <si>
    <t>MSMEs and startups in rural areas</t>
  </si>
  <si>
    <t>Industry Arc</t>
  </si>
  <si>
    <t>https://www.industryarc.com/Research/india-packaged-food-market.html-1654685827#:~:text=India's%20Packaged%20Food%20Market%20size,for%20the%20period%202022%2D2027.</t>
  </si>
  <si>
    <r>
      <t>India's Packaged Food Market size is estimated to reach </t>
    </r>
    <r>
      <rPr>
        <sz val="10"/>
        <color rgb="FF000000"/>
        <rFont val="Arial"/>
        <family val="2"/>
      </rPr>
      <t>$3.4 billion</t>
    </r>
    <r>
      <rPr>
        <sz val="10"/>
        <color rgb="FF000000"/>
        <rFont val="Arial"/>
        <family val="2"/>
      </rPr>
      <t> by 2027</t>
    </r>
  </si>
  <si>
    <r>
      <t>CAGR of 4.6%</t>
    </r>
    <r>
      <rPr>
        <sz val="10"/>
        <color rgb="FF000000"/>
        <rFont val="Arial"/>
        <family val="2"/>
      </rPr>
      <t> during the forecast period 2022-2027.</t>
    </r>
  </si>
  <si>
    <t>https://www.researchandmarkets.com/report/india-pre-packed-food-market?srsltid=AfmBOoqyDa4POZC3vU0_T4cLQl4qwjTKGMUzPanGqqatd7UPLblN-K2Q</t>
  </si>
  <si>
    <t>The India Packaged Food Market was valued at USD 116.85 Billion in 2025, and is expected to reach USD 175.61 Billion by 2031</t>
  </si>
  <si>
    <t>7.03% for 2031</t>
  </si>
  <si>
    <t>Rising health consciousness, convenience, and ready-to-eat options also contribute to the market's expansion.</t>
  </si>
  <si>
    <t>The India packaged food market has experienced significant growth due to factors like changing lifestyles, increasing disposable income, and urbanization</t>
  </si>
  <si>
    <t>he demand for organic and natural food products is on the rise. </t>
  </si>
  <si>
    <t>Additionally, e-commerce platforms and modern retail formats are boosting accessibility, further driving market growth in India.</t>
  </si>
  <si>
    <t>imarc</t>
  </si>
  <si>
    <t>https://www.imarcgroup.com/india-packaged-food-market</t>
  </si>
  <si>
    <r>
      <t>The India packaged food market size reached </t>
    </r>
    <r>
      <rPr>
        <b/>
        <i/>
        <sz val="10"/>
        <color rgb="FF2D2D2D"/>
        <rFont val="Arial"/>
        <family val="2"/>
      </rPr>
      <t>USD 121.3 Billion</t>
    </r>
    <r>
      <rPr>
        <i/>
        <sz val="10"/>
        <color rgb="FF2D2D2D"/>
        <rFont val="Arial"/>
        <family val="2"/>
      </rPr>
      <t> in ​2024. The market is projected to reach </t>
    </r>
    <r>
      <rPr>
        <b/>
        <i/>
        <sz val="10"/>
        <color rgb="FF2D2D2D"/>
        <rFont val="Arial"/>
        <family val="2"/>
      </rPr>
      <t>USD 224.8 Billion</t>
    </r>
    <r>
      <rPr>
        <i/>
        <sz val="10"/>
        <color rgb="FF2D2D2D"/>
        <rFont val="Arial"/>
        <family val="2"/>
      </rPr>
      <t> by ​2033</t>
    </r>
  </si>
  <si>
    <r>
      <t>6.50%</t>
    </r>
    <r>
      <rPr>
        <i/>
        <sz val="10"/>
        <color rgb="FF2D2D2D"/>
        <rFont val="Arial"/>
        <family val="2"/>
      </rPr>
      <t> during 2025-2033</t>
    </r>
  </si>
  <si>
    <t>The market growth is attributed to rapid urbanization, changing lifestyles, increasing disposable incomes, rising demand for convenience foods, evolving consumer preferences for ready-to-eat meals, expanding retail infrastructure, growth in online food delivery, improved cold chain logistics, government support for food processing, and a growing focus on health-conscious eating.</t>
  </si>
  <si>
    <t>According to the India packaged food market forecast, one major opportunity lies in tier 2 and tier 3 cities, where demand for affordable, hygienically packaged, and easy-to-store food items is expanding rapidly. There is also a growing appetite for premium and specialty products such as gluten-free, organic, vegan, and protein-rich offerings, opening avenues for niche brands and innovation. With India's youth showing increased interest in global cuisines, international flavors in packaged formats are gaining traction.</t>
  </si>
  <si>
    <t>techsciresearch</t>
  </si>
  <si>
    <t>https://www.techsciresearch.com/report/india-packaged-food-market/26991.html</t>
  </si>
  <si>
    <t>Forecast Period</t>
  </si>
  <si>
    <t>2027-2031</t>
  </si>
  <si>
    <t>USD 116.85 Billion</t>
  </si>
  <si>
    <t>B&amp;W</t>
  </si>
  <si>
    <t>Personal Care</t>
  </si>
  <si>
    <t>Food &amp; Refreshments</t>
  </si>
  <si>
    <t>Others</t>
  </si>
  <si>
    <t>Segments</t>
  </si>
  <si>
    <t>Beauty &amp; Wellbeing</t>
  </si>
  <si>
    <t>Foods</t>
  </si>
  <si>
    <t>yoy%</t>
  </si>
  <si>
    <t>Management Guidance</t>
  </si>
  <si>
    <t>Sales yoy % growth</t>
  </si>
  <si>
    <t>Baeuty &amp; Wellbeing</t>
  </si>
  <si>
    <t>Street Case</t>
  </si>
  <si>
    <t>Gross Margin</t>
  </si>
  <si>
    <t>Gross Margins</t>
  </si>
  <si>
    <t>Average</t>
  </si>
  <si>
    <t>Median</t>
  </si>
  <si>
    <t>Gross Margin % Sales</t>
  </si>
  <si>
    <t>COGS % Sales</t>
  </si>
  <si>
    <t>Sector Data</t>
  </si>
  <si>
    <t>Just India</t>
  </si>
  <si>
    <t>Global</t>
  </si>
  <si>
    <t>Concalls</t>
  </si>
  <si>
    <t>Gross Margin Guidance</t>
  </si>
  <si>
    <t>Overall</t>
  </si>
  <si>
    <t>Food</t>
  </si>
  <si>
    <t>Decelerating trend</t>
  </si>
  <si>
    <t>Management okay as long as the growth is more than growth of HUL Combined</t>
  </si>
  <si>
    <t>17-19%</t>
  </si>
  <si>
    <t>25-30%</t>
  </si>
  <si>
    <t>15-20%</t>
  </si>
  <si>
    <t>Historical</t>
  </si>
  <si>
    <t>Street Estimate</t>
  </si>
  <si>
    <t>ICICI Direct</t>
  </si>
  <si>
    <t>Anand Rathi</t>
  </si>
  <si>
    <t>Motilal Ostwal</t>
  </si>
  <si>
    <t>Deven Choksey</t>
  </si>
  <si>
    <t>Cost of Material Consumed % COGS</t>
  </si>
  <si>
    <t>Purchase of Stock-in-trade % COGS</t>
  </si>
  <si>
    <t>Change in Inventroies % COGS</t>
  </si>
  <si>
    <t>Crude Palm Oil</t>
  </si>
  <si>
    <t>Cost of Material Consumed % Sales</t>
  </si>
  <si>
    <t>Source : Damodaran</t>
  </si>
  <si>
    <t>Gross Margin%</t>
  </si>
  <si>
    <t>49-51%</t>
  </si>
  <si>
    <t>SG&amp;A Expenses</t>
  </si>
  <si>
    <t>Growth Y-o-Y</t>
  </si>
  <si>
    <t xml:space="preserve">SG&amp;A </t>
  </si>
  <si>
    <t>SG&amp;A Detailed Sheet</t>
  </si>
  <si>
    <t>Employee Cost</t>
  </si>
  <si>
    <t>Salaries, Wages &amp; Bonus</t>
  </si>
  <si>
    <t>Contributions to EPF &amp; Pension Funds</t>
  </si>
  <si>
    <t>Workmen and Staff Welfare Expenses</t>
  </si>
  <si>
    <t>Other Employees Cost</t>
  </si>
  <si>
    <t>Electricity &amp; Power</t>
  </si>
  <si>
    <t>Rent , Rates &amp; Taxes</t>
  </si>
  <si>
    <t>Professional and legal fees</t>
  </si>
  <si>
    <t>Travelling and conveyance</t>
  </si>
  <si>
    <t>Other Administration</t>
  </si>
  <si>
    <t>Selling and Distribution Cost</t>
  </si>
  <si>
    <t>Advertisement &amp; Sales Promotion</t>
  </si>
  <si>
    <t>Freight and Forwarding</t>
  </si>
  <si>
    <t>Processing charges</t>
  </si>
  <si>
    <t>Repairs and Maintenance</t>
  </si>
  <si>
    <t>Packing Material Consumed</t>
  </si>
  <si>
    <t xml:space="preserve">Commonsize </t>
  </si>
  <si>
    <t>SG&amp;A Estimates</t>
  </si>
  <si>
    <t>SG&amp;A</t>
  </si>
  <si>
    <t xml:space="preserve">Employee Cost </t>
  </si>
  <si>
    <t>SG&amp;A % Revenue</t>
  </si>
  <si>
    <t>Employee Cost % Sales</t>
  </si>
  <si>
    <t>Selling &amp; Distribution Cost</t>
  </si>
  <si>
    <t>Selling &amp; Distribution Cost % Sales</t>
  </si>
  <si>
    <t>Other Expenses % Sales</t>
  </si>
  <si>
    <t>Home Care Sales % yoy</t>
  </si>
  <si>
    <t>Personal Care Sales % yoy</t>
  </si>
  <si>
    <t>Beauty &amp; Wellbeing Sales % yoy</t>
  </si>
  <si>
    <t>Foods Sales % yoy</t>
  </si>
  <si>
    <t>Others Sales % yoy</t>
  </si>
  <si>
    <t>Total Sales growth % yoy</t>
  </si>
  <si>
    <t>Sales Breakup- Segment Wise</t>
  </si>
  <si>
    <t>Othere Expenses</t>
  </si>
  <si>
    <t>Less: SG&amp;A (Excluding Depriciation &amp; Interest)</t>
  </si>
  <si>
    <t>SG&amp;A:</t>
  </si>
  <si>
    <t>Employee Benefit Expenses% Sales</t>
  </si>
  <si>
    <t>Other Expenses% Sales</t>
  </si>
  <si>
    <t>Employee Benefit Expenses % Revenue</t>
  </si>
  <si>
    <t>Other Expenses % Revenue</t>
  </si>
  <si>
    <t>Source: Goindiastocks</t>
  </si>
  <si>
    <t>This data is considered for calc. not below working as it was inconsistent means the data taken out of goindiastocks had inconsistencies hence took this directly</t>
  </si>
  <si>
    <t>Total Employee Benefit Expenses</t>
  </si>
  <si>
    <t>Employee Benefit Expenses % Sales</t>
  </si>
  <si>
    <t>Total Other Expenses</t>
  </si>
  <si>
    <t>Other Expenses % yoy growth</t>
  </si>
  <si>
    <t>EBITDA Margin%</t>
  </si>
  <si>
    <t>Investments</t>
  </si>
  <si>
    <t>Cash and Cash Equivalents</t>
  </si>
  <si>
    <t>Loans &amp;Advances</t>
  </si>
  <si>
    <t>Commonsize</t>
  </si>
  <si>
    <t>Current Assets % Total Current Assets</t>
  </si>
  <si>
    <t>Average Inventory</t>
  </si>
  <si>
    <t>Average Inventory % Revenue</t>
  </si>
  <si>
    <t>Inventory Turnover Ratio(Revenue)</t>
  </si>
  <si>
    <t>Inventory Turnover Ratio(COGS)</t>
  </si>
  <si>
    <t>Inventory Days (Revenue)</t>
  </si>
  <si>
    <t>Inventory Days (COGS)</t>
  </si>
  <si>
    <t>7 Years</t>
  </si>
  <si>
    <t>Revenue Yoy% Growth</t>
  </si>
  <si>
    <t>Inventory Yoy% Growth</t>
  </si>
  <si>
    <t>HUL</t>
  </si>
  <si>
    <t>ITC</t>
  </si>
  <si>
    <t>Marico</t>
  </si>
  <si>
    <t>Britannia Industries Ltd</t>
  </si>
  <si>
    <t>icici direct</t>
  </si>
  <si>
    <t>Bobcaps</t>
  </si>
  <si>
    <t>Axis Direct</t>
  </si>
  <si>
    <t>Peers Invetory Days Analysis (COGS)</t>
  </si>
  <si>
    <t>Street Estimate (Revenue)</t>
  </si>
  <si>
    <t>Street Estimate is considered almost flat from current levels</t>
  </si>
  <si>
    <t>Average Trade Receivables</t>
  </si>
  <si>
    <t>Average Trade Receivables % Revenue</t>
  </si>
  <si>
    <t>Trade Receivables Yoy% Growth</t>
  </si>
  <si>
    <t>Debtor Turnover Ratio</t>
  </si>
  <si>
    <t xml:space="preserve">Street Estimate </t>
  </si>
  <si>
    <t xml:space="preserve">Peers Debtor Days Analysis </t>
  </si>
  <si>
    <t>Receivables Ageing Analysis</t>
  </si>
  <si>
    <t>Gross Block</t>
  </si>
  <si>
    <t>Less: Accumulated Depreciation</t>
  </si>
  <si>
    <t>Net Fixed Assets</t>
  </si>
  <si>
    <t xml:space="preserve">Net Fixed Assets % Total Assets </t>
  </si>
  <si>
    <t xml:space="preserve">Net Fixed Assets % Total Revenue </t>
  </si>
  <si>
    <t>Breakup of Fixed Assets</t>
  </si>
  <si>
    <t>Land</t>
  </si>
  <si>
    <t>Building</t>
  </si>
  <si>
    <t>Plant Machinery</t>
  </si>
  <si>
    <t>Equipments</t>
  </si>
  <si>
    <t>Furniture n fittings</t>
  </si>
  <si>
    <t>Gross Fixed Assets</t>
  </si>
  <si>
    <t>~98% of Inatgible Asset is having indefinite life</t>
  </si>
  <si>
    <t>Change in Gross Block</t>
  </si>
  <si>
    <t>Change in Revenue</t>
  </si>
  <si>
    <t>Change in Revenue/Change in Gross Block</t>
  </si>
  <si>
    <t>Depreciation &amp; Amortization</t>
  </si>
  <si>
    <t>Maintenance Capex</t>
  </si>
  <si>
    <t>Growth Capex</t>
  </si>
  <si>
    <t>Growth in Gross Block yoy%</t>
  </si>
  <si>
    <t>Asset Turnover Ratio</t>
  </si>
  <si>
    <t>https://www.hul.co.in/news/press-releases/2026/hul-to-invest-up-to-2000-crore-in-capacity-expansion/#:~:text=Hindustan%20Unilever%20Limited%20(HUL)%20today,two%20years%20across%20multiple%20locations.</t>
  </si>
  <si>
    <t>₹2000Crore Across 2 Years to be Invested i.e. in 2027 and 2028</t>
  </si>
  <si>
    <t>Change in Gross Block % Revenue</t>
  </si>
  <si>
    <t>CWIP</t>
  </si>
  <si>
    <t>Other Financial Asset</t>
  </si>
  <si>
    <t>Other Current Assets % Total Assets</t>
  </si>
  <si>
    <t>Fixed Assets</t>
  </si>
  <si>
    <t>Less: Land</t>
  </si>
  <si>
    <t>Land to be excluded</t>
  </si>
  <si>
    <t>Less: Goodwill</t>
  </si>
  <si>
    <t>Other Intangible Assets</t>
  </si>
  <si>
    <t>`</t>
  </si>
  <si>
    <t>Other Intangibles</t>
  </si>
  <si>
    <t>Property Plant &amp; Equipments Growth%</t>
  </si>
  <si>
    <t>Other Intangibles(Excluding Goodwill &amp; Brand Rights) Growth %</t>
  </si>
  <si>
    <t>Capital Work in Progress Growth%</t>
  </si>
  <si>
    <t>Goodwill Growth%</t>
  </si>
  <si>
    <t>YoY Growth %</t>
  </si>
  <si>
    <t>Capital Work in Progress</t>
  </si>
  <si>
    <t>Brand Rights</t>
  </si>
  <si>
    <t>Brand Rights Growth %</t>
  </si>
  <si>
    <t>Less: Brand Rights (Indefinite Life)</t>
  </si>
  <si>
    <t>Non-Current Financial Assets Growth %</t>
  </si>
  <si>
    <t>Deferred Tax Assets Growth %</t>
  </si>
  <si>
    <t>Non-Current Tax Assets Growth %</t>
  </si>
  <si>
    <t>Other Non-Current Assets % Revenue</t>
  </si>
  <si>
    <t>Other Non- Current Items</t>
  </si>
  <si>
    <t>Other Non- Current Items % Total Revenue</t>
  </si>
  <si>
    <t>Deferred Tax Assets</t>
  </si>
  <si>
    <t>Non-Current Financial Assets</t>
  </si>
  <si>
    <t>Other Non- Current Assets</t>
  </si>
  <si>
    <t>Non- Current Financial Assets % Total Revenue</t>
  </si>
  <si>
    <t>Non-Current Financial Assets % Revenue</t>
  </si>
  <si>
    <t>CWIP % Net Fixed Assets</t>
  </si>
  <si>
    <t>Median CWIP % Fixed Assets- Moderate Capex</t>
  </si>
  <si>
    <t>No concrete Guidance</t>
  </si>
  <si>
    <t>Remains flat at 1009</t>
  </si>
  <si>
    <t>Total Net Fixed Assets</t>
  </si>
  <si>
    <t>Depreciable Gross Block</t>
  </si>
  <si>
    <t>Less: Acc. Dep &amp; Amortization</t>
  </si>
  <si>
    <t>Net Depreciable Fixed Assets</t>
  </si>
  <si>
    <t>Depreciation for the year</t>
  </si>
  <si>
    <t xml:space="preserve">Average Useful Life </t>
  </si>
  <si>
    <t>Average Age of the Assets</t>
  </si>
  <si>
    <t>% of Asset Used</t>
  </si>
  <si>
    <t>Depreciation % Net Fixed Assets</t>
  </si>
  <si>
    <t>EBITDA Margins%</t>
  </si>
  <si>
    <t>EBIT Margins%</t>
  </si>
  <si>
    <t>Opening PP&amp;E at the beginning of the Year</t>
  </si>
  <si>
    <t>Add: Capex During the Year</t>
  </si>
  <si>
    <t>Less: Depreciation During the Year</t>
  </si>
  <si>
    <t>Closing PP&amp;E at the end of the Year</t>
  </si>
  <si>
    <t>Total revenue</t>
  </si>
  <si>
    <t xml:space="preserve">Average </t>
  </si>
  <si>
    <t>Capex % Revenue</t>
  </si>
  <si>
    <t xml:space="preserve">Capex </t>
  </si>
  <si>
    <t>Other Intangibles YoY Growth %</t>
  </si>
  <si>
    <t>Opening Other Intangibles at the beginning of the year</t>
  </si>
  <si>
    <t>Closing Other Intangibles at the beginning of the year</t>
  </si>
  <si>
    <t>Addition in Brand Rights</t>
  </si>
  <si>
    <t>Addition in Other Intangibles</t>
  </si>
  <si>
    <t>Depreciation &amp; Amortization Schedule</t>
  </si>
  <si>
    <t>Depreciation &amp; Amortization for the Year</t>
  </si>
  <si>
    <t>Total Depreciation &amp; Amortization for the Year</t>
  </si>
  <si>
    <t>Depreciation &amp; Amortization % Sales</t>
  </si>
  <si>
    <t xml:space="preserve">Depreciation &amp; Amortization Waterfall Schedule </t>
  </si>
  <si>
    <t>Revenue From Operations</t>
  </si>
  <si>
    <t>Add/(Less): Share Of Profit/Loss Of Associates</t>
  </si>
  <si>
    <t>Add/(Less): Exceptional Items</t>
  </si>
  <si>
    <t>Other Income % Revenue</t>
  </si>
  <si>
    <t>yoy % growth</t>
  </si>
  <si>
    <t>Other Income Assumed Constant at 1017 throughout</t>
  </si>
  <si>
    <t xml:space="preserve">Add: Cash acquired under Business Combination </t>
  </si>
  <si>
    <t>Bank Balances</t>
  </si>
  <si>
    <t>Trade Payable</t>
  </si>
  <si>
    <t>Growth YoY%</t>
  </si>
  <si>
    <t>Trade Payables % COGS</t>
  </si>
  <si>
    <t>Trade Payables % Revenue</t>
  </si>
  <si>
    <t>Trade Receivables % Revenue</t>
  </si>
  <si>
    <t>Peers Trade Payables Days Analysis (COGS)</t>
  </si>
  <si>
    <t>Peer Comparison</t>
  </si>
  <si>
    <t>NO Concrete Guidance</t>
  </si>
  <si>
    <t>Trade Payable Days (COGS)</t>
  </si>
  <si>
    <t>Trade Payable Days (Revenue)</t>
  </si>
  <si>
    <t>Debt</t>
  </si>
  <si>
    <t>we assume ocl excluding short term borrowings to remain flat. STB arec separately calculated</t>
  </si>
  <si>
    <t>Current Assets  Assumptions</t>
  </si>
  <si>
    <t>Other Current Assets % Revenue</t>
  </si>
  <si>
    <t>Current Investments % Revenue</t>
  </si>
  <si>
    <t>Current Investments % Total Assets</t>
  </si>
  <si>
    <t>Loans % Total Assets</t>
  </si>
  <si>
    <t>Loans % Revenue</t>
  </si>
  <si>
    <t>Other Financial Assets % Revenue</t>
  </si>
  <si>
    <t>Other Financial Assets % Total Assets</t>
  </si>
  <si>
    <t>Current Investments % Sales</t>
  </si>
  <si>
    <t>Other Financial Assets % Sales</t>
  </si>
  <si>
    <t>Change in Current Investments</t>
  </si>
  <si>
    <t>Change in Loans</t>
  </si>
  <si>
    <t>Change in Other Financial Assets</t>
  </si>
  <si>
    <t>Loans % Growth</t>
  </si>
  <si>
    <t>Lease Liabilities (L)</t>
  </si>
  <si>
    <t>Lease Liabilities (S)</t>
  </si>
  <si>
    <t>Other Financial Liabilities (S)</t>
  </si>
  <si>
    <t>Other Financial Liabilities (L)</t>
  </si>
  <si>
    <t>Provisions (S)</t>
  </si>
  <si>
    <t>Provisions (L)</t>
  </si>
  <si>
    <t>Other Current Liabilities Items</t>
  </si>
  <si>
    <t>Short term Borrowings</t>
  </si>
  <si>
    <t>Lease Liabilities (L) % Total Debt</t>
  </si>
  <si>
    <t>Lease Liabilities (S) % Total Debt</t>
  </si>
  <si>
    <t>Short term Borrowings % Total Debt</t>
  </si>
  <si>
    <t>Lease Liabilities (S) % Revenue</t>
  </si>
  <si>
    <t>Lease Liabilities (L) % Revenue</t>
  </si>
  <si>
    <t>Short term Borrowings % Revenue</t>
  </si>
  <si>
    <t>Debt to Equity</t>
  </si>
  <si>
    <t>Debt to Capital</t>
  </si>
  <si>
    <t>Debt to Asset</t>
  </si>
  <si>
    <t>Debt to EBITDA</t>
  </si>
  <si>
    <t>No conceret Management Guidance available</t>
  </si>
  <si>
    <t>Interest Cost</t>
  </si>
  <si>
    <t>Interest Cost % Total Debt</t>
  </si>
  <si>
    <t>Interest Rate</t>
  </si>
  <si>
    <t>Amount</t>
  </si>
  <si>
    <t>Lease Liabilities (L) &amp; (S)</t>
  </si>
  <si>
    <t>Debt Assumptions</t>
  </si>
  <si>
    <t>Short Term Borrowings Growth %</t>
  </si>
  <si>
    <t>Lease Liabiities (L) % Revenue</t>
  </si>
  <si>
    <t>Lease Liabiities (S) % Revenue</t>
  </si>
  <si>
    <t>% Growth</t>
  </si>
  <si>
    <t>Short- Term Borrowings</t>
  </si>
  <si>
    <t>Lease Liabilities  Schedule</t>
  </si>
  <si>
    <t>Interest Cost % Revenue</t>
  </si>
  <si>
    <t>Interest Expenses</t>
  </si>
  <si>
    <t>Other Equity Schedule</t>
  </si>
  <si>
    <t>Other Equity - Beginning of the Year</t>
  </si>
  <si>
    <t>Other Equity - End of the Year</t>
  </si>
  <si>
    <t>Dividend</t>
  </si>
  <si>
    <t>Other Items</t>
  </si>
  <si>
    <t>Net change in Working Capital</t>
  </si>
  <si>
    <t>Less: Tax Paid</t>
  </si>
  <si>
    <t>Net Purchase of PPE</t>
  </si>
  <si>
    <t>Net Purchase of Current Investments</t>
  </si>
  <si>
    <t>Net Investment in Term Deposits</t>
  </si>
  <si>
    <t>Payment of Lease Liabilities</t>
  </si>
  <si>
    <t>Total Lease Liabilities</t>
  </si>
  <si>
    <t>Payment of Lease Liabilities % Total Lease Liabilities</t>
  </si>
  <si>
    <t>Right-of-Use Asset</t>
  </si>
  <si>
    <t>Other InTangible Assets</t>
  </si>
  <si>
    <t>Breakup of Fixed Assets(Commonsize)</t>
  </si>
  <si>
    <t>YoY%  Growth</t>
  </si>
  <si>
    <t>Right-of-Use Assets</t>
  </si>
  <si>
    <t>Opening Rou Assets at the beginning of the Year</t>
  </si>
  <si>
    <t>Other Intangibles (Excluding Brand Rights)</t>
  </si>
  <si>
    <t>Closing Rou Assets at the end of the Year</t>
  </si>
  <si>
    <t>Net Investments in Financial Assets</t>
  </si>
  <si>
    <t>Net Investments in Non-Current Assets</t>
  </si>
  <si>
    <t>New Lease Liabilities During the Year</t>
  </si>
  <si>
    <t>Add: New Lease Liabilities During the Year</t>
  </si>
  <si>
    <t>Cash Analysis</t>
  </si>
  <si>
    <t>Cash % Revenue</t>
  </si>
  <si>
    <t>Ca</t>
  </si>
  <si>
    <t>Cash % Total Assets</t>
  </si>
  <si>
    <t>Please Provide the Below Inputs</t>
  </si>
  <si>
    <t>Name of the Company</t>
  </si>
  <si>
    <t>WACC Inputs</t>
  </si>
  <si>
    <t>Country</t>
  </si>
  <si>
    <t>Local Currency 10Y Government Bond Yield</t>
  </si>
  <si>
    <t>Implied US Equity Risk Premium</t>
  </si>
  <si>
    <t>Asset Beta</t>
  </si>
  <si>
    <t>Asset Beta Variation (+/-)</t>
  </si>
  <si>
    <t>Debt to Capital (Gearing)</t>
  </si>
  <si>
    <t>Provide Credit Rating</t>
  </si>
  <si>
    <t>Small Size Risk Premium</t>
  </si>
  <si>
    <t>Asset Specific Risk Premium</t>
  </si>
  <si>
    <t>Moody's rating</t>
  </si>
  <si>
    <t>Rating-based Default Spread</t>
  </si>
  <si>
    <t>Abu Dhabi</t>
  </si>
  <si>
    <t>Aa2</t>
  </si>
  <si>
    <t>Albania</t>
  </si>
  <si>
    <t>Ba3</t>
  </si>
  <si>
    <t>Andorra (Principality of)</t>
  </si>
  <si>
    <t>Baa1</t>
  </si>
  <si>
    <t>Angola</t>
  </si>
  <si>
    <t>B3</t>
  </si>
  <si>
    <t>Argentina</t>
  </si>
  <si>
    <t>Caa1</t>
  </si>
  <si>
    <t>Armenia</t>
  </si>
  <si>
    <t>Aruba</t>
  </si>
  <si>
    <t>Baa3</t>
  </si>
  <si>
    <t>Australia</t>
  </si>
  <si>
    <t>Aaa</t>
  </si>
  <si>
    <t>Austria</t>
  </si>
  <si>
    <t>Aa1</t>
  </si>
  <si>
    <t>Azerbaijan</t>
  </si>
  <si>
    <t>Bahamas</t>
  </si>
  <si>
    <t>B1</t>
  </si>
  <si>
    <t>Bahrain</t>
  </si>
  <si>
    <t>B2</t>
  </si>
  <si>
    <t>Bangladesh</t>
  </si>
  <si>
    <t>Barbados</t>
  </si>
  <si>
    <t>Belarus</t>
  </si>
  <si>
    <t>C</t>
  </si>
  <si>
    <t>Belgium</t>
  </si>
  <si>
    <t>Aa3</t>
  </si>
  <si>
    <t>Belize</t>
  </si>
  <si>
    <t>Benin</t>
  </si>
  <si>
    <t>Bermuda</t>
  </si>
  <si>
    <t>A2</t>
  </si>
  <si>
    <t>Bolivia</t>
  </si>
  <si>
    <t>Bosnia and Herzegovina</t>
  </si>
  <si>
    <t>Botswana</t>
  </si>
  <si>
    <t>Brazil</t>
  </si>
  <si>
    <t>Ba1</t>
  </si>
  <si>
    <t>Bulgaria</t>
  </si>
  <si>
    <t>Burkina Faso</t>
  </si>
  <si>
    <t>Cambodia</t>
  </si>
  <si>
    <t>Cameroon</t>
  </si>
  <si>
    <t>Canada</t>
  </si>
  <si>
    <t>Cape Verde</t>
  </si>
  <si>
    <t>Cayman Islands</t>
  </si>
  <si>
    <t>Chile</t>
  </si>
  <si>
    <t>China</t>
  </si>
  <si>
    <t>A1</t>
  </si>
  <si>
    <t>Colombia</t>
  </si>
  <si>
    <t>Congo (Democratic Republic of)</t>
  </si>
  <si>
    <t>Congo (Republic of)</t>
  </si>
  <si>
    <t>Caa2</t>
  </si>
  <si>
    <t>Cook Islands</t>
  </si>
  <si>
    <t>Costa Rica</t>
  </si>
  <si>
    <t>Ba2</t>
  </si>
  <si>
    <t>Côte d'Ivoire</t>
  </si>
  <si>
    <t>Croatia</t>
  </si>
  <si>
    <t>A3</t>
  </si>
  <si>
    <t>Cuba</t>
  </si>
  <si>
    <t>Curacao</t>
  </si>
  <si>
    <t>Cyprus</t>
  </si>
  <si>
    <t>Czech Republic</t>
  </si>
  <si>
    <t>Denmark</t>
  </si>
  <si>
    <t>Dominican Republic</t>
  </si>
  <si>
    <t>Ecuador</t>
  </si>
  <si>
    <t>Caa3</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</si>
  <si>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</si>
  <si>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</si>
  <si>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</si>
  <si>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</si>
  <si>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</si>
  <si>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</si>
  <si>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</si>
  <si>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</si>
  <si>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</si>
  <si>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</si>
  <si>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</si>
  <si>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</si>
  <si>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</si>
  <si>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</si>
  <si>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</si>
  <si>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</si>
  <si>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</si>
  <si>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</si>
  <si>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</si>
  <si>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</si>
  <si>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</si>
  <si>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</si>
  <si>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</si>
  <si>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</si>
  <si>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</si>
  <si>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</si>
  <si>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</si>
  <si>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</si>
  <si>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</si>
  <si>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</si>
  <si>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</si>
  <si>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</si>
  <si>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</si>
  <si>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</si>
  <si>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</si>
  <si>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</si>
  <si>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</si>
  <si>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</si>
  <si>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</si>
  <si>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</si>
  <si>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</si>
  <si>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</si>
  <si>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</si>
  <si>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</si>
  <si>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</si>
  <si>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</si>
  <si>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</si>
  <si>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</si>
  <si>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</si>
  <si>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</si>
  <si>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</si>
  <si>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</si>
  <si>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</si>
  <si>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</si>
  <si>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</si>
  <si>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</si>
  <si>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</si>
  <si>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</si>
  <si>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</si>
  <si>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</si>
  <si>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</si>
  <si>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</si>
  <si>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</si>
  <si>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</si>
  <si>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</si>
  <si>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</si>
  <si>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</si>
  <si>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</si>
  <si>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</si>
  <si>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</si>
  <si>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</si>
  <si>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</si>
  <si>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</si>
  <si>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</si>
  <si>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</si>
  <si>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</si>
  <si>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</si>
  <si>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</si>
  <si>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</si>
  <si>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</si>
  <si>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</si>
  <si>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</si>
  <si>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</si>
  <si>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</si>
  <si>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</si>
  <si>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</si>
  <si>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</si>
  <si>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</si>
  <si>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</si>
  <si>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</si>
  <si>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</si>
  <si>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</si>
  <si>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</si>
  <si>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</si>
  <si>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</si>
  <si>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</si>
  <si>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</si>
  <si>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</si>
  <si>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</si>
  <si>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</si>
  <si>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</si>
  <si>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</si>
  <si>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</si>
  <si>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</si>
  <si>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</si>
  <si>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</si>
  <si>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</si>
  <si>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</si>
  <si>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</si>
  <si>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</si>
  <si>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</si>
  <si>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</si>
  <si>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Total Capital</t>
  </si>
  <si>
    <t>Company Credit Rating Available?</t>
  </si>
  <si>
    <t>For large non-financial service firms</t>
  </si>
  <si>
    <t>If interest coverage ratio is</t>
  </si>
  <si>
    <t>&gt;</t>
  </si>
  <si>
    <t>≤ to</t>
  </si>
  <si>
    <t>Rating is</t>
  </si>
  <si>
    <t>Spread is</t>
  </si>
  <si>
    <t>D2/D</t>
  </si>
  <si>
    <t>C2/C</t>
  </si>
  <si>
    <t>Ca2/CC</t>
  </si>
  <si>
    <t>Caa/CCC</t>
  </si>
  <si>
    <t>B3/B-</t>
  </si>
  <si>
    <t>B2/B</t>
  </si>
  <si>
    <t>B1/B+</t>
  </si>
  <si>
    <t>Ba2/BB</t>
  </si>
  <si>
    <t>Ba1/BB+</t>
  </si>
  <si>
    <t>Baa2/BBB</t>
  </si>
  <si>
    <t>A3/A-</t>
  </si>
  <si>
    <t>A2/A</t>
  </si>
  <si>
    <t>A1/A+</t>
  </si>
  <si>
    <t>Aa2/AA</t>
  </si>
  <si>
    <t>Aaa/AAA</t>
  </si>
  <si>
    <t>For financial service firms (default spreads are slighty different)</t>
  </si>
  <si>
    <t>If long term interest coverage ratio is</t>
  </si>
  <si>
    <t>greater than</t>
  </si>
  <si>
    <t>For smaller and riskier firms</t>
  </si>
  <si>
    <t>L</t>
  </si>
  <si>
    <t>S</t>
  </si>
  <si>
    <t>Y</t>
  </si>
  <si>
    <t>N</t>
  </si>
  <si>
    <t>Company is a Large Firm or Small Firm?</t>
  </si>
  <si>
    <t xml:space="preserve">Low </t>
  </si>
  <si>
    <t xml:space="preserve">Mid </t>
  </si>
  <si>
    <t>High</t>
  </si>
  <si>
    <t>Risk Free Rate</t>
  </si>
  <si>
    <t>D/E Ratio</t>
  </si>
  <si>
    <t>Equity Beta</t>
  </si>
  <si>
    <t>CAPM Cost of Equity</t>
  </si>
  <si>
    <t>Small Size Premium</t>
  </si>
  <si>
    <t>Asset Specific Premium</t>
  </si>
  <si>
    <t>Modified Cost of Equity</t>
  </si>
  <si>
    <t>Pre Tax Cost of Debt</t>
  </si>
  <si>
    <t>Post Tax Cost of Debt</t>
  </si>
  <si>
    <t>Capital Gearing (D/D+E)</t>
  </si>
  <si>
    <t>Weighted Average Cost of Capital (Rounded)</t>
  </si>
  <si>
    <t>ICR Based Corporate Default Spread</t>
  </si>
  <si>
    <t>Beta Analysis 2 Year Weekly</t>
  </si>
  <si>
    <t>Ticker</t>
  </si>
  <si>
    <t>No.of Weekly Observations</t>
  </si>
  <si>
    <t>Market Cap</t>
  </si>
  <si>
    <t>2Year Average D/E</t>
  </si>
  <si>
    <t>2 Years Avg D/D+E</t>
  </si>
  <si>
    <t>Comparable Companies</t>
  </si>
  <si>
    <t>ITC Ltd.</t>
  </si>
  <si>
    <t>ITC.NS</t>
  </si>
  <si>
    <t>Nestlé India Ltd.</t>
  </si>
  <si>
    <t>NESTLEIND.NS</t>
  </si>
  <si>
    <t>Britannia Industries Ltd.</t>
  </si>
  <si>
    <t>BRITANNIA.NS</t>
  </si>
  <si>
    <t>Dabur India Ltd.</t>
  </si>
  <si>
    <t>DABUR.NS</t>
  </si>
  <si>
    <t>Godrej Consumer Products Ltd.</t>
  </si>
  <si>
    <t>GODREJCP.NS</t>
  </si>
  <si>
    <t>Marico Ltd.</t>
  </si>
  <si>
    <t>MARICO.NS</t>
  </si>
  <si>
    <t>Colgate-Palmolive (India) Ltd.</t>
  </si>
  <si>
    <t>COLPAL.NS</t>
  </si>
  <si>
    <t>Tata Consumer Products Ltd.</t>
  </si>
  <si>
    <t>TATACONSUM.NS</t>
  </si>
  <si>
    <t>Emami Ltd.</t>
  </si>
  <si>
    <t>EMAMILTD.NS</t>
  </si>
  <si>
    <t>P&amp;G Hygiene &amp; Health Care Ltd.</t>
  </si>
  <si>
    <t>PGHH.NS</t>
  </si>
  <si>
    <t>Considered</t>
  </si>
  <si>
    <t>Median - Broad Set</t>
  </si>
  <si>
    <t>Median - Narrow Set</t>
  </si>
  <si>
    <t>Average- Broad Set</t>
  </si>
  <si>
    <t>Average- Narrow Set</t>
  </si>
  <si>
    <t>Narrow Set</t>
  </si>
  <si>
    <t>Beta Analysis 5 Year Monthly</t>
  </si>
  <si>
    <t>5 Year Average D/E</t>
  </si>
  <si>
    <t>5 Years Avg D/D+E</t>
  </si>
  <si>
    <t>Blume Beta Analysis 5 Year Monthly</t>
  </si>
  <si>
    <t>2/3* Beta + 1/3* Market Beta</t>
  </si>
  <si>
    <t>We are taking 0.68 as Asset Beta</t>
  </si>
  <si>
    <t>Debt to Equity Ratio</t>
  </si>
  <si>
    <t>Add: Non-Operating Assets</t>
  </si>
  <si>
    <t>Less: Value of Options</t>
  </si>
  <si>
    <t>Equity Value for shareholders</t>
  </si>
  <si>
    <t>Less: Minority Interest</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</si>
  <si>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</si>
  <si>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</si>
  <si>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</si>
  <si>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</si>
  <si>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</si>
  <si>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</si>
  <si>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</si>
  <si>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Risk Free rate =</t>
  </si>
  <si>
    <t>Enter the number of options outstanding =</t>
  </si>
  <si>
    <t>Enter the number of shares outstanding =</t>
  </si>
  <si>
    <t>Do not input any numbers below this line</t>
  </si>
  <si>
    <t>VALUING OPTIONS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</si>
  <si>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</si>
  <si>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</si>
  <si>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</si>
  <si>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</si>
  <si>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</si>
  <si>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</si>
  <si>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</si>
  <si>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</si>
  <si>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</si>
  <si>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</si>
  <si>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</si>
  <si>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</si>
  <si>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</si>
  <si>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</si>
  <si>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</si>
  <si>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</si>
  <si>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</si>
  <si>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Tranche</t>
  </si>
  <si>
    <t>Grant Date</t>
  </si>
  <si>
    <t>No.of Options Granted</t>
  </si>
  <si>
    <t>Exercise Price</t>
  </si>
  <si>
    <t>Maturity</t>
  </si>
  <si>
    <t>Expected Volatility</t>
  </si>
  <si>
    <t>Weighted Average</t>
  </si>
  <si>
    <t>Maturity Period</t>
  </si>
  <si>
    <t>Terminal Growth Rate</t>
  </si>
  <si>
    <t>Multiple</t>
  </si>
  <si>
    <t>Rs Cr</t>
  </si>
  <si>
    <t>Capital Employed</t>
  </si>
  <si>
    <t>ROIIC Profiling</t>
  </si>
  <si>
    <t>Cumulative Net Income</t>
  </si>
  <si>
    <t>Incremental Capital Deployed</t>
  </si>
  <si>
    <t>ROIIC</t>
  </si>
  <si>
    <t>Intrinsic Compounding Rate</t>
  </si>
  <si>
    <t>Stock Price (10 Year CAGR)</t>
  </si>
  <si>
    <t>Stock Price (5 Year CAGR)</t>
  </si>
  <si>
    <t>Incremental Net Income</t>
  </si>
  <si>
    <t>INSERT LOGO</t>
  </si>
  <si>
    <t>About the Company</t>
  </si>
  <si>
    <t>Summary</t>
  </si>
  <si>
    <t>RETURN ON EQUITY (ROE)</t>
  </si>
  <si>
    <t>ROE - DUPONT EQUATION</t>
  </si>
  <si>
    <t>RETURN ON ASSETS (ROA)</t>
  </si>
  <si>
    <t>ROC - DUPONT EQUATION</t>
  </si>
  <si>
    <t>RETURN ON CAPITAL EMPLOYED (ROCE)</t>
  </si>
  <si>
    <t>NOPAT</t>
  </si>
  <si>
    <t>ROCE - DUPONT EQUATION</t>
  </si>
  <si>
    <t>MOAT ASSESSMENT</t>
  </si>
  <si>
    <t>Gross Profit Margin</t>
  </si>
  <si>
    <t>If Margins are Stable/Expanding - It shows Pricing power of the company</t>
  </si>
  <si>
    <t>EBITDA Margin</t>
  </si>
  <si>
    <t>Net Profit Margin</t>
  </si>
  <si>
    <t>ROIC</t>
  </si>
  <si>
    <t>ROCE</t>
  </si>
  <si>
    <t>ROE</t>
  </si>
  <si>
    <t>EPS</t>
  </si>
  <si>
    <t>ROA</t>
  </si>
  <si>
    <t>PEER COMPARISON (DUPONT EQUATION)</t>
  </si>
  <si>
    <t xml:space="preserve"> NET PROFIT MARGIN (A) </t>
  </si>
  <si>
    <t xml:space="preserve"> ASSET TURNOVER RATIO (B) </t>
  </si>
  <si>
    <t xml:space="preserve"> EQUITY MULTIPLIER (C) </t>
  </si>
  <si>
    <t xml:space="preserve"> RETURN ON EQUITY (A*B*C) </t>
  </si>
  <si>
    <t>PEER COMPARISON</t>
  </si>
  <si>
    <t>AVERAGE</t>
  </si>
  <si>
    <t>MEDIAN</t>
  </si>
  <si>
    <t>Hindustan Unilever is in the FMCG business comprising primarily of Home Care, Beauty &amp; Personal Care and Foods &amp; Refreshment segments. The Company has manufacturing facilities across the country and sells primarily in India.</t>
  </si>
  <si>
    <t>Net Profit</t>
  </si>
  <si>
    <t>Average Equity</t>
  </si>
  <si>
    <t>Net Profit Margin (A)</t>
  </si>
  <si>
    <t>Average Total Assets</t>
  </si>
  <si>
    <t>Asset Turnover Ratio (B)</t>
  </si>
  <si>
    <t>Equity Multiplier/ Financial Leverage (C)</t>
  </si>
  <si>
    <t>Return on Equity (A*B*C)</t>
  </si>
  <si>
    <t>Return on Assets (ROA)</t>
  </si>
  <si>
    <t>Return on Assets (A*B*C)</t>
  </si>
  <si>
    <t>Average Capital Employed</t>
  </si>
  <si>
    <t>NOPAT Margin (A)</t>
  </si>
  <si>
    <t>Capital Turnover Ratio (B)</t>
  </si>
  <si>
    <t>Return on Capital Employed (A*B*C)</t>
  </si>
  <si>
    <t>Return on Capital Employed (ROCE)</t>
  </si>
  <si>
    <t>Return on Equity (ROE)</t>
  </si>
  <si>
    <t>Equity Multiplier Ratio / Financial Leverage</t>
  </si>
  <si>
    <t>Intangible Assets Spends</t>
  </si>
  <si>
    <t xml:space="preserve">Dabur India </t>
  </si>
  <si>
    <t>Godrej Consumer Products</t>
  </si>
  <si>
    <t>Tata Consumer Products</t>
  </si>
  <si>
    <t>1. Tax rate considered as Marginal Tax rate of India.
2. Asset Beta is considered as median of 5 years of beta of comps adjusted for blume effect.
3. Equity Beta = Asset Beta * (1+(1- Tax rate%)*Debt/Equity)</t>
  </si>
  <si>
    <t>Risk Free rate</t>
  </si>
  <si>
    <t>Comparable Companies — Business Description</t>
  </si>
  <si>
    <t>Comparable Company</t>
  </si>
  <si>
    <t>Business Description</t>
  </si>
  <si>
    <t>Key Segments</t>
  </si>
  <si>
    <t>Comparability to HUL</t>
  </si>
  <si>
    <t>Dabur India Limited</t>
  </si>
  <si>
    <t>DABUR</t>
  </si>
  <si>
    <t>India's 4th largest FMCG co. World's largest Ayurvedic &amp; Natural Health Care company. 250+ Herbal/Ayurvedic products across healthcare, personal care, food &amp; beverages.</t>
  </si>
  <si>
    <t>Healthcare, Oral Care, Hair Care, Beverages (Real), Skin Care</t>
  </si>
  <si>
    <t>Diversified FMCG with personal care &amp; oral care overlap. Deep rural distribution similar to HUL.</t>
  </si>
  <si>
    <t>Marico Limited</t>
  </si>
  <si>
    <t>MARICO</t>
  </si>
  <si>
    <t>Leading consumer goods co in beauty &amp; wellness. 25+ countries. Brands in hair care, skin care, edible oils, healthy foods, male grooming.</t>
  </si>
  <si>
    <t>Coconut Oil (Parachute), Edible Oils (Saffola), Hair Care, Male Grooming (Beardo, Set Wet)</t>
  </si>
  <si>
    <t>Strong overlap in personal care. Similar distribution scale &amp; premiumisation strategy.</t>
  </si>
  <si>
    <t>GODREJCP</t>
  </si>
  <si>
    <t>Leading FMCG in household &amp; personal care. India, Africa, Indonesia, Latin America. Focus on home care (insecticides) and personal care.</t>
  </si>
  <si>
    <t>Home Care (Good Knight, HIT), Personal Wash (Cinthol), Hair Colour (Expert), Air Care (Aer)</t>
  </si>
  <si>
    <t>Direct competitor in home care &amp; personal wash. International FMCG exposure comparable to HUL.</t>
  </si>
  <si>
    <t>TATACONSUM</t>
  </si>
  <si>
    <t>F&amp;B focused FMCG under Tata Group. Tea, coffee, water, salt, pulses, ready-to-eat. Acquired Capital Foods (Tata Sampann).</t>
  </si>
  <si>
    <t>Beverages (Tata Tea, Tetley), Salt (Tata Salt), Pulses (Tata Sampann), Water (Himalayan)</t>
  </si>
  <si>
    <t>Strong F&amp;B overlap with HUL foods division. Growing staples portfolio. Premium positioning.</t>
  </si>
  <si>
    <t>Nestle India Limited</t>
  </si>
  <si>
    <t>NESTLEIND</t>
  </si>
  <si>
    <t>India's largest packaged food co. Subsidiary of Nestle S.A. Strong presence in noodles, dairy, chocolates, coffee, infant nutrition.</t>
  </si>
  <si>
    <t>Noodles (Maggi), Dairy (Milkmaid), Chocolate (KitKat), Coffee (Nescafe), Infant (Cerelac)</t>
  </si>
  <si>
    <t>Comparable scale &amp; brand strength. Overlaps in foods &amp; refreshments. Premiumisation play.</t>
  </si>
  <si>
    <t>Britannia Industries</t>
  </si>
  <si>
    <t>BRITANNIA</t>
  </si>
  <si>
    <t>India's leading bakery &amp; dairy products co. Biscuits, bread, cakes, rusk, dairy. Health &amp; wellness focus via NutriChoice range.</t>
  </si>
  <si>
    <t>Biscuits (Good Day, Marie Gold, NutriChoice), Bread, Cakes, Dairy (Cheese, Milk)</t>
  </si>
  <si>
    <t>Premium FMCG with distribution overlap. Comparable margin profile. India consumption upgrade play.</t>
  </si>
  <si>
    <t>Source: Company Annual Reports, BSE/NSE filings, Screener.in</t>
  </si>
  <si>
    <t>Benchmarking — HUL vs Comparable Companies</t>
  </si>
  <si>
    <t>Revenue Growth Comparison (5Y CAGR &amp; TTM YoY)</t>
  </si>
  <si>
    <t>EBITDA Margin Comparison</t>
  </si>
  <si>
    <t>Company</t>
  </si>
  <si>
    <t>5Y Revenue CAGR</t>
  </si>
  <si>
    <t>TTM Rev. Growth YoY</t>
  </si>
  <si>
    <t>TTM PAT Growth YoY</t>
  </si>
  <si>
    <t>EBITDA Margin (TTM)</t>
  </si>
  <si>
    <t>Hindustan Unilever Ltd (HUL)</t>
  </si>
  <si>
    <t>Dabur India Ltd</t>
  </si>
  <si>
    <t>Marico Ltd</t>
  </si>
  <si>
    <t>Nestle India Ltd</t>
  </si>
  <si>
    <t>Peer Mean (excl. HUL)</t>
  </si>
  <si>
    <t>Peer Median (excl. HUL)</t>
  </si>
  <si>
    <t>HUL Premium/(Discount)</t>
  </si>
  <si>
    <t>PAT Margin Comparison</t>
  </si>
  <si>
    <t>Return on Equity (ROE) Comparison</t>
  </si>
  <si>
    <t>PAT Margin (TTM)</t>
  </si>
  <si>
    <t>ROE (TTM)</t>
  </si>
  <si>
    <t>Return on Capital Employed (ROCE) Comparison</t>
  </si>
  <si>
    <t>EV / EBITDA Comparison</t>
  </si>
  <si>
    <t>ROCE (TTM)</t>
  </si>
  <si>
    <t>EV/EBITDA (TTM)</t>
  </si>
  <si>
    <t>Price / Earnings (P/E) Comparison</t>
  </si>
  <si>
    <t>Price / Book Comparison</t>
  </si>
  <si>
    <t>P/E (TTM)</t>
  </si>
  <si>
    <t>P/B (TTM)</t>
  </si>
  <si>
    <t>Key Observations</t>
  </si>
  <si>
    <t>1. HUL trades at a discount to peer median on EV/EBITDA and P/E despite sector leadership — reflects muted TTM revenue growth (~2%) vs peers.</t>
  </si>
  <si>
    <t>2. HUL EBITDA margin (~23.5%) is among the highest, rivalled only by Nestle (~24%). This supports a margin-based valuation premium.</t>
  </si>
  <si>
    <t>3. Revenue growth is the weakest link — 5Y CAGR of ~9.7% lags Tata Consumer (~15%) and is mid-pack vs peers.</t>
  </si>
  <si>
    <t>4. ROE of ~20.7% is moderate vs Nestle (~75%) and Britannia (~57.5%), partly due to HUL's larger equity base from minimal leverage.</t>
  </si>
  <si>
    <t>5. ROCE of ~27.8% is strong. Nestle and Britannia lead on this metric due to higher financial leverage amplifying returns.</t>
  </si>
  <si>
    <t>6. On P/B, HUL at 10.5x trades well below Nestle (51x) and Britannia (37x), reflecting the ROE differential.</t>
  </si>
  <si>
    <t>7. Tata Consumer trades at highest P/E (~74x) due to growth expectations from staples portfolio expansion; has the lowest margins in the set.</t>
  </si>
  <si>
    <t>Source: Screener.in, NSE/BSE filings, company annual reports. Market data as of mid-March 2026.</t>
  </si>
  <si>
    <t>Note: HUL EV/EBITDA of ~33.9x uses EV ~Rs.5,03,000 Cr (Yahoo Finance as of Mar 2026) / EBITDA Rs.14,851 Cr (model FY2025).</t>
  </si>
  <si>
    <t>Your model may show a different figure depending on exact EV calculation (e.g. including minority interest, preferred equity, pension obligations).</t>
  </si>
  <si>
    <t>Relative Valuation — Trading Comparables</t>
  </si>
  <si>
    <t>All figures in Rs. Crores unless stated otherwise | Data as of March 2026</t>
  </si>
  <si>
    <t>Market Data</t>
  </si>
  <si>
    <t>Share Price (Rs.)</t>
  </si>
  <si>
    <t>Net Debt</t>
  </si>
  <si>
    <t>PAT</t>
  </si>
  <si>
    <t>EV/Sales</t>
  </si>
  <si>
    <t>EV/EBITDA</t>
  </si>
  <si>
    <t>P/E</t>
  </si>
  <si>
    <t>75th Percentile</t>
  </si>
  <si>
    <t>Mean</t>
  </si>
  <si>
    <t>25th Percentile</t>
  </si>
  <si>
    <t>Low</t>
  </si>
  <si>
    <t>HUL — Implied Valuation</t>
  </si>
  <si>
    <t>HUL Financials (TTM)</t>
  </si>
  <si>
    <t>Metric</t>
  </si>
  <si>
    <t>Mean Mult.</t>
  </si>
  <si>
    <t>Median Mult.</t>
  </si>
  <si>
    <t>Implied (Mean)</t>
  </si>
  <si>
    <t>Implied (Median)</t>
  </si>
  <si>
    <t>EV / Sales</t>
  </si>
  <si>
    <t>&lt; Implied Enterprise Value</t>
  </si>
  <si>
    <t>EV / EBITDA</t>
  </si>
  <si>
    <t>P / E</t>
  </si>
  <si>
    <t>&lt; Implied Equity Value (Mkt Cap)</t>
  </si>
  <si>
    <t>Source: Screener.in, NSE/BSE, company filings. Market data as of mid-March 2026.</t>
  </si>
  <si>
    <t>Blue = hardcoded inputs (update with latest). Black = formulas. Green = cross-references.</t>
  </si>
  <si>
    <t>EV = Market Cap + Net Debt (Total Debt - Cash). Negative Net Debt = net cash position.</t>
  </si>
  <si>
    <t>Earnings</t>
  </si>
  <si>
    <t>Valuation Multiple</t>
  </si>
  <si>
    <t xml:space="preserve">We have considered 6.68% as the risk-free rate in estimation of cost of equity of 11%. The risk-free rate of India is calculated by considering local currency 10-year government bond yield adjusted for default spread of India. </t>
  </si>
  <si>
    <t xml:space="preserve">Asset Beta </t>
  </si>
  <si>
    <t xml:space="preserve">We have estimated an asset beta of 0.67 to 0.69, with a midpoint of 0.68, based on the observed median of the five-year monthly asset beta of benchmark listed companies, adjusted for the blume effect. </t>
  </si>
  <si>
    <t xml:space="preserve">An ERP of 6.25% has been adopted based on U.S. implied equity risk premium, relative equity volatility of ICE BofA Public Sector Issues Emerging Markets Index, S&amp;P Emerging BMI Index, and Country Risk Premium of India. </t>
  </si>
  <si>
    <t>Cost of Debt</t>
  </si>
  <si>
    <t xml:space="preserve">For the purpose of assessing the cost of debt we have used the country's risk-free rate, the country's default spread, and the corporate default spread based on the company's debt rating and interest coverage ratio. </t>
  </si>
  <si>
    <t xml:space="preserve">Small sized premium </t>
  </si>
  <si>
    <t xml:space="preserve">Empirically small-sized assets have exceeded the returns as compared to large-sized assets. We have used the study on size premium conducted by INCWORT, which is based on the difference between actual returns and CAPM expected returns, arranged on a decile basis by market capitalization of Indian companies. </t>
  </si>
  <si>
    <t xml:space="preserve">Asset specific premium </t>
  </si>
  <si>
    <t xml:space="preserve">As per Professor Aswath Damodaran, asset-specific premium is the execution risk that the company faces if they do not achieve the targets as they have planned to. Since HUL is the market leader and has been historically in delivering on their targets and the guidance that they have provided, we have assumed that there is no asset-specific risk involved in this business. </t>
  </si>
  <si>
    <t>Technavio</t>
  </si>
  <si>
    <t>https://www.technavio.com/report/palm-oil-market-industry-analysis</t>
  </si>
  <si>
    <r>
      <t>The </t>
    </r>
    <r>
      <rPr>
        <b/>
        <sz val="10"/>
        <color rgb="FF212529"/>
        <rFont val="Segoe UI"/>
        <family val="2"/>
      </rPr>
      <t>palm oil market</t>
    </r>
    <r>
      <rPr>
        <sz val="10"/>
        <color rgb="FF212529"/>
        <rFont val="Segoe UI"/>
        <family val="2"/>
      </rPr>
      <t> size is valued to increase by </t>
    </r>
    <r>
      <rPr>
        <b/>
        <sz val="10"/>
        <color rgb="FF212529"/>
        <rFont val="Segoe UI"/>
        <family val="2"/>
      </rPr>
      <t>USD 23.67 billion, </t>
    </r>
    <r>
      <rPr>
        <sz val="10"/>
        <color rgb="FF212529"/>
        <rFont val="Segoe UI"/>
        <family val="2"/>
      </rPr>
      <t>at a </t>
    </r>
    <r>
      <rPr>
        <b/>
        <sz val="10"/>
        <color rgb="FF212529"/>
        <rFont val="Segoe UI"/>
        <family val="2"/>
      </rPr>
      <t>CAGR of 4.3%</t>
    </r>
    <r>
      <rPr>
        <sz val="10"/>
        <color rgb="FF212529"/>
        <rFont val="Segoe UI"/>
        <family val="2"/>
      </rPr>
      <t> from 2025 to 2030. Versatility and cost-effectiveness driving food and beverage sector demand will drive the palm oil market.</t>
    </r>
  </si>
  <si>
    <t>Market Opportunities: USD 49.87 billion</t>
  </si>
  <si>
    <t>Market Future Opportunities: USD 23.67 billion</t>
  </si>
  <si>
    <t>CAGR from 2025 to 2030 : 4.3%</t>
  </si>
  <si>
    <t>However, the industry grapples with challenges tied to deforestation and social issues, spurring a market-wide shift towards traceability and certification. For instance, a food manufacturer aiming to comply with new import regulations must now invest in a transparent supply chain.</t>
  </si>
  <si>
    <t>This involves integrating technologies to verify the origin of its raw materials, ensuring they are sourced from plantations that adhere to strict no-deforestation policies and fair labor standards. This pivot from a commodity-based approach to a quality-and-compliance model is redefining operational strategies and competitive positioning for all stakeholders involved.</t>
  </si>
  <si>
    <t>UN</t>
  </si>
  <si>
    <t>https://www.undp.org/foodsystems/indonesia-sustainable-palm-oil#:~:text=Indonesia%20is%20the%20world's%20largest,employment%20to%203%20million%20people.</t>
  </si>
  <si>
    <t>Indonesia is the world’s largest producer of palm oil —a staple agricultural commodity found in about half of all packaged products sold in supermarkets. The country produces more than 30 million tons of palm oil per year, generating 4.5% of its GDP and giving employment to 3 million people.</t>
  </si>
  <si>
    <t>unsustainable palm oil production is also contributing to rapid tropical forest destruction and climate change.</t>
  </si>
  <si>
    <t>WWF</t>
  </si>
  <si>
    <t>https://www.wwf.org.uk/updates/8-things-know-about-palm-oil#:~:text=2.,in%20the%20UK%20though!).</t>
  </si>
  <si>
    <t>Palm oil can be produced more sustainably and there is a role for companies, governments, and consumers to play.</t>
  </si>
  <si>
    <t>RSPO was formed in 2004 in response to increasing concerns about the impacts palm oil was having on the environment and on society. The RSPO has production standards for growers that set best practices for producing and sourcing palm oil, and it has the buy-in of most of the global industry. </t>
  </si>
  <si>
    <t>Palm oil is an incredibly efficient crop, producing more oil per land area than any other equivalent vegetable oil crop. Globally, palm oil supplies 40% of the world’s vegetable oil demand on just under 6% of the land used to produce all vegetable oils. To get the same amount of alternative oils like soybean, coconut, or sunflower oil you would need anything between 4 and 10 times more land, which would just shift the problem to other parts of the world and threaten other habitats, species and communities. </t>
  </si>
  <si>
    <t>https://www.icicidirect.com/research/equity/trending-news/palm-oil-prices-rise-negatively-impacting-fmcg-companies</t>
  </si>
  <si>
    <t>Icici Direct</t>
  </si>
  <si>
    <r>
      <t>News: </t>
    </r>
    <r>
      <rPr>
        <sz val="8"/>
        <color rgb="FF636363"/>
        <rFont val="Poppins"/>
      </rPr>
      <t>As per media sources, Prices of edible oil is up by Rs.11-20/kg in March while Sunflower oil has witnessed steepest price rise of Rs.20/Kg. Palm oil prices have risen the least by Rs.11/kg.</t>
    </r>
  </si>
  <si>
    <r>
      <t> </t>
    </r>
    <r>
      <rPr>
        <sz val="8"/>
        <color rgb="FF636363"/>
        <rFont val="Poppins"/>
      </rPr>
      <t>Palm oil is one of the key raw materials for snacking and FMCG companies</t>
    </r>
  </si>
  <si>
    <t> for HUL, palm oil forms 15-20% of its raw material.</t>
  </si>
  <si>
    <t>Overall, rise in palm oil prices is negative for these companies. If the situation over West Asia persists and oil prices remain high, it could impact the gross margins of snacking and FMCG companies over the upcoming quarters. Any significant rise in raw material costs can also lead to companies taking price hikes which could further impact volumes ahead.</t>
  </si>
  <si>
    <t>https://www.musimmas.com/resources/blogs/how-is-palm-oil-transported-from-plantation-to-supermarket-shelf/</t>
  </si>
  <si>
    <t>Musim Mas</t>
  </si>
  <si>
    <t>Extracted from the fruitlets of oil palm trees, palm oil embarks on a complex journey, from plantations to mills, then to refineries, and finally to end-product manufacturers worldwide.</t>
  </si>
  <si>
    <t>Tea</t>
  </si>
  <si>
    <t>https://www.technavio.com/report/tea-market-industry-analysis#:~:text=Market%20Overview%20at%20a%20Glance,Future%20Opportunities:%20USD%2020.71%20billion</t>
  </si>
  <si>
    <r>
      <t>The </t>
    </r>
    <r>
      <rPr>
        <b/>
        <sz val="10"/>
        <color rgb="FF212529"/>
        <rFont val="Segoe UI"/>
        <family val="2"/>
      </rPr>
      <t>tea market</t>
    </r>
    <r>
      <rPr>
        <sz val="10"/>
        <color rgb="FF212529"/>
        <rFont val="Segoe UI"/>
        <family val="2"/>
      </rPr>
      <t> size is valued to increase by </t>
    </r>
    <r>
      <rPr>
        <b/>
        <sz val="10"/>
        <color rgb="FF212529"/>
        <rFont val="Segoe UI"/>
        <family val="2"/>
      </rPr>
      <t>USD 20.71 billion, </t>
    </r>
    <r>
      <rPr>
        <sz val="10"/>
        <color rgb="FF212529"/>
        <rFont val="Segoe UI"/>
        <family val="2"/>
      </rPr>
      <t>at a </t>
    </r>
    <r>
      <rPr>
        <b/>
        <sz val="10"/>
        <color rgb="FF212529"/>
        <rFont val="Segoe UI"/>
        <family val="2"/>
      </rPr>
      <t>CAGR of 5.5%</t>
    </r>
    <r>
      <rPr>
        <sz val="10"/>
        <color rgb="FF212529"/>
        <rFont val="Segoe UI"/>
        <family val="2"/>
      </rPr>
      <t> from 2025 to 2030. Rising health and wellness awareness boosting tea consumption will drive the tea market.</t>
    </r>
  </si>
  <si>
    <r>
      <t>By Product - </t>
    </r>
    <r>
      <rPr>
        <b/>
        <sz val="10"/>
        <color rgb="FF212529"/>
        <rFont val="Segoe UI"/>
        <family val="2"/>
      </rPr>
      <t>Black tea</t>
    </r>
    <r>
      <rPr>
        <sz val="10"/>
        <color rgb="FF212529"/>
        <rFont val="Segoe UI"/>
        <family val="2"/>
      </rPr>
      <t> segment accounted for the largest market revenue share in 2024</t>
    </r>
  </si>
  <si>
    <r>
      <t>The tea market is undergoing a significant transformation, driven by evolving consumer preferences toward </t>
    </r>
    <r>
      <rPr>
        <u/>
        <sz val="10"/>
        <color rgb="FF0D6EFD"/>
        <rFont val="Segoe UI"/>
        <family val="2"/>
      </rPr>
      <t>health and wellness</t>
    </r>
    <r>
      <rPr>
        <sz val="10"/>
        <color rgb="FF212529"/>
        <rFont val="Segoe UI"/>
        <family val="2"/>
      </rPr>
      <t>. Demand is shifting from traditional preparations to functional beverages that offer tangible benefits, including high antioxidant properties derived from their rich catechin content and </t>
    </r>
    <r>
      <rPr>
        <u/>
        <sz val="10"/>
        <color rgb="FF0D6EFD"/>
        <rFont val="Segoe UI"/>
        <family val="2"/>
      </rPr>
      <t>polyphenol</t>
    </r>
    <r>
      <rPr>
        <sz val="10"/>
        <color rgb="FF212529"/>
        <rFont val="Segoe UI"/>
        <family val="2"/>
      </rPr>
      <t> compounds</t>
    </r>
  </si>
  <si>
    <t>Moreover, the industry is navigating challenges like the need for climate-resilient tea varieties while capitalizing on opportunities in the ready to drink tea formulation and direct-to-consumer tea sales channels. The rise of the wellness tea market and clean label tea products underscores a broader movement toward mindful consumption and transparency in the global beverage industry.</t>
  </si>
  <si>
    <t>The future of the global tea market is being shaped by several interconnected long-tail trends. The growth of ready to drink tea is making the beverage more accessible, appealing to consumers seeking convenience without sacrificing quality.</t>
  </si>
  <si>
    <t>Simultaneously, a rising demand for specialty tea reflects a consumer shift to healthy beverages, where the unique health benefits of green tea are a major draw. This has pushed marketing strategies for tea brands to focus on storytelling around origin and artisanal tea blending techniques.</t>
  </si>
  <si>
    <t>Sustainability in tea production is no longer a niche concern; it is a core expectation, influencing everything from farming practices to innovation in tea packaging. The premiumization of tea products continues, with consumers willing to pay more for fair trade certified tea benefits and superior quality.</t>
  </si>
  <si>
    <t>Peer Analysis</t>
  </si>
  <si>
    <t xml:space="preserve">Dabur India Limited </t>
  </si>
  <si>
    <t xml:space="preserve">Godrej Consumer Products Limited </t>
  </si>
  <si>
    <t xml:space="preserve">Marico Limited </t>
  </si>
  <si>
    <t xml:space="preserve">Tata Consumer Products Limited </t>
  </si>
  <si>
    <t>No. of Equity Shareholders</t>
  </si>
  <si>
    <t>Equity Value for Shareholders</t>
  </si>
  <si>
    <t>Value per Share</t>
  </si>
  <si>
    <t>Hindustan Unilever Limited (HUL), a subsidiary of Unilever PLC, is India’s largest fast-moving consumer goods (FMCG) company, with a history spanning over 90 years. The company maintains market leadership in more than 85% of the categories in which it operates, including Home Care, Beauty &amp; Wellbeing, Personal Care, and Foods. HUL’s distribution network reaches approximately 9 million retail outlets, and its products are used by 9 out of 10 Indian households. The company’s operations are primarily concentrated in the Indian market, although it maintains a presence in 61 countries through exports. Recent strategic activity has focused on premiumization and digital transformation, specifically through the "ASPIRE" strategy, which aims to drive volume-led growth across various consumer segments.</t>
  </si>
  <si>
    <r>
      <t>Business Model and Capabilities:</t>
    </r>
    <r>
      <rPr>
        <sz val="11"/>
        <color rgb="FF373A3C"/>
        <rFont val="Arial"/>
        <family val="2"/>
      </rPr>
      <t> HUL utilizes a multi-tiered distribution and portfolio model designed to reach consumers across the economic pyramid, categorized as Power Spenders, Premiumisers, and Democratisers. The company specializes in market development and category creation, leveraging a network of 3,500+ distributors and 1.4 million retailers onboarded on its e-B2B platform, Shikhar. HUL is characterized by a "kirana-centric, distributor-inclusive" digital transformation strategy and maintains competitive advantages through deep consumer data analytics and an integrated supply chain.</t>
    </r>
  </si>
  <si>
    <t>Revenue Breakdown:</t>
  </si>
  <si>
    <r>
      <t>By Segment (FY 2024-25 Consolidated):</t>
    </r>
    <r>
      <rPr>
        <sz val="11"/>
        <color rgb="FF373A3C"/>
        <rFont val="Arial"/>
        <family val="2"/>
      </rPr>
      <t> Home Care accounted for ₹22,958 crore (36.4%), Foods for ₹15,294 crore (24.2%), Beauty &amp; Wellbeing for ₹13,523 crore (21.4%), and Personal Care for ₹9,166 crore (14.5%). Other segments, including exports and consignment income, contributed ₹2,180 crore.</t>
    </r>
  </si>
  <si>
    <r>
      <t>By Geography (FY 2024-25 Consolidated):</t>
    </r>
    <r>
      <rPr>
        <sz val="11"/>
        <color rgb="FF373A3C"/>
        <rFont val="Arial"/>
        <family val="2"/>
      </rPr>
      <t> Domestic sales in India generated ₹60,556 crore (95.9% of total revenue), while international markets contributed ₹2,565 crore.</t>
    </r>
  </si>
  <si>
    <t/>
  </si>
  <si>
    <t>Segment</t>
  </si>
  <si>
    <t>Foods &amp; Refreshment</t>
  </si>
  <si>
    <t>Date</t>
  </si>
  <si>
    <t>Price</t>
  </si>
  <si>
    <t xml:space="preserve">India </t>
  </si>
  <si>
    <t>Rest of the World</t>
  </si>
  <si>
    <t>World</t>
  </si>
  <si>
    <t>Global GDP Growth Projections</t>
  </si>
  <si>
    <t xml:space="preserve">                                                                Actual</t>
  </si>
  <si>
    <t>Business Segment</t>
  </si>
  <si>
    <t>FY 2024-25 (Full Year)</t>
  </si>
  <si>
    <t>Beauty &amp; Well-being</t>
  </si>
  <si>
    <r>
      <t>Foods</t>
    </r>
    <r>
      <rPr>
        <sz val="11"/>
        <color theme="1"/>
        <rFont val="Arial"/>
        <family val="2"/>
      </rPr>
      <t xml:space="preserve"> (Food &amp; Beverages)</t>
    </r>
  </si>
  <si>
    <t>Total</t>
  </si>
  <si>
    <t xml:space="preserve">                                                                                   Financials</t>
  </si>
  <si>
    <t xml:space="preserve">                                                                             Multiples</t>
  </si>
  <si>
    <t>EV/ Sales</t>
  </si>
  <si>
    <t>EV/ EBITDA</t>
  </si>
  <si>
    <t>HINDUNILVR</t>
  </si>
  <si>
    <t>In Crs Unless Stated Otherwise</t>
  </si>
  <si>
    <t>Relative Valuation - EV/Sales</t>
  </si>
  <si>
    <t>Relative Valuation - EV/EBITDA</t>
  </si>
  <si>
    <t>Quarters</t>
  </si>
  <si>
    <t xml:space="preserve">Actual </t>
  </si>
  <si>
    <t>Projected</t>
  </si>
  <si>
    <t>Q1 FY 2025</t>
  </si>
  <si>
    <t>Q2 FY 2025</t>
  </si>
  <si>
    <t>Q3 FY 2025</t>
  </si>
  <si>
    <t>Q4 FY 2025</t>
  </si>
  <si>
    <t>Q1 FY 2026</t>
  </si>
  <si>
    <t>Q2 FY 2026</t>
  </si>
  <si>
    <t>Q3 FY 2026</t>
  </si>
  <si>
    <t>Online Users</t>
  </si>
  <si>
    <t>E-Commerce Market</t>
  </si>
  <si>
    <t>Market Size (2025)</t>
  </si>
  <si>
    <t xml:space="preserve">Projected Size </t>
  </si>
  <si>
    <t>BPC</t>
  </si>
  <si>
    <t>Per-Capita Beauty Spend Multiplier</t>
  </si>
  <si>
    <t>Multiplier</t>
  </si>
  <si>
    <t>SG&amp;A YoY % Growth</t>
  </si>
  <si>
    <t>Employee Cost % SG&amp;A</t>
  </si>
  <si>
    <t>Advertisement &amp; Sales Promotion % SG&amp;A</t>
  </si>
  <si>
    <t>Other Expenses % SG&amp;A</t>
  </si>
  <si>
    <t>Other Selling &amp; Distribution Cost % SG&amp;A</t>
  </si>
  <si>
    <t>Trade Payable Growth YoY%</t>
  </si>
  <si>
    <t>Trade Payable % Revenue</t>
  </si>
  <si>
    <t>Capex YoY % Growth</t>
  </si>
  <si>
    <t xml:space="preserve">Valuation Summary </t>
  </si>
  <si>
    <t>Valuation Methods</t>
  </si>
  <si>
    <t>Equity Value Available for Shareholders</t>
  </si>
  <si>
    <t>Value Per Share</t>
  </si>
  <si>
    <t>Market Price</t>
  </si>
  <si>
    <t>(Discount)/Premium</t>
  </si>
  <si>
    <t>(Discount)/Premium%</t>
  </si>
  <si>
    <t>Discounted cash flow - Perpetuity growth</t>
  </si>
  <si>
    <t>Discounted cash flow - Exit Multiple</t>
  </si>
  <si>
    <t xml:space="preserve">Relative valuation - EV/EBITDA </t>
  </si>
  <si>
    <t xml:space="preserve">Relative valuation - EV/Sales </t>
  </si>
  <si>
    <t xml:space="preserve">Relative valuation - P/E </t>
  </si>
  <si>
    <t>Relative Valuation - P/E</t>
  </si>
  <si>
    <t xml:space="preserve">  (HINDUNILVR | BSE CODE: 500696)</t>
  </si>
  <si>
    <t xml:space="preserve">3 Statement Model      DCF Valuation          Relative Valuation      </t>
  </si>
  <si>
    <t xml:space="preserve">    DCF Valuation               </t>
  </si>
  <si>
    <t>Relative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</si>
</sst>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8">
    <numFmt numFmtId="8" formatCode="&quot;₹&quot;\ #,##0.00;[Red]&quot;₹&quot;\ \-#,##0.00"/>
    <numFmt numFmtId="43" formatCode="_ * #,##0.00_ ;_ * \-#,##0.00_ ;_ * &quot;-&quot;??_ ;_ @_ "/>
    <numFmt numFmtId="164" formatCode="_(* #,##0_);_(* \(#,##0\);_(* &quot;-&quot;??_);_(@_)"/>
    <numFmt numFmtId="165" formatCode="#,##0;\(#,##0\);\-"/>
    <numFmt numFmtId="166" formatCode="0.0%"/>
    <numFmt numFmtId="167" formatCode="&quot;FY&quot;0"/>
    <numFmt numFmtId="168" formatCode="0.000"/>
    <numFmt numFmtId="169" formatCode="&quot;₹&quot;\ #,##0"/>
    <numFmt numFmtId="170" formatCode="&quot;₹&quot;\ #,##0;\(&quot;₹&quot;\ #,##0\);\-"/>
    <numFmt numFmtId="171" formatCode="&quot;₹&quot;\ #,##0;\(&quot;₹&quot;\ #,##0\);0"/>
    <numFmt numFmtId="172" formatCode="0\ &quot;Days&quot;"/>
    <numFmt numFmtId="173" formatCode="&quot;Change in&quot;\ General"/>
    <numFmt numFmtId="174" formatCode="&quot;₹&quot;\ #,##0;\(&quot;₹&quot;\ #,##0\)\,\-"/>
    <numFmt numFmtId="175" formatCode="0.00&quot;x&quot;"/>
    <numFmt numFmtId="176" formatCode="0.0&quot;x&quot;"/>
    <numFmt numFmtId="177" formatCode="&quot;FY&quot;\ 0"/>
    <numFmt numFmtId="178" formatCode="#,##0.0"/>
    <numFmt numFmtId="179" formatCode="\ #,##0"/>
    <numFmt numFmtId="180" formatCode="#,##0&quot;x&quot;"/>
    <numFmt numFmtId="181" formatCode="#,##0.0&quot;x&quot;"/>
    <numFmt numFmtId="182" formatCode="&quot;Useful Life&quot;\ 0\ &quot;Years&quot;"/>
    <numFmt numFmtId="183" formatCode="&quot;₹&quot;\ #,##0;\(&quot;₹&quot;\ #,##0\);&quot;₹&quot;0"/>
    <numFmt numFmtId="184" formatCode="0.0"/>
    <numFmt numFmtId="185" formatCode="_(&quot;$&quot;* #,##0.00_);_(&quot;$&quot;* \(#,##0.00\);_(&quot;$&quot;* &quot;-&quot;??_);_(@_)"/>
    <numFmt numFmtId="186" formatCode="_(* #,##0.00_);_(* \(#,##0.00\);_(* &quot;-&quot;??_);_(@_)"/>
    <numFmt numFmtId="187" formatCode="#,##0.0000"/>
    <numFmt numFmtId="188" formatCode="0.0000"/>
    <numFmt numFmtId="189" formatCode="0.000000"/>
    <numFmt numFmtId="190" formatCode="[$-409]mmm\-yy;@"/>
    <numFmt numFmtId="191" formatCode="_ * #,##0.0_ ;_ * \-#,##0.0_ ;_ * &quot;-&quot;??_ ;_ @_ "/>
    <numFmt numFmtId="192" formatCode="0.0\x"/>
    <numFmt numFmtId="193" formatCode="0.0%;\(0.0%\);\-"/>
    <numFmt numFmtId="194" formatCode="0&quot;A&quot;"/>
    <numFmt numFmtId="195" formatCode="0&quot;E&quot;"/>
    <numFmt numFmtId="196" formatCode="&quot;₹&quot;\ #,##0.00"/>
    <numFmt numFmtId="197" formatCode="0&quot;x&quot;"/>
    <numFmt numFmtId="198" formatCode="[$$-409]#,##0.0&quot;B&quot;"/>
    <numFmt numFmtId="199" formatCode="0%;\(0%\);\-"/>
  </numFmts>
  <fonts count="14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sz val="10"/>
      <name val="Calibri"/>
      <family val="2"/>
      <scheme val="minor"/>
    </font>
    <font>
      <sz val="12"/>
      <name val="Arial"/>
      <family val="2"/>
    </font>
    <font>
      <b/>
      <sz val="10"/>
      <name val="Calibri"/>
      <family val="2"/>
      <scheme val="minor"/>
    </font>
    <font>
      <i/>
      <sz val="11"/>
      <color theme="1"/>
      <name val="Calibri"/>
      <family val="2"/>
      <scheme val="minor"/>
    </font>
    <font>
      <sz val="11"/>
      <name val="Calibri"/>
      <family val="2"/>
      <scheme val="minor"/>
    </font>
    <font>
      <b/>
      <sz val="11"/>
      <color rgb="FF000000"/>
      <name val="Calibri"/>
      <family val="2"/>
      <scheme val="minor"/>
    </font>
    <font>
      <i/>
      <sz val="11"/>
      <color theme="1" tint="0.34998626667073579"/>
      <name val="Calibri"/>
      <family val="2"/>
      <scheme val="minor"/>
    </font>
    <font>
      <b/>
      <u/>
      <sz val="11"/>
      <name val="Calibri"/>
      <family val="2"/>
      <scheme val="minor"/>
    </font>
    <font>
      <b/>
      <sz val="16"/>
      <color theme="8" tint="-0.249977111117893"/>
      <name val="Calibri"/>
      <family val="2"/>
      <scheme val="minor"/>
    </font>
    <font>
      <b/>
      <sz val="14"/>
      <color theme="1"/>
      <name val="Calibri"/>
      <family val="2"/>
      <scheme val="minor"/>
    </font>
    <font>
      <i/>
      <sz val="11"/>
      <color theme="8" tint="-0.249977111117893"/>
      <name val="Calibri"/>
      <family val="2"/>
      <scheme val="minor"/>
    </font>
    <font>
      <b/>
      <sz val="14"/>
      <color theme="0"/>
      <name val="Calibri"/>
      <family val="2"/>
      <scheme val="minor"/>
    </font>
    <font>
      <b/>
      <sz val="12"/>
      <color theme="1"/>
      <name val="Calibri"/>
      <family val="2"/>
      <scheme val="minor"/>
    </font>
    <font>
      <sz val="11"/>
      <color rgb="FF3333FF"/>
      <name val="Calibri"/>
      <family val="2"/>
      <scheme val="minor"/>
    </font>
    <font>
      <b/>
      <u/>
      <sz val="11"/>
      <color theme="1"/>
      <name val="Calibri"/>
      <family val="2"/>
      <scheme val="minor"/>
    </font>
    <font>
      <sz val="11"/>
      <color theme="9"/>
      <name val="Calibri"/>
      <family val="2"/>
      <scheme val="minor"/>
    </font>
    <font>
      <b/>
      <sz val="11"/>
      <color theme="9"/>
      <name val="Calibri"/>
      <family val="2"/>
      <scheme val="minor"/>
    </font>
    <font>
      <sz val="11"/>
      <color theme="9"/>
      <name val="Calibri"/>
      <family val="2"/>
    </font>
    <font>
      <b/>
      <sz val="14"/>
      <color theme="0"/>
      <name val="Calibri"/>
      <family val="2"/>
    </font>
    <font>
      <b/>
      <sz val="11"/>
      <color theme="0"/>
      <name val="Calibri"/>
      <family val="2"/>
    </font>
    <font>
      <sz val="11"/>
      <color rgb="FF000000"/>
      <name val="Calibri"/>
      <family val="2"/>
      <scheme val="minor"/>
    </font>
    <font>
      <b/>
      <u/>
      <sz val="11"/>
      <color rgb="FF000000"/>
      <name val="Calibri"/>
      <family val="2"/>
      <scheme val="minor"/>
    </font>
    <font>
      <b/>
      <sz val="11"/>
      <name val="Calibri"/>
      <family val="2"/>
      <scheme val="minor"/>
    </font>
    <font>
      <sz val="11"/>
      <color theme="1"/>
      <name val="Calibri"/>
      <family val="2"/>
    </font>
    <font>
      <sz val="11"/>
      <color theme="0" tint="-4.9989318521683403E-2"/>
      <name val="Calibri"/>
      <family val="2"/>
      <scheme val="minor"/>
    </font>
    <font>
      <b/>
      <sz val="11"/>
      <color rgb="FF333333"/>
      <name val="Calibri"/>
      <family val="2"/>
      <scheme val="minor"/>
    </font>
    <font>
      <sz val="11"/>
      <color rgb="FF333333"/>
      <name val="Calibri"/>
      <family val="2"/>
      <scheme val="minor"/>
    </font>
    <font>
      <b/>
      <sz val="11"/>
      <color rgb="FF333333"/>
      <name val="Arial"/>
      <family val="2"/>
    </font>
    <font>
      <sz val="11"/>
      <color rgb="FF333333"/>
      <name val="Arial"/>
      <family val="2"/>
    </font>
    <font>
      <i/>
      <sz val="14"/>
      <color theme="1"/>
      <name val="Calibri"/>
      <family val="2"/>
      <scheme val="minor"/>
    </font>
    <font>
      <b/>
      <sz val="12"/>
      <color theme="0"/>
      <name val="Calibri"/>
      <family val="2"/>
      <scheme val="minor"/>
    </font>
    <font>
      <b/>
      <sz val="14"/>
      <color rgb="FF000000"/>
      <name val="Calibri"/>
      <family val="2"/>
      <scheme val="minor"/>
    </font>
    <font>
      <i/>
      <sz val="12"/>
      <color theme="1"/>
      <name val="Calibri"/>
      <family val="2"/>
      <scheme val="minor"/>
    </font>
    <font>
      <u/>
      <sz val="11"/>
      <color theme="10"/>
      <name val="Calibri"/>
      <family val="2"/>
      <scheme val="minor"/>
    </font>
    <font>
      <sz val="10"/>
      <color rgb="FF455F7C"/>
      <name val="Arial"/>
      <family val="2"/>
    </font>
    <font>
      <b/>
      <sz val="10"/>
      <color rgb="FF455F7C"/>
      <name val="Arial"/>
      <family val="2"/>
    </font>
    <font>
      <sz val="11"/>
      <color theme="1"/>
      <name val="Arial"/>
      <family val="2"/>
    </font>
    <font>
      <sz val="11"/>
      <color theme="10"/>
      <name val="Calibri"/>
      <family val="2"/>
      <scheme val="minor"/>
    </font>
    <font>
      <b/>
      <sz val="11"/>
      <color theme="1"/>
      <name val="Arial"/>
      <family val="2"/>
    </font>
    <font>
      <i/>
      <sz val="10"/>
      <color rgb="FF2D2D2D"/>
      <name val="Arial"/>
      <family val="2"/>
    </font>
    <font>
      <b/>
      <i/>
      <sz val="10"/>
      <color rgb="FF2D2D2D"/>
      <name val="Arial"/>
      <family val="2"/>
    </font>
    <font>
      <b/>
      <sz val="10"/>
      <color rgb="FF333333"/>
      <name val="Arial"/>
      <family val="2"/>
    </font>
    <font>
      <sz val="10"/>
      <color rgb="FF333333"/>
      <name val="Arial"/>
      <family val="2"/>
    </font>
    <font>
      <sz val="10"/>
      <color rgb="FF2D2D2D"/>
      <name val="Arial"/>
      <family val="2"/>
    </font>
    <font>
      <sz val="9"/>
      <color rgb="FF000000"/>
      <name val="Arial"/>
      <family val="2"/>
    </font>
    <font>
      <sz val="9"/>
      <color rgb="FF454748"/>
      <name val="Arial"/>
      <family val="2"/>
    </font>
    <font>
      <sz val="9"/>
      <color rgb="FF303233"/>
      <name val="Arial"/>
      <family val="2"/>
    </font>
    <font>
      <sz val="10"/>
      <color rgb="FF212529"/>
      <name val="Arial"/>
      <family val="2"/>
    </font>
    <font>
      <sz val="11"/>
      <color rgb="FF000000"/>
      <name val="Arial"/>
      <family val="2"/>
    </font>
    <font>
      <sz val="8"/>
      <color rgb="FF423547"/>
      <name val="Arial"/>
      <family val="2"/>
    </font>
    <font>
      <sz val="10"/>
      <color rgb="FF595959"/>
      <name val="Arial"/>
      <family val="2"/>
    </font>
    <font>
      <b/>
      <sz val="8"/>
      <color rgb="FF000000"/>
      <name val="Arial"/>
      <family val="2"/>
    </font>
    <font>
      <sz val="8"/>
      <color rgb="FF000000"/>
      <name val="Arial"/>
      <family val="2"/>
    </font>
    <font>
      <sz val="10"/>
      <color rgb="FF000000"/>
      <name val="Arial"/>
      <family val="2"/>
    </font>
    <font>
      <sz val="10"/>
      <color rgb="FF000000"/>
      <name val="Arial"/>
      <family val="2"/>
    </font>
    <font>
      <b/>
      <sz val="11"/>
      <color rgb="FF454748"/>
      <name val="Arial"/>
      <family val="2"/>
    </font>
    <font>
      <b/>
      <sz val="10"/>
      <color rgb="FFFFFFFF"/>
      <name val="Arial"/>
      <family val="2"/>
    </font>
    <font>
      <b/>
      <sz val="9"/>
      <color theme="1"/>
      <name val="Arial"/>
      <family val="2"/>
    </font>
    <font>
      <b/>
      <sz val="9"/>
      <color rgb="FF000000"/>
      <name val="Arial"/>
      <family val="2"/>
    </font>
    <font>
      <b/>
      <sz val="14"/>
      <color theme="4" tint="-0.499984740745262"/>
      <name val="Calibri"/>
      <family val="2"/>
      <scheme val="minor"/>
    </font>
    <font>
      <b/>
      <sz val="11"/>
      <color rgb="FF3333FF"/>
      <name val="Calibri"/>
      <family val="2"/>
      <scheme val="minor"/>
    </font>
    <font>
      <sz val="11"/>
      <color rgb="FFFFFFFF"/>
      <name val="Calibri"/>
      <family val="2"/>
      <scheme val="minor"/>
    </font>
    <font>
      <b/>
      <i/>
      <sz val="11"/>
      <color rgb="FF000000"/>
      <name val="Calibri"/>
      <family val="2"/>
      <scheme val="minor"/>
    </font>
    <font>
      <sz val="11"/>
      <color rgb="FF000000"/>
      <name val="Calibri"/>
      <family val="2"/>
      <scheme val="minor"/>
    </font>
    <font>
      <b/>
      <sz val="11"/>
      <color rgb="FFFFFFFF"/>
      <name val="Calibri"/>
      <family val="2"/>
      <scheme val="minor"/>
    </font>
    <font>
      <b/>
      <i/>
      <sz val="11"/>
      <color theme="1"/>
      <name val="Calibri"/>
      <family val="2"/>
      <scheme val="minor"/>
    </font>
    <font>
      <i/>
      <sz val="10"/>
      <name val="Calibri"/>
      <family val="2"/>
      <scheme val="minor"/>
    </font>
    <font>
      <sz val="11"/>
      <color rgb="FF22222F"/>
      <name val="Arial"/>
      <family val="2"/>
    </font>
    <font>
      <sz val="11"/>
      <color rgb="FF22222F"/>
      <name val="Calibri"/>
      <family val="2"/>
      <scheme val="minor"/>
    </font>
    <font>
      <b/>
      <sz val="11"/>
      <color rgb="FF22222F"/>
      <name val="Calibri"/>
      <family val="2"/>
      <scheme val="minor"/>
    </font>
    <font>
      <sz val="10"/>
      <color rgb="FF373737"/>
      <name val="Calibri"/>
      <family val="2"/>
      <scheme val="minor"/>
    </font>
    <font>
      <i/>
      <sz val="11"/>
      <color theme="9"/>
      <name val="Calibri"/>
      <family val="2"/>
    </font>
    <font>
      <b/>
      <sz val="11"/>
      <color rgb="FF3333FF"/>
      <name val="Calibri"/>
      <family val="2"/>
    </font>
    <font>
      <i/>
      <sz val="11"/>
      <color theme="9"/>
      <name val="Calibri"/>
      <family val="2"/>
      <scheme val="minor"/>
    </font>
    <font>
      <b/>
      <sz val="18"/>
      <color theme="1"/>
      <name val="Calibri"/>
      <family val="2"/>
      <scheme val="minor"/>
    </font>
    <font>
      <i/>
      <sz val="11"/>
      <name val="Calibri"/>
      <family val="2"/>
      <scheme val="minor"/>
    </font>
    <font>
      <b/>
      <sz val="16"/>
      <color theme="0"/>
      <name val="Calibri"/>
      <family val="2"/>
      <scheme val="minor"/>
    </font>
    <font>
      <sz val="14"/>
      <color theme="1"/>
      <name val="Calibri"/>
      <family val="2"/>
      <scheme val="minor"/>
    </font>
    <font>
      <b/>
      <sz val="14"/>
      <color theme="8" tint="-0.249977111117893"/>
      <name val="Calibri"/>
      <family val="2"/>
      <scheme val="minor"/>
    </font>
    <font>
      <sz val="9"/>
      <name val="Geneva"/>
      <family val="2"/>
      <charset val="1"/>
    </font>
    <font>
      <u/>
      <sz val="9"/>
      <color indexed="12"/>
      <name val="Geneva"/>
      <family val="2"/>
      <charset val="1"/>
    </font>
    <font>
      <sz val="10"/>
      <name val="Geneva"/>
      <family val="2"/>
      <charset val="1"/>
    </font>
    <font>
      <b/>
      <sz val="11"/>
      <color indexed="9"/>
      <name val="Calibri"/>
      <family val="2"/>
    </font>
    <font>
      <b/>
      <sz val="14"/>
      <color rgb="FF3333FF"/>
      <name val="Calibri"/>
      <family val="2"/>
      <scheme val="minor"/>
    </font>
    <font>
      <b/>
      <sz val="9"/>
      <color indexed="81"/>
      <name val="Tahoma"/>
      <family val="2"/>
    </font>
    <font>
      <sz val="10"/>
      <name val="Geneva"/>
      <charset val="1"/>
    </font>
    <font>
      <sz val="10"/>
      <name val="Times"/>
      <family val="1"/>
    </font>
    <font>
      <b/>
      <sz val="10"/>
      <name val="Times"/>
      <family val="1"/>
    </font>
    <font>
      <i/>
      <sz val="10"/>
      <name val="Times"/>
      <family val="1"/>
    </font>
    <font>
      <i/>
      <sz val="10"/>
      <name val="Times Roman"/>
    </font>
    <font>
      <sz val="10"/>
      <name val="Times Roman"/>
    </font>
    <font>
      <sz val="10"/>
      <name val="Calibri"/>
      <family val="2"/>
    </font>
    <font>
      <sz val="11"/>
      <color theme="0" tint="-0.14999847407452621"/>
      <name val="Calibri"/>
      <family val="2"/>
      <scheme val="minor"/>
    </font>
    <font>
      <sz val="9"/>
      <name val="Geneva"/>
      <family val="2"/>
    </font>
    <font>
      <b/>
      <sz val="14"/>
      <name val="Geneva"/>
      <family val="2"/>
    </font>
    <font>
      <b/>
      <i/>
      <sz val="11"/>
      <name val="Calibri"/>
      <family val="2"/>
      <scheme val="minor"/>
    </font>
    <font>
      <i/>
      <sz val="10"/>
      <name val="Geneva"/>
      <family val="2"/>
    </font>
    <font>
      <sz val="9"/>
      <name val="Calibri"/>
      <family val="2"/>
      <scheme val="minor"/>
    </font>
    <font>
      <b/>
      <i/>
      <sz val="9"/>
      <name val="Calibri"/>
      <family val="2"/>
      <scheme val="minor"/>
    </font>
    <font>
      <b/>
      <sz val="9"/>
      <name val="Calibri"/>
      <family val="2"/>
      <scheme val="minor"/>
    </font>
    <font>
      <sz val="12"/>
      <color theme="1"/>
      <name val="Calibri"/>
      <family val="2"/>
      <scheme val="minor"/>
    </font>
    <font>
      <b/>
      <sz val="24"/>
      <color theme="1"/>
      <name val="Calibri"/>
      <family val="2"/>
      <scheme val="minor"/>
    </font>
    <font>
      <b/>
      <sz val="20"/>
      <color theme="1"/>
      <name val="Calibri"/>
      <family val="2"/>
      <scheme val="minor"/>
    </font>
    <font>
      <b/>
      <sz val="16"/>
      <color theme="1"/>
      <name val="Calibri"/>
      <family val="2"/>
      <scheme val="minor"/>
    </font>
    <font>
      <b/>
      <sz val="12"/>
      <color rgb="FFFFFFFF"/>
      <name val="Calibri"/>
      <family val="2"/>
      <scheme val="minor"/>
    </font>
    <font>
      <sz val="10"/>
      <color theme="1"/>
      <name val="Calibri"/>
      <family val="2"/>
      <scheme val="minor"/>
    </font>
    <font>
      <sz val="10"/>
      <color rgb="FF000000"/>
      <name val="Calibri"/>
      <family val="2"/>
      <scheme val="minor"/>
    </font>
    <font>
      <b/>
      <sz val="12"/>
      <color rgb="FF000000"/>
      <name val="Calibri"/>
      <family val="2"/>
      <scheme val="minor"/>
    </font>
    <font>
      <b/>
      <sz val="12"/>
      <name val="Calibri"/>
      <family val="2"/>
      <scheme val="minor"/>
    </font>
    <font>
      <b/>
      <sz val="14"/>
      <color theme="9"/>
      <name val="Calibri"/>
      <family val="2"/>
    </font>
    <font>
      <b/>
      <sz val="11"/>
      <color theme="9"/>
      <name val="Calibri"/>
      <family val="2"/>
    </font>
    <font>
      <b/>
      <sz val="12"/>
      <color theme="8" tint="-0.499984740745262"/>
      <name val="Calibri"/>
      <family val="2"/>
      <scheme val="minor"/>
    </font>
    <font>
      <sz val="11"/>
      <color theme="1"/>
      <name val="Calibri"/>
      <family val="2"/>
      <charset val="1"/>
    </font>
    <font>
      <b/>
      <sz val="12"/>
      <color rgb="FF003366"/>
      <name val="Arial"/>
      <family val="2"/>
    </font>
    <font>
      <b/>
      <sz val="9"/>
      <color rgb="FFFFFFFF"/>
      <name val="Calibri"/>
      <family val="2"/>
      <scheme val="minor"/>
    </font>
    <font>
      <b/>
      <sz val="10"/>
      <color rgb="FF000000"/>
      <name val="Calibri"/>
      <family val="2"/>
      <scheme val="minor"/>
    </font>
    <font>
      <b/>
      <sz val="12"/>
      <color rgb="FF003366"/>
      <name val="Calibri"/>
      <family val="2"/>
      <scheme val="minor"/>
    </font>
    <font>
      <b/>
      <sz val="14"/>
      <color rgb="FF003366"/>
      <name val="Calibri"/>
      <family val="2"/>
      <scheme val="minor"/>
    </font>
    <font>
      <b/>
      <sz val="11"/>
      <color rgb="FF003366"/>
      <name val="Calibri"/>
      <family val="2"/>
      <scheme val="minor"/>
    </font>
    <font>
      <b/>
      <sz val="16"/>
      <color rgb="FF003366"/>
      <name val="Calibri"/>
      <family val="2"/>
      <scheme val="minor"/>
    </font>
    <font>
      <sz val="10"/>
      <color rgb="FF0000FF"/>
      <name val="Calibri"/>
      <family val="2"/>
      <scheme val="minor"/>
    </font>
    <font>
      <i/>
      <sz val="9"/>
      <color rgb="FF808080"/>
      <name val="Calibri"/>
      <family val="2"/>
      <scheme val="minor"/>
    </font>
    <font>
      <sz val="11"/>
      <color rgb="FF0000FF"/>
      <name val="Calibri"/>
      <family val="2"/>
      <scheme val="minor"/>
    </font>
    <font>
      <b/>
      <sz val="11"/>
      <color rgb="FFC00000"/>
      <name val="Calibri"/>
      <family val="2"/>
      <scheme val="minor"/>
    </font>
    <font>
      <i/>
      <sz val="11"/>
      <color rgb="FF808080"/>
      <name val="Calibri"/>
      <family val="2"/>
      <scheme val="minor"/>
    </font>
    <font>
      <sz val="10"/>
      <color rgb="FF008000"/>
      <name val="Calibri"/>
      <family val="2"/>
      <scheme val="minor"/>
    </font>
    <font>
      <i/>
      <sz val="11"/>
      <color theme="8" tint="-0.499984740745262"/>
      <name val="Calibri"/>
      <family val="2"/>
      <scheme val="minor"/>
    </font>
    <font>
      <sz val="10"/>
      <color rgb="FF212529"/>
      <name val="Segoe UI"/>
      <family val="2"/>
    </font>
    <font>
      <b/>
      <sz val="10"/>
      <color rgb="FF212529"/>
      <name val="Segoe UI"/>
      <family val="2"/>
    </font>
    <font>
      <sz val="12"/>
      <color rgb="FF000000"/>
      <name val="Arial"/>
      <family val="2"/>
    </font>
    <font>
      <b/>
      <sz val="8"/>
      <color rgb="FF636363"/>
      <name val="Poppins"/>
    </font>
    <font>
      <sz val="8"/>
      <color rgb="FF636363"/>
      <name val="Poppins"/>
    </font>
    <font>
      <b/>
      <sz val="18"/>
      <color rgb="FF636363"/>
      <name val="Poppins"/>
    </font>
    <font>
      <u/>
      <sz val="10"/>
      <color rgb="FF0D6EFD"/>
      <name val="Segoe UI"/>
      <family val="2"/>
    </font>
    <font>
      <sz val="9"/>
      <color rgb="FF373A3C"/>
      <name val="Arial"/>
      <family val="2"/>
    </font>
    <font>
      <sz val="11"/>
      <color rgb="FF373A3C"/>
      <name val="Arial"/>
      <family val="2"/>
    </font>
    <font>
      <b/>
      <sz val="11"/>
      <color rgb="FF373A3C"/>
      <name val="Arial"/>
      <family val="2"/>
    </font>
    <font>
      <sz val="9"/>
      <color indexed="8"/>
      <name val="Geneva"/>
    </font>
    <font>
      <sz val="11"/>
      <name val="Calibri"/>
      <family val="2"/>
    </font>
    <font>
      <i/>
      <sz val="11"/>
      <name val="Calibri"/>
      <family val="2"/>
    </font>
    <font>
      <b/>
      <sz val="11"/>
      <name val="Calibri"/>
      <family val="2"/>
    </font>
    <font>
      <sz val="10"/>
      <color theme="1"/>
      <name val="Arial"/>
      <family val="2"/>
    </font>
    <font>
      <b/>
      <sz val="48"/>
      <color theme="0"/>
      <name val="Georgia"/>
      <family val="1"/>
    </font>
    <font>
      <b/>
      <sz val="14"/>
      <color rgb="FF1F4E79"/>
      <name val="Calibri"/>
      <family val="2"/>
      <scheme val="minor"/>
    </font>
  </fonts>
  <fills count="27">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theme="8"/>
        <bgColor indexed="64"/>
      </patternFill>
    </fill>
    <fill>
      <patternFill patternType="solid">
        <fgColor rgb="FF222A35"/>
        <bgColor indexed="64"/>
      </patternFill>
    </fill>
    <fill>
      <patternFill patternType="solid">
        <fgColor rgb="FFFFFFFF"/>
        <bgColor indexed="64"/>
      </patternFill>
    </fill>
    <fill>
      <patternFill patternType="solid">
        <fgColor rgb="FF09396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8" tint="-0.499984740745262"/>
        <bgColor indexed="64"/>
      </patternFill>
    </fill>
    <fill>
      <patternFill patternType="solid">
        <fgColor rgb="FF4F81BD"/>
        <bgColor indexed="64"/>
      </patternFill>
    </fill>
    <fill>
      <patternFill patternType="solid">
        <fgColor theme="8" tint="0.79998168889431442"/>
        <bgColor indexed="64"/>
      </patternFill>
    </fill>
    <fill>
      <patternFill patternType="solid">
        <fgColor theme="0"/>
        <bgColor rgb="FFF2F2F2"/>
      </patternFill>
    </fill>
    <fill>
      <patternFill patternType="solid">
        <fgColor rgb="FF003366"/>
        <bgColor rgb="FF093967"/>
      </patternFill>
    </fill>
    <fill>
      <patternFill patternType="solid">
        <fgColor rgb="FFD6E4F0"/>
        <bgColor rgb="FFDAE3F3"/>
      </patternFill>
    </fill>
    <fill>
      <patternFill patternType="solid">
        <fgColor rgb="FF002060"/>
        <bgColor rgb="FF093967"/>
      </patternFill>
    </fill>
    <fill>
      <patternFill patternType="solid">
        <fgColor rgb="FF002060"/>
        <bgColor rgb="FF2F5597"/>
      </patternFill>
    </fill>
    <fill>
      <patternFill patternType="solid">
        <fgColor rgb="FF1F4E79"/>
        <bgColor indexed="64"/>
      </patternFill>
    </fill>
  </fills>
  <borders count="54">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medium">
        <color rgb="FFFFFFFF"/>
      </left>
      <right style="medium">
        <color rgb="FFFFFFFF"/>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E6E8EB"/>
      </left>
      <right/>
      <top/>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style="thin">
        <color theme="0" tint="-0.499984740745262"/>
      </top>
      <bottom style="thin">
        <color theme="0" tint="-0.499984740745262"/>
      </bottom>
      <diagonal/>
    </border>
    <border>
      <left style="medium">
        <color indexed="64"/>
      </left>
      <right style="medium">
        <color indexed="64"/>
      </right>
      <top style="medium">
        <color indexed="64"/>
      </top>
      <bottom style="medium">
        <color indexed="64"/>
      </bottom>
      <diagonal/>
    </border>
    <border>
      <left/>
      <right/>
      <top/>
      <bottom style="medium">
        <color auto="1"/>
      </bottom>
      <diagonal/>
    </border>
    <border>
      <left style="thin">
        <color rgb="FFD9D9D9"/>
      </left>
      <right/>
      <top/>
      <bottom style="thin">
        <color rgb="FFD9D9D9"/>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double">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auto="1"/>
      </left>
      <right/>
      <top/>
      <bottom/>
      <diagonal/>
    </border>
    <border>
      <left style="thin">
        <color rgb="FFD9D9D9"/>
      </left>
      <right/>
      <top/>
      <bottom/>
      <diagonal/>
    </border>
    <border>
      <left style="medium">
        <color indexed="64"/>
      </left>
      <right style="medium">
        <color indexed="64"/>
      </right>
      <top style="medium">
        <color indexed="64"/>
      </top>
      <bottom style="thin">
        <color rgb="FFD9D9D9"/>
      </bottom>
      <diagonal/>
    </border>
    <border>
      <left style="medium">
        <color indexed="64"/>
      </left>
      <right style="medium">
        <color indexed="64"/>
      </right>
      <top style="thin">
        <color rgb="FFD9D9D9"/>
      </top>
      <bottom style="thin">
        <color rgb="FFD9D9D9"/>
      </bottom>
      <diagonal/>
    </border>
    <border>
      <left style="thin">
        <color rgb="FFD9D9D9"/>
      </left>
      <right/>
      <top style="thin">
        <color rgb="FFD9D9D9"/>
      </top>
      <bottom style="double">
        <color rgb="FFD9D9D9"/>
      </bottom>
      <diagonal/>
    </border>
    <border>
      <left style="medium">
        <color indexed="64"/>
      </left>
      <right style="medium">
        <color indexed="64"/>
      </right>
      <top style="thin">
        <color rgb="FFD9D9D9"/>
      </top>
      <bottom style="medium">
        <color indexed="64"/>
      </bottom>
      <diagonal/>
    </border>
    <border>
      <left/>
      <right style="thin">
        <color rgb="FFD9D9D9"/>
      </right>
      <top style="thin">
        <color rgb="FFD9D9D9"/>
      </top>
      <bottom style="double">
        <color rgb="FFD9D9D9"/>
      </bottom>
      <diagonal/>
    </border>
    <border>
      <left/>
      <right style="thin">
        <color rgb="FFD9D9D9"/>
      </right>
      <top style="medium">
        <color rgb="FF000000"/>
      </top>
      <bottom style="thin">
        <color rgb="FFD9D9D9"/>
      </bottom>
      <diagonal/>
    </border>
    <border>
      <left style="thin">
        <color rgb="FFD9D9D9"/>
      </left>
      <right style="thin">
        <color rgb="FFD9D9D9"/>
      </right>
      <top style="medium">
        <color rgb="FF000000"/>
      </top>
      <bottom style="thin">
        <color rgb="FFD9D9D9"/>
      </bottom>
      <diagonal/>
    </border>
    <border>
      <left/>
      <right style="medium">
        <color indexed="64"/>
      </right>
      <top style="thin">
        <color rgb="FFD9D9D9"/>
      </top>
      <bottom style="thin">
        <color rgb="FFD9D9D9"/>
      </bottom>
      <diagonal/>
    </border>
    <border>
      <left style="medium">
        <color theme="1"/>
      </left>
      <right style="medium">
        <color theme="1"/>
      </right>
      <top style="medium">
        <color theme="1"/>
      </top>
      <bottom style="thin">
        <color rgb="FFD9D9D9"/>
      </bottom>
      <diagonal/>
    </border>
    <border>
      <left style="medium">
        <color theme="1"/>
      </left>
      <right style="medium">
        <color theme="1"/>
      </right>
      <top style="thin">
        <color rgb="FFD9D9D9"/>
      </top>
      <bottom style="thin">
        <color rgb="FFD9D9D9"/>
      </bottom>
      <diagonal/>
    </border>
    <border>
      <left style="medium">
        <color theme="1"/>
      </left>
      <right style="medium">
        <color theme="1"/>
      </right>
      <top style="thin">
        <color rgb="FFD9D9D9"/>
      </top>
      <bottom style="medium">
        <color theme="1"/>
      </bottom>
      <diagonal/>
    </border>
    <border>
      <left/>
      <right style="medium">
        <color indexed="64"/>
      </right>
      <top style="thin">
        <color rgb="FFD9D9D9"/>
      </top>
      <bottom style="double">
        <color rgb="FFD9D9D9"/>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theme="0" tint="-0.24994659260841701"/>
      </top>
      <bottom style="hair">
        <color theme="0" tint="-0.24994659260841701"/>
      </bottom>
      <diagonal/>
    </border>
    <border>
      <left style="thin">
        <color auto="1"/>
      </left>
      <right/>
      <top style="thin">
        <color auto="1"/>
      </top>
      <bottom/>
      <diagonal/>
    </border>
    <border>
      <left/>
      <right style="thin">
        <color auto="1"/>
      </right>
      <top style="thin">
        <color auto="1"/>
      </top>
      <bottom/>
      <diagonal/>
    </border>
    <border>
      <left style="thin">
        <color indexed="64"/>
      </left>
      <right style="thin">
        <color indexed="64"/>
      </right>
      <top/>
      <bottom/>
      <diagonal/>
    </border>
    <border>
      <left/>
      <right/>
      <top/>
      <bottom style="hair">
        <color theme="0" tint="-0.24994659260841701"/>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22">
    <xf numFmtId="0" fontId="0" fillId="0" borderId="0"/>
    <xf numFmtId="9" fontId="1" fillId="0" borderId="0" applyFont="0" applyFill="0" applyBorder="0" applyAlignment="0" applyProtection="0"/>
    <xf numFmtId="0" fontId="4" fillId="0" borderId="0"/>
    <xf numFmtId="0" fontId="6" fillId="0" borderId="0"/>
    <xf numFmtId="0" fontId="38" fillId="0" borderId="0" applyNumberFormat="0" applyFill="0" applyBorder="0" applyAlignment="0" applyProtection="0"/>
    <xf numFmtId="0" fontId="84" fillId="0" borderId="0"/>
    <xf numFmtId="0" fontId="87" fillId="19" borderId="0"/>
    <xf numFmtId="43" fontId="4" fillId="0" borderId="0" applyFont="0" applyFill="0" applyBorder="0" applyAlignment="0" applyProtection="0"/>
    <xf numFmtId="0" fontId="85" fillId="0" borderId="0" applyNumberFormat="0" applyFill="0" applyBorder="0" applyAlignment="0" applyProtection="0">
      <alignment vertical="top"/>
      <protection locked="0"/>
    </xf>
    <xf numFmtId="0" fontId="4" fillId="0" borderId="0"/>
    <xf numFmtId="0" fontId="4" fillId="0" borderId="0"/>
    <xf numFmtId="9" fontId="84" fillId="0" borderId="0" applyFont="0" applyFill="0" applyBorder="0" applyAlignment="0" applyProtection="0"/>
    <xf numFmtId="0" fontId="90" fillId="0" borderId="0"/>
    <xf numFmtId="185" fontId="86" fillId="0" borderId="0" applyFont="0" applyFill="0" applyBorder="0" applyAlignment="0" applyProtection="0"/>
    <xf numFmtId="9" fontId="86" fillId="0" borderId="0" applyFont="0" applyFill="0" applyBorder="0" applyAlignment="0" applyProtection="0"/>
    <xf numFmtId="0" fontId="98" fillId="0" borderId="0"/>
    <xf numFmtId="185" fontId="98" fillId="0" borderId="0" applyFont="0" applyFill="0" applyBorder="0" applyAlignment="0" applyProtection="0"/>
    <xf numFmtId="9" fontId="98" fillId="0" borderId="0" applyFont="0" applyFill="0" applyBorder="0" applyAlignment="0" applyProtection="0"/>
    <xf numFmtId="186" fontId="98" fillId="0" borderId="0" applyFont="0" applyFill="0" applyBorder="0" applyAlignment="0" applyProtection="0"/>
    <xf numFmtId="43" fontId="1" fillId="0" borderId="0" applyFont="0" applyFill="0" applyBorder="0" applyAlignment="0" applyProtection="0"/>
    <xf numFmtId="0" fontId="117" fillId="0" borderId="0"/>
    <xf numFmtId="0" fontId="142" fillId="0" borderId="0"/>
  </cellStyleXfs>
  <cellXfs count="739">
    <xf numFmtId="0" fontId="0" fillId="0" borderId="0" xfId="0"/>
    <xf numFmtId="0" fontId="5" fillId="0" borderId="0" xfId="2" applyFont="1"/>
    <xf numFmtId="164" fontId="5" fillId="0" borderId="0" xfId="2" applyNumberFormat="1" applyFont="1"/>
    <xf numFmtId="0" fontId="7" fillId="0" borderId="0" xfId="2" applyFont="1"/>
    <xf numFmtId="165" fontId="5" fillId="0" borderId="0" xfId="2" applyNumberFormat="1" applyFont="1"/>
    <xf numFmtId="165" fontId="8" fillId="0" borderId="0" xfId="3" applyNumberFormat="1" applyFont="1" applyAlignment="1">
      <alignment vertical="center"/>
    </xf>
    <xf numFmtId="165" fontId="9" fillId="0" borderId="0" xfId="2" applyNumberFormat="1" applyFont="1"/>
    <xf numFmtId="166" fontId="9" fillId="0" borderId="0" xfId="1" applyNumberFormat="1" applyFont="1" applyFill="1"/>
    <xf numFmtId="165" fontId="10" fillId="0" borderId="0" xfId="3" applyNumberFormat="1" applyFont="1" applyAlignment="1">
      <alignment vertical="center"/>
    </xf>
    <xf numFmtId="165" fontId="11" fillId="0" borderId="0" xfId="3" applyNumberFormat="1" applyFont="1" applyAlignment="1">
      <alignment vertical="center"/>
    </xf>
    <xf numFmtId="9" fontId="9" fillId="0" borderId="0" xfId="1" applyFont="1" applyFill="1"/>
    <xf numFmtId="0" fontId="9" fillId="0" borderId="0" xfId="2" applyFont="1"/>
    <xf numFmtId="0" fontId="12" fillId="0" borderId="0" xfId="2" applyFont="1"/>
    <xf numFmtId="0" fontId="13" fillId="0" borderId="0" xfId="0" applyFont="1"/>
    <xf numFmtId="9" fontId="0" fillId="0" borderId="0" xfId="1" applyFont="1"/>
    <xf numFmtId="9" fontId="14" fillId="0" borderId="0" xfId="1" applyFont="1"/>
    <xf numFmtId="0" fontId="15" fillId="0" borderId="0" xfId="0" applyFont="1"/>
    <xf numFmtId="0" fontId="0" fillId="3" borderId="0" xfId="0" applyFill="1"/>
    <xf numFmtId="0" fontId="3" fillId="3" borderId="0" xfId="0" applyFont="1" applyFill="1"/>
    <xf numFmtId="167" fontId="3" fillId="0" borderId="0" xfId="0" applyNumberFormat="1" applyFont="1"/>
    <xf numFmtId="0" fontId="3" fillId="0" borderId="0" xfId="0" applyFont="1"/>
    <xf numFmtId="0" fontId="0" fillId="2" borderId="0" xfId="0" applyFill="1"/>
    <xf numFmtId="0" fontId="16" fillId="2" borderId="0" xfId="0" applyFont="1" applyFill="1"/>
    <xf numFmtId="0" fontId="17" fillId="4" borderId="0" xfId="0" applyFont="1" applyFill="1"/>
    <xf numFmtId="0" fontId="0" fillId="4" borderId="0" xfId="0" applyFill="1"/>
    <xf numFmtId="0" fontId="0" fillId="0" borderId="2" xfId="0" applyBorder="1"/>
    <xf numFmtId="0" fontId="3" fillId="0" borderId="3" xfId="0" applyFont="1" applyBorder="1"/>
    <xf numFmtId="0" fontId="0" fillId="0" borderId="3" xfId="0" applyBorder="1"/>
    <xf numFmtId="0" fontId="18" fillId="0" borderId="4" xfId="0" applyFont="1" applyBorder="1"/>
    <xf numFmtId="0" fontId="0" fillId="0" borderId="4" xfId="0" applyBorder="1"/>
    <xf numFmtId="9" fontId="0" fillId="0" borderId="4" xfId="1" applyFont="1" applyBorder="1"/>
    <xf numFmtId="9" fontId="18" fillId="0" borderId="4" xfId="1" applyFont="1" applyBorder="1"/>
    <xf numFmtId="9" fontId="0" fillId="3" borderId="0" xfId="1" applyFont="1" applyFill="1"/>
    <xf numFmtId="9" fontId="3" fillId="3" borderId="0" xfId="1" applyFont="1" applyFill="1"/>
    <xf numFmtId="0" fontId="3" fillId="0" borderId="5" xfId="0" applyFont="1" applyBorder="1"/>
    <xf numFmtId="0" fontId="0" fillId="0" borderId="5" xfId="0" applyBorder="1"/>
    <xf numFmtId="166" fontId="18" fillId="0" borderId="4" xfId="1" applyNumberFormat="1" applyFont="1" applyBorder="1"/>
    <xf numFmtId="166" fontId="3" fillId="3" borderId="0" xfId="1" applyNumberFormat="1" applyFont="1" applyFill="1"/>
    <xf numFmtId="0" fontId="19" fillId="0" borderId="0" xfId="0" applyFont="1"/>
    <xf numFmtId="0" fontId="3" fillId="0" borderId="6" xfId="0" applyFont="1" applyBorder="1"/>
    <xf numFmtId="0" fontId="0" fillId="0" borderId="6" xfId="0" applyBorder="1"/>
    <xf numFmtId="0" fontId="0" fillId="5" borderId="0" xfId="0" applyFill="1"/>
    <xf numFmtId="9" fontId="20" fillId="5" borderId="0" xfId="0" applyNumberFormat="1" applyFont="1" applyFill="1"/>
    <xf numFmtId="9" fontId="0" fillId="5" borderId="0" xfId="1" applyFont="1" applyFill="1"/>
    <xf numFmtId="166" fontId="0" fillId="5" borderId="0" xfId="1" applyNumberFormat="1" applyFont="1" applyFill="1"/>
    <xf numFmtId="168" fontId="0" fillId="0" borderId="0" xfId="0" applyNumberFormat="1"/>
    <xf numFmtId="1" fontId="0" fillId="0" borderId="0" xfId="0" applyNumberFormat="1"/>
    <xf numFmtId="169" fontId="3" fillId="0" borderId="6" xfId="0" applyNumberFormat="1" applyFont="1" applyBorder="1"/>
    <xf numFmtId="0" fontId="0" fillId="6" borderId="0" xfId="0" applyFill="1"/>
    <xf numFmtId="0" fontId="0" fillId="0" borderId="1" xfId="0" applyBorder="1"/>
    <xf numFmtId="169" fontId="3" fillId="0" borderId="1" xfId="0" applyNumberFormat="1" applyFont="1" applyBorder="1"/>
    <xf numFmtId="166" fontId="0" fillId="0" borderId="0" xfId="1" applyNumberFormat="1" applyFont="1"/>
    <xf numFmtId="0" fontId="3" fillId="0" borderId="2" xfId="0" applyFont="1" applyBorder="1"/>
    <xf numFmtId="0" fontId="3" fillId="0" borderId="1" xfId="0" applyFont="1" applyBorder="1"/>
    <xf numFmtId="166" fontId="3" fillId="5" borderId="0" xfId="1" applyNumberFormat="1" applyFont="1" applyFill="1"/>
    <xf numFmtId="0" fontId="18" fillId="0" borderId="9" xfId="0" applyFont="1" applyBorder="1"/>
    <xf numFmtId="169" fontId="0" fillId="0" borderId="0" xfId="0" applyNumberFormat="1"/>
    <xf numFmtId="169" fontId="3" fillId="0" borderId="1" xfId="0" applyNumberFormat="1" applyFont="1" applyBorder="1" applyAlignment="1">
      <alignment horizontal="right"/>
    </xf>
    <xf numFmtId="169" fontId="18" fillId="0" borderId="0" xfId="0" applyNumberFormat="1" applyFont="1"/>
    <xf numFmtId="166" fontId="20" fillId="5" borderId="0" xfId="0" applyNumberFormat="1" applyFont="1" applyFill="1"/>
    <xf numFmtId="169" fontId="3" fillId="0" borderId="6" xfId="0" applyNumberFormat="1" applyFont="1" applyBorder="1" applyAlignment="1">
      <alignment horizontal="right"/>
    </xf>
    <xf numFmtId="169" fontId="20" fillId="0" borderId="0" xfId="0" applyNumberFormat="1" applyFont="1"/>
    <xf numFmtId="9" fontId="20" fillId="5" borderId="0" xfId="1" applyFont="1" applyFill="1"/>
    <xf numFmtId="0" fontId="0" fillId="0" borderId="0" xfId="0" applyAlignment="1">
      <alignment horizontal="left" indent="1"/>
    </xf>
    <xf numFmtId="170" fontId="0" fillId="0" borderId="0" xfId="0" applyNumberFormat="1"/>
    <xf numFmtId="169" fontId="0" fillId="5" borderId="0" xfId="0" applyNumberFormat="1" applyFill="1"/>
    <xf numFmtId="167" fontId="0" fillId="0" borderId="0" xfId="0" applyNumberFormat="1" applyAlignment="1">
      <alignment horizontal="left"/>
    </xf>
    <xf numFmtId="0" fontId="3" fillId="0" borderId="6" xfId="0" applyFont="1" applyBorder="1" applyAlignment="1">
      <alignment horizontal="left"/>
    </xf>
    <xf numFmtId="0" fontId="23" fillId="2" borderId="0" xfId="0" applyFont="1" applyFill="1"/>
    <xf numFmtId="0" fontId="24" fillId="2" borderId="0" xfId="0" applyFont="1" applyFill="1"/>
    <xf numFmtId="167" fontId="24" fillId="2" borderId="0" xfId="0" applyNumberFormat="1" applyFont="1" applyFill="1"/>
    <xf numFmtId="165" fontId="25" fillId="0" borderId="0" xfId="3" applyNumberFormat="1" applyFont="1" applyAlignment="1">
      <alignment horizontal="left" vertical="center"/>
    </xf>
    <xf numFmtId="165" fontId="25" fillId="0" borderId="0" xfId="3" applyNumberFormat="1" applyFont="1" applyAlignment="1">
      <alignment vertical="center"/>
    </xf>
    <xf numFmtId="165" fontId="26" fillId="0" borderId="0" xfId="3" applyNumberFormat="1" applyFont="1" applyAlignment="1">
      <alignment horizontal="left" vertical="center"/>
    </xf>
    <xf numFmtId="165" fontId="25" fillId="0" borderId="0" xfId="3" applyNumberFormat="1" applyFont="1" applyAlignment="1">
      <alignment horizontal="left" vertical="center" indent="1"/>
    </xf>
    <xf numFmtId="0" fontId="9" fillId="0" borderId="0" xfId="2" applyFont="1" applyAlignment="1">
      <alignment horizontal="left" indent="1"/>
    </xf>
    <xf numFmtId="165" fontId="10" fillId="0" borderId="1" xfId="3" applyNumberFormat="1" applyFont="1" applyBorder="1" applyAlignment="1">
      <alignment vertical="center"/>
    </xf>
    <xf numFmtId="165" fontId="10" fillId="0" borderId="6" xfId="3" applyNumberFormat="1" applyFont="1" applyBorder="1" applyAlignment="1">
      <alignment horizontal="left" vertical="center"/>
    </xf>
    <xf numFmtId="171" fontId="0" fillId="0" borderId="0" xfId="0" applyNumberFormat="1"/>
    <xf numFmtId="165" fontId="10" fillId="0" borderId="6" xfId="3" applyNumberFormat="1" applyFont="1" applyBorder="1" applyAlignment="1">
      <alignment vertical="center"/>
    </xf>
    <xf numFmtId="171" fontId="20" fillId="0" borderId="0" xfId="0" applyNumberFormat="1" applyFont="1"/>
    <xf numFmtId="171" fontId="21" fillId="0" borderId="6" xfId="0" applyNumberFormat="1" applyFont="1" applyBorder="1"/>
    <xf numFmtId="171" fontId="3" fillId="0" borderId="6" xfId="0" applyNumberFormat="1" applyFont="1" applyBorder="1"/>
    <xf numFmtId="171" fontId="21" fillId="0" borderId="0" xfId="0" applyNumberFormat="1" applyFont="1"/>
    <xf numFmtId="171" fontId="3" fillId="0" borderId="0" xfId="0" applyNumberFormat="1" applyFont="1"/>
    <xf numFmtId="165" fontId="10" fillId="0" borderId="0" xfId="3" applyNumberFormat="1" applyFont="1" applyAlignment="1">
      <alignment horizontal="left" vertical="center"/>
    </xf>
    <xf numFmtId="171" fontId="27" fillId="0" borderId="6" xfId="0" applyNumberFormat="1" applyFont="1" applyBorder="1"/>
    <xf numFmtId="171" fontId="27" fillId="0" borderId="1" xfId="0" applyNumberFormat="1" applyFont="1" applyBorder="1"/>
    <xf numFmtId="166" fontId="0" fillId="5" borderId="0" xfId="1" applyNumberFormat="1" applyFont="1" applyFill="1" applyAlignment="1">
      <alignment horizontal="right"/>
    </xf>
    <xf numFmtId="166" fontId="20" fillId="5" borderId="0" xfId="1" applyNumberFormat="1" applyFont="1" applyFill="1"/>
    <xf numFmtId="171" fontId="21" fillId="0" borderId="1" xfId="0" applyNumberFormat="1" applyFont="1" applyBorder="1"/>
    <xf numFmtId="166" fontId="0" fillId="0" borderId="0" xfId="1" applyNumberFormat="1" applyFont="1" applyFill="1"/>
    <xf numFmtId="0" fontId="27" fillId="0" borderId="1" xfId="2" applyFont="1" applyBorder="1"/>
    <xf numFmtId="171" fontId="3" fillId="0" borderId="1" xfId="0" applyNumberFormat="1" applyFont="1" applyBorder="1"/>
    <xf numFmtId="172" fontId="18" fillId="0" borderId="0" xfId="0" applyNumberFormat="1" applyFont="1"/>
    <xf numFmtId="172" fontId="3" fillId="5" borderId="0" xfId="0" applyNumberFormat="1" applyFont="1" applyFill="1"/>
    <xf numFmtId="173" fontId="0" fillId="0" borderId="0" xfId="0" applyNumberFormat="1"/>
    <xf numFmtId="173" fontId="3" fillId="0" borderId="6" xfId="0" applyNumberFormat="1" applyFont="1" applyBorder="1"/>
    <xf numFmtId="173" fontId="3" fillId="0" borderId="1" xfId="0" applyNumberFormat="1" applyFont="1" applyBorder="1"/>
    <xf numFmtId="0" fontId="0" fillId="0" borderId="0" xfId="0" applyAlignment="1">
      <alignment horizontal="left"/>
    </xf>
    <xf numFmtId="172" fontId="0" fillId="5" borderId="0" xfId="0" applyNumberFormat="1" applyFill="1"/>
    <xf numFmtId="9" fontId="3" fillId="0" borderId="6" xfId="1" applyFont="1" applyBorder="1"/>
    <xf numFmtId="166" fontId="3" fillId="0" borderId="6" xfId="1" applyNumberFormat="1" applyFont="1" applyBorder="1"/>
    <xf numFmtId="174" fontId="20" fillId="0" borderId="0" xfId="0" applyNumberFormat="1" applyFont="1"/>
    <xf numFmtId="174" fontId="9" fillId="0" borderId="0" xfId="0" applyNumberFormat="1" applyFont="1"/>
    <xf numFmtId="175" fontId="3" fillId="0" borderId="6" xfId="0" applyNumberFormat="1" applyFont="1" applyBorder="1"/>
    <xf numFmtId="172" fontId="20" fillId="0" borderId="0" xfId="0" applyNumberFormat="1" applyFont="1"/>
    <xf numFmtId="172" fontId="27" fillId="0" borderId="6" xfId="0" applyNumberFormat="1" applyFont="1" applyBorder="1"/>
    <xf numFmtId="0" fontId="3" fillId="0" borderId="0" xfId="0" applyFont="1" applyAlignment="1">
      <alignment horizontal="left" indent="1"/>
    </xf>
    <xf numFmtId="0" fontId="29" fillId="0" borderId="0" xfId="0" applyFont="1"/>
    <xf numFmtId="10" fontId="0" fillId="0" borderId="0" xfId="1" applyNumberFormat="1" applyFont="1"/>
    <xf numFmtId="9" fontId="1" fillId="0" borderId="0" xfId="1" applyFont="1"/>
    <xf numFmtId="175" fontId="0" fillId="0" borderId="0" xfId="0" applyNumberFormat="1"/>
    <xf numFmtId="0" fontId="3" fillId="0" borderId="0" xfId="0" applyFont="1" applyAlignment="1">
      <alignment horizontal="left"/>
    </xf>
    <xf numFmtId="169" fontId="29" fillId="0" borderId="0" xfId="0" applyNumberFormat="1" applyFont="1"/>
    <xf numFmtId="0" fontId="30" fillId="0" borderId="0" xfId="0" applyFont="1" applyAlignment="1">
      <alignment horizontal="left" vertical="top" wrapText="1"/>
    </xf>
    <xf numFmtId="0" fontId="1" fillId="0" borderId="0" xfId="0" applyFont="1"/>
    <xf numFmtId="0" fontId="30" fillId="0" borderId="0" xfId="0" applyFont="1" applyAlignment="1">
      <alignment horizontal="right" vertical="top" wrapText="1"/>
    </xf>
    <xf numFmtId="0" fontId="31" fillId="0" borderId="0" xfId="0" applyFont="1" applyAlignment="1">
      <alignment horizontal="left" vertical="top" wrapText="1"/>
    </xf>
    <xf numFmtId="4" fontId="31" fillId="0" borderId="0" xfId="0" applyNumberFormat="1" applyFont="1" applyAlignment="1">
      <alignment horizontal="right" vertical="top" wrapText="1"/>
    </xf>
    <xf numFmtId="0" fontId="30" fillId="0" borderId="10" xfId="0" applyFont="1" applyBorder="1" applyAlignment="1">
      <alignment horizontal="left" vertical="top" wrapText="1"/>
    </xf>
    <xf numFmtId="0" fontId="31" fillId="0" borderId="0" xfId="0" applyFont="1" applyAlignment="1">
      <alignment horizontal="left" vertical="top" wrapText="1" indent="1"/>
    </xf>
    <xf numFmtId="0" fontId="30" fillId="0" borderId="1" xfId="0" applyFont="1" applyBorder="1" applyAlignment="1">
      <alignment horizontal="left" vertical="top" wrapText="1"/>
    </xf>
    <xf numFmtId="4" fontId="30" fillId="0" borderId="0" xfId="0" applyNumberFormat="1" applyFont="1" applyAlignment="1">
      <alignment horizontal="right" vertical="top" wrapText="1"/>
    </xf>
    <xf numFmtId="178" fontId="30" fillId="0" borderId="0" xfId="0" applyNumberFormat="1" applyFont="1" applyAlignment="1">
      <alignment horizontal="right" vertical="top" wrapText="1"/>
    </xf>
    <xf numFmtId="164" fontId="9" fillId="0" borderId="0" xfId="2" applyNumberFormat="1" applyFont="1"/>
    <xf numFmtId="0" fontId="32" fillId="0" borderId="0" xfId="0" applyFont="1" applyAlignment="1">
      <alignment horizontal="left" vertical="top" wrapText="1"/>
    </xf>
    <xf numFmtId="0" fontId="32" fillId="0" borderId="0" xfId="0" applyFont="1" applyAlignment="1">
      <alignment horizontal="right" vertical="top" wrapText="1"/>
    </xf>
    <xf numFmtId="0" fontId="33" fillId="0" borderId="0" xfId="0" applyFont="1" applyAlignment="1">
      <alignment horizontal="left" vertical="top" wrapText="1"/>
    </xf>
    <xf numFmtId="4" fontId="33" fillId="0" borderId="0" xfId="0" applyNumberFormat="1" applyFont="1" applyAlignment="1">
      <alignment horizontal="right" vertical="top" wrapText="1"/>
    </xf>
    <xf numFmtId="3" fontId="31" fillId="0" borderId="0" xfId="0" applyNumberFormat="1" applyFont="1" applyAlignment="1">
      <alignment horizontal="right" vertical="top" wrapText="1"/>
    </xf>
    <xf numFmtId="0" fontId="30" fillId="0" borderId="6" xfId="0" applyFont="1" applyBorder="1" applyAlignment="1">
      <alignment horizontal="left" vertical="top" wrapText="1"/>
    </xf>
    <xf numFmtId="3" fontId="30" fillId="0" borderId="6" xfId="0" applyNumberFormat="1" applyFont="1" applyBorder="1" applyAlignment="1">
      <alignment horizontal="right" vertical="top" wrapText="1"/>
    </xf>
    <xf numFmtId="165" fontId="31" fillId="0" borderId="0" xfId="0" applyNumberFormat="1" applyFont="1" applyAlignment="1">
      <alignment horizontal="right" vertical="top" wrapText="1"/>
    </xf>
    <xf numFmtId="165" fontId="30" fillId="0" borderId="1" xfId="0" applyNumberFormat="1" applyFont="1" applyBorder="1" applyAlignment="1">
      <alignment horizontal="right" vertical="top" wrapText="1"/>
    </xf>
    <xf numFmtId="0" fontId="3" fillId="0" borderId="10" xfId="0" applyFont="1" applyBorder="1"/>
    <xf numFmtId="165" fontId="30" fillId="0" borderId="10" xfId="0" applyNumberFormat="1" applyFont="1" applyBorder="1" applyAlignment="1">
      <alignment horizontal="right" vertical="top" wrapText="1"/>
    </xf>
    <xf numFmtId="165" fontId="34" fillId="0" borderId="0" xfId="3" applyNumberFormat="1" applyFont="1" applyAlignment="1">
      <alignment vertical="center"/>
    </xf>
    <xf numFmtId="177" fontId="35" fillId="2" borderId="0" xfId="0" applyNumberFormat="1" applyFont="1" applyFill="1" applyAlignment="1">
      <alignment horizontal="right" vertical="top" wrapText="1"/>
    </xf>
    <xf numFmtId="165" fontId="14" fillId="0" borderId="0" xfId="3" applyNumberFormat="1" applyFont="1" applyAlignment="1">
      <alignment vertical="center"/>
    </xf>
    <xf numFmtId="165" fontId="36" fillId="0" borderId="0" xfId="3" applyNumberFormat="1" applyFont="1" applyAlignment="1">
      <alignment vertical="center"/>
    </xf>
    <xf numFmtId="3" fontId="30" fillId="0" borderId="1" xfId="0" applyNumberFormat="1" applyFont="1" applyBorder="1" applyAlignment="1">
      <alignment horizontal="right" vertical="top" wrapText="1"/>
    </xf>
    <xf numFmtId="3" fontId="30" fillId="0" borderId="10" xfId="0" applyNumberFormat="1" applyFont="1" applyBorder="1" applyAlignment="1">
      <alignment horizontal="right" vertical="top" wrapText="1"/>
    </xf>
    <xf numFmtId="165" fontId="37" fillId="0" borderId="0" xfId="3" applyNumberFormat="1" applyFont="1" applyAlignment="1">
      <alignment vertical="center"/>
    </xf>
    <xf numFmtId="0" fontId="7" fillId="0" borderId="10" xfId="2" applyFont="1" applyBorder="1"/>
    <xf numFmtId="165" fontId="7" fillId="0" borderId="10" xfId="2" applyNumberFormat="1" applyFont="1" applyBorder="1"/>
    <xf numFmtId="0" fontId="1"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165" fontId="30" fillId="0" borderId="0" xfId="0" applyNumberFormat="1" applyFont="1" applyAlignment="1">
      <alignment horizontal="right" vertical="top" wrapText="1"/>
    </xf>
    <xf numFmtId="0" fontId="0" fillId="0" borderId="0" xfId="0" applyAlignment="1">
      <alignment horizontal="left" wrapText="1" indent="1"/>
    </xf>
    <xf numFmtId="0" fontId="1" fillId="0" borderId="0" xfId="0" applyFont="1" applyAlignment="1">
      <alignment horizontal="left" wrapText="1" indent="1"/>
    </xf>
    <xf numFmtId="0" fontId="27" fillId="0" borderId="0" xfId="2" applyFont="1"/>
    <xf numFmtId="0" fontId="27" fillId="0" borderId="10" xfId="2" applyFont="1" applyBorder="1"/>
    <xf numFmtId="0" fontId="8" fillId="0" borderId="0" xfId="0" applyFont="1"/>
    <xf numFmtId="9" fontId="31" fillId="0" borderId="0" xfId="1" applyFont="1" applyFill="1" applyBorder="1" applyAlignment="1">
      <alignment horizontal="right" vertical="top" wrapText="1"/>
    </xf>
    <xf numFmtId="0" fontId="2" fillId="2" borderId="0" xfId="0" applyFont="1" applyFill="1" applyAlignment="1">
      <alignment horizontal="center"/>
    </xf>
    <xf numFmtId="0" fontId="2" fillId="2" borderId="0" xfId="0" applyFont="1" applyFill="1"/>
    <xf numFmtId="9" fontId="0" fillId="0" borderId="0" xfId="0" applyNumberFormat="1"/>
    <xf numFmtId="9" fontId="31" fillId="0" borderId="0" xfId="1" applyFont="1" applyAlignment="1">
      <alignment horizontal="right" vertical="top" wrapText="1"/>
    </xf>
    <xf numFmtId="0" fontId="17" fillId="2" borderId="0" xfId="0" applyFont="1" applyFill="1"/>
    <xf numFmtId="0" fontId="35" fillId="2" borderId="0" xfId="0" applyFont="1" applyFill="1"/>
    <xf numFmtId="0" fontId="38" fillId="0" borderId="0" xfId="4"/>
    <xf numFmtId="0" fontId="39" fillId="0" borderId="0" xfId="0" applyFont="1"/>
    <xf numFmtId="0" fontId="39" fillId="0" borderId="0" xfId="0" applyFont="1" applyAlignment="1">
      <alignment horizontal="left" vertical="center" indent="1"/>
    </xf>
    <xf numFmtId="0" fontId="41" fillId="0" borderId="0" xfId="0" applyFont="1"/>
    <xf numFmtId="0" fontId="42" fillId="0" borderId="0" xfId="4" applyFont="1"/>
    <xf numFmtId="0" fontId="43" fillId="5" borderId="0" xfId="0" applyFont="1" applyFill="1"/>
    <xf numFmtId="0" fontId="44"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0" fillId="7" borderId="0" xfId="0" applyFont="1" applyFill="1"/>
    <xf numFmtId="0" fontId="45" fillId="7" borderId="0" xfId="0" applyFont="1" applyFill="1"/>
    <xf numFmtId="0" fontId="0" fillId="7" borderId="0" xfId="0" applyFill="1"/>
    <xf numFmtId="0" fontId="49" fillId="0" borderId="0" xfId="0" applyFont="1"/>
    <xf numFmtId="0" fontId="49" fillId="5" borderId="0" xfId="0" applyFont="1" applyFill="1"/>
    <xf numFmtId="0" fontId="49" fillId="8" borderId="0" xfId="0" applyFont="1" applyFill="1"/>
    <xf numFmtId="0" fontId="50" fillId="0" borderId="0" xfId="0" applyFont="1"/>
    <xf numFmtId="0" fontId="51" fillId="0" borderId="0" xfId="0" applyFont="1" applyAlignment="1">
      <alignment horizontal="left" vertical="center" indent="1"/>
    </xf>
    <xf numFmtId="177" fontId="35" fillId="6" borderId="0" xfId="0" applyNumberFormat="1" applyFont="1" applyFill="1" applyAlignment="1">
      <alignment horizontal="right" vertical="top" wrapText="1"/>
    </xf>
    <xf numFmtId="165" fontId="0" fillId="0" borderId="0" xfId="0" applyNumberFormat="1"/>
    <xf numFmtId="0" fontId="52" fillId="0" borderId="0" xfId="0" applyFont="1"/>
    <xf numFmtId="0" fontId="52" fillId="7" borderId="0" xfId="0" applyFont="1" applyFill="1"/>
    <xf numFmtId="0" fontId="53" fillId="0" borderId="0" xfId="0" applyFont="1"/>
    <xf numFmtId="0" fontId="54" fillId="0" borderId="0" xfId="0" applyFont="1"/>
    <xf numFmtId="0" fontId="54" fillId="7" borderId="0" xfId="0" applyFont="1" applyFill="1"/>
    <xf numFmtId="0" fontId="53" fillId="9" borderId="0" xfId="0" applyFont="1" applyFill="1"/>
    <xf numFmtId="0" fontId="50" fillId="7" borderId="0" xfId="0" applyFont="1" applyFill="1"/>
    <xf numFmtId="0" fontId="55" fillId="0" borderId="0" xfId="0" applyFont="1"/>
    <xf numFmtId="10" fontId="55" fillId="7" borderId="0" xfId="0" applyNumberFormat="1" applyFont="1" applyFill="1"/>
    <xf numFmtId="0" fontId="49" fillId="7" borderId="0" xfId="0" applyFont="1" applyFill="1"/>
    <xf numFmtId="0" fontId="56" fillId="0" borderId="0" xfId="0" applyFont="1"/>
    <xf numFmtId="0" fontId="57" fillId="0" borderId="0" xfId="0" applyFont="1"/>
    <xf numFmtId="0" fontId="58" fillId="0" borderId="0" xfId="0" applyFont="1"/>
    <xf numFmtId="0" fontId="59" fillId="7" borderId="0" xfId="0" applyFont="1" applyFill="1"/>
    <xf numFmtId="10" fontId="60" fillId="7" borderId="0" xfId="0" applyNumberFormat="1" applyFont="1" applyFill="1"/>
    <xf numFmtId="0" fontId="61" fillId="10" borderId="12" xfId="0" applyFont="1" applyFill="1" applyBorder="1" applyAlignment="1">
      <alignment vertical="center"/>
    </xf>
    <xf numFmtId="0" fontId="61" fillId="10" borderId="11" xfId="0" applyFont="1" applyFill="1" applyBorder="1" applyAlignment="1">
      <alignment vertical="center"/>
    </xf>
    <xf numFmtId="10" fontId="62" fillId="0" borderId="0" xfId="0" applyNumberFormat="1" applyFont="1"/>
    <xf numFmtId="0" fontId="63" fillId="0" borderId="0" xfId="0" applyFont="1"/>
    <xf numFmtId="0" fontId="35" fillId="0" borderId="0" xfId="0" applyFont="1"/>
    <xf numFmtId="0" fontId="17" fillId="0" borderId="0" xfId="0" applyFont="1"/>
    <xf numFmtId="165" fontId="64" fillId="0" borderId="0" xfId="3" applyNumberFormat="1" applyFont="1" applyAlignment="1">
      <alignment vertical="center"/>
    </xf>
    <xf numFmtId="9" fontId="0" fillId="0" borderId="0" xfId="1" applyFont="1" applyFill="1"/>
    <xf numFmtId="9" fontId="3" fillId="0" borderId="0" xfId="1" applyFont="1" applyFill="1"/>
    <xf numFmtId="0" fontId="14" fillId="0" borderId="0" xfId="0" applyFont="1"/>
    <xf numFmtId="0" fontId="2" fillId="0" borderId="0" xfId="0" applyFont="1"/>
    <xf numFmtId="0" fontId="3" fillId="5" borderId="0" xfId="0" applyFont="1" applyFill="1"/>
    <xf numFmtId="9" fontId="30" fillId="5" borderId="0" xfId="1" applyFont="1" applyFill="1" applyBorder="1" applyAlignment="1">
      <alignment horizontal="right" vertical="top" wrapText="1"/>
    </xf>
    <xf numFmtId="9" fontId="0" fillId="0" borderId="4" xfId="0" applyNumberFormat="1" applyBorder="1"/>
    <xf numFmtId="9" fontId="3" fillId="0" borderId="1" xfId="1" applyFont="1" applyFill="1" applyBorder="1"/>
    <xf numFmtId="166" fontId="3" fillId="0" borderId="1" xfId="1" applyNumberFormat="1" applyFont="1" applyFill="1" applyBorder="1"/>
    <xf numFmtId="9" fontId="3" fillId="0" borderId="0" xfId="1" applyFont="1" applyFill="1" applyBorder="1"/>
    <xf numFmtId="166" fontId="3" fillId="0" borderId="0" xfId="1" applyNumberFormat="1" applyFont="1" applyFill="1" applyBorder="1"/>
    <xf numFmtId="9" fontId="8" fillId="0" borderId="0" xfId="0" applyNumberFormat="1" applyFont="1"/>
    <xf numFmtId="166" fontId="8" fillId="0" borderId="0" xfId="0" applyNumberFormat="1" applyFont="1"/>
    <xf numFmtId="0" fontId="0" fillId="11" borderId="0" xfId="0" applyFill="1"/>
    <xf numFmtId="0" fontId="66" fillId="12" borderId="0" xfId="0" applyFont="1" applyFill="1" applyAlignment="1">
      <alignment horizontal="left" vertical="center"/>
    </xf>
    <xf numFmtId="17" fontId="66" fillId="12" borderId="0" xfId="0" applyNumberFormat="1" applyFont="1" applyFill="1" applyAlignment="1">
      <alignment horizontal="right" vertical="center"/>
    </xf>
    <xf numFmtId="0" fontId="10" fillId="11" borderId="0" xfId="0" applyFont="1" applyFill="1" applyAlignment="1">
      <alignment horizontal="left" vertical="center"/>
    </xf>
    <xf numFmtId="3" fontId="10" fillId="11" borderId="0" xfId="0" applyNumberFormat="1" applyFont="1" applyFill="1" applyAlignment="1">
      <alignment horizontal="right" vertical="center"/>
    </xf>
    <xf numFmtId="3" fontId="0" fillId="0" borderId="0" xfId="0" applyNumberFormat="1"/>
    <xf numFmtId="3" fontId="3" fillId="0" borderId="0" xfId="0" applyNumberFormat="1" applyFont="1"/>
    <xf numFmtId="0" fontId="67" fillId="11" borderId="0" xfId="0" applyFont="1" applyFill="1" applyAlignment="1">
      <alignment horizontal="left" vertical="center"/>
    </xf>
    <xf numFmtId="9" fontId="3" fillId="0" borderId="0" xfId="1" applyFont="1"/>
    <xf numFmtId="9" fontId="10" fillId="0" borderId="0" xfId="1" applyFont="1" applyFill="1" applyAlignment="1">
      <alignment horizontal="right" vertical="center"/>
    </xf>
    <xf numFmtId="9" fontId="25" fillId="0" borderId="0" xfId="1" applyFont="1" applyFill="1" applyAlignment="1">
      <alignment horizontal="right" vertical="center"/>
    </xf>
    <xf numFmtId="0" fontId="68" fillId="4" borderId="0" xfId="0" applyFont="1" applyFill="1" applyAlignment="1">
      <alignment horizontal="left" vertical="center"/>
    </xf>
    <xf numFmtId="3" fontId="68" fillId="4" borderId="0" xfId="0" applyNumberFormat="1" applyFont="1" applyFill="1" applyAlignment="1">
      <alignment horizontal="right" vertical="center"/>
    </xf>
    <xf numFmtId="0" fontId="25" fillId="0" borderId="0" xfId="0" applyFont="1" applyAlignment="1">
      <alignment horizontal="left" vertical="center"/>
    </xf>
    <xf numFmtId="3" fontId="25" fillId="0" borderId="0" xfId="0" applyNumberFormat="1" applyFont="1" applyAlignment="1">
      <alignment horizontal="right" vertical="center"/>
    </xf>
    <xf numFmtId="0" fontId="25" fillId="0" borderId="0" xfId="0" applyFont="1" applyAlignment="1">
      <alignment horizontal="right" vertical="center"/>
    </xf>
    <xf numFmtId="0" fontId="25" fillId="11" borderId="0" xfId="0" applyFont="1" applyFill="1" applyAlignment="1">
      <alignment horizontal="left" vertical="center"/>
    </xf>
    <xf numFmtId="3" fontId="25" fillId="11" borderId="0" xfId="0" applyNumberFormat="1" applyFont="1" applyFill="1" applyAlignment="1">
      <alignment horizontal="right" vertical="center"/>
    </xf>
    <xf numFmtId="0" fontId="25" fillId="11" borderId="0" xfId="0" applyFont="1" applyFill="1" applyAlignment="1">
      <alignment horizontal="right" vertical="center"/>
    </xf>
    <xf numFmtId="9" fontId="68" fillId="4" borderId="0" xfId="1" applyFont="1" applyFill="1" applyAlignment="1">
      <alignment horizontal="right" vertical="center"/>
    </xf>
    <xf numFmtId="0" fontId="25" fillId="3" borderId="0" xfId="0" applyFont="1" applyFill="1" applyAlignment="1">
      <alignment horizontal="left" vertical="center"/>
    </xf>
    <xf numFmtId="9" fontId="25" fillId="3" borderId="0" xfId="1" applyFont="1" applyFill="1" applyAlignment="1">
      <alignment horizontal="right" vertical="center"/>
    </xf>
    <xf numFmtId="0" fontId="69" fillId="2" borderId="0" xfId="0" applyFont="1" applyFill="1" applyAlignment="1">
      <alignment horizontal="left" vertical="center"/>
    </xf>
    <xf numFmtId="0" fontId="3" fillId="2" borderId="0" xfId="0" applyFont="1" applyFill="1"/>
    <xf numFmtId="0" fontId="70" fillId="0" borderId="0" xfId="0" applyFont="1"/>
    <xf numFmtId="9" fontId="70" fillId="0" borderId="0" xfId="0" applyNumberFormat="1" applyFont="1"/>
    <xf numFmtId="9" fontId="3" fillId="5" borderId="0" xfId="1" applyFont="1" applyFill="1"/>
    <xf numFmtId="0" fontId="28" fillId="5" borderId="0" xfId="0" applyFont="1" applyFill="1"/>
    <xf numFmtId="179" fontId="18" fillId="0" borderId="0" xfId="0" applyNumberFormat="1" applyFont="1"/>
    <xf numFmtId="179" fontId="0" fillId="0" borderId="0" xfId="0" applyNumberFormat="1"/>
    <xf numFmtId="179" fontId="3" fillId="0" borderId="6" xfId="0" applyNumberFormat="1" applyFont="1" applyBorder="1"/>
    <xf numFmtId="179" fontId="65" fillId="0" borderId="2" xfId="0" applyNumberFormat="1" applyFont="1" applyBorder="1"/>
    <xf numFmtId="179" fontId="3" fillId="0" borderId="2" xfId="0" applyNumberFormat="1" applyFont="1" applyBorder="1"/>
    <xf numFmtId="0" fontId="0" fillId="13" borderId="0" xfId="0" applyFill="1"/>
    <xf numFmtId="9" fontId="70" fillId="13" borderId="0" xfId="0" applyNumberFormat="1" applyFont="1" applyFill="1"/>
    <xf numFmtId="0" fontId="8" fillId="3" borderId="0" xfId="0" applyFont="1" applyFill="1" applyAlignment="1">
      <alignment horizontal="left" indent="1"/>
    </xf>
    <xf numFmtId="9" fontId="8" fillId="3" borderId="0" xfId="0" applyNumberFormat="1" applyFont="1" applyFill="1"/>
    <xf numFmtId="166" fontId="8" fillId="3" borderId="0" xfId="0" applyNumberFormat="1" applyFont="1" applyFill="1"/>
    <xf numFmtId="166" fontId="9" fillId="5" borderId="0" xfId="0" applyNumberFormat="1" applyFont="1" applyFill="1"/>
    <xf numFmtId="165" fontId="7" fillId="0" borderId="0" xfId="2" applyNumberFormat="1" applyFont="1"/>
    <xf numFmtId="0" fontId="71" fillId="0" borderId="0" xfId="2" applyFont="1"/>
    <xf numFmtId="166" fontId="7" fillId="0" borderId="0" xfId="1" applyNumberFormat="1" applyFont="1" applyBorder="1"/>
    <xf numFmtId="0" fontId="10" fillId="0" borderId="0" xfId="0" applyFont="1" applyAlignment="1">
      <alignment horizontal="right" vertical="center"/>
    </xf>
    <xf numFmtId="3" fontId="10" fillId="0" borderId="0" xfId="0" applyNumberFormat="1" applyFont="1" applyAlignment="1">
      <alignment horizontal="right" vertical="center"/>
    </xf>
    <xf numFmtId="0" fontId="10" fillId="11" borderId="1" xfId="0" applyFont="1" applyFill="1" applyBorder="1" applyAlignment="1">
      <alignment horizontal="left" vertical="center"/>
    </xf>
    <xf numFmtId="3" fontId="10" fillId="11" borderId="1" xfId="0" applyNumberFormat="1" applyFont="1" applyFill="1" applyBorder="1" applyAlignment="1">
      <alignment horizontal="right" vertical="center"/>
    </xf>
    <xf numFmtId="9" fontId="25" fillId="11" borderId="0" xfId="1" applyFont="1" applyFill="1" applyAlignment="1">
      <alignment horizontal="right" vertical="center"/>
    </xf>
    <xf numFmtId="9" fontId="10" fillId="11" borderId="1" xfId="1" applyFont="1" applyFill="1" applyBorder="1" applyAlignment="1">
      <alignment horizontal="right" vertical="center"/>
    </xf>
    <xf numFmtId="0" fontId="2" fillId="2" borderId="5" xfId="0" applyFont="1" applyFill="1" applyBorder="1"/>
    <xf numFmtId="166" fontId="0" fillId="0" borderId="4" xfId="1" applyNumberFormat="1" applyFont="1" applyBorder="1"/>
    <xf numFmtId="166" fontId="3" fillId="0" borderId="4" xfId="0" applyNumberFormat="1" applyFont="1" applyBorder="1"/>
    <xf numFmtId="165" fontId="0" fillId="0" borderId="5" xfId="0" applyNumberFormat="1" applyBorder="1"/>
    <xf numFmtId="0" fontId="0" fillId="3" borderId="4" xfId="0" applyFill="1" applyBorder="1"/>
    <xf numFmtId="165" fontId="0" fillId="3" borderId="4" xfId="0" applyNumberFormat="1" applyFill="1" applyBorder="1"/>
    <xf numFmtId="166" fontId="0" fillId="3" borderId="4" xfId="1" applyNumberFormat="1" applyFont="1" applyFill="1" applyBorder="1"/>
    <xf numFmtId="165" fontId="0" fillId="0" borderId="4" xfId="0" applyNumberFormat="1" applyBorder="1"/>
    <xf numFmtId="10" fontId="0" fillId="3" borderId="4" xfId="1" applyNumberFormat="1" applyFont="1" applyFill="1" applyBorder="1"/>
    <xf numFmtId="9" fontId="3" fillId="0" borderId="0" xfId="0" applyNumberFormat="1" applyFont="1"/>
    <xf numFmtId="176" fontId="0" fillId="0" borderId="0" xfId="0" applyNumberFormat="1"/>
    <xf numFmtId="1" fontId="0" fillId="0" borderId="5" xfId="0" applyNumberFormat="1" applyBorder="1"/>
    <xf numFmtId="0" fontId="3" fillId="5" borderId="4" xfId="0" applyFont="1" applyFill="1" applyBorder="1"/>
    <xf numFmtId="1" fontId="3" fillId="5" borderId="4" xfId="0" applyNumberFormat="1" applyFont="1" applyFill="1" applyBorder="1"/>
    <xf numFmtId="172" fontId="65" fillId="5" borderId="0" xfId="0" applyNumberFormat="1" applyFont="1" applyFill="1" applyAlignment="1">
      <alignment horizontal="right"/>
    </xf>
    <xf numFmtId="9" fontId="3" fillId="5" borderId="0" xfId="0" applyNumberFormat="1" applyFont="1" applyFill="1"/>
    <xf numFmtId="1" fontId="3" fillId="14" borderId="4" xfId="0" applyNumberFormat="1" applyFont="1" applyFill="1" applyBorder="1"/>
    <xf numFmtId="0" fontId="25" fillId="0" borderId="0" xfId="0" applyFont="1" applyAlignment="1">
      <alignment horizontal="left" vertical="center" indent="1"/>
    </xf>
    <xf numFmtId="3" fontId="3" fillId="0" borderId="1" xfId="0" applyNumberFormat="1" applyFont="1" applyBorder="1"/>
    <xf numFmtId="0" fontId="8" fillId="3" borderId="0" xfId="0" applyFont="1" applyFill="1"/>
    <xf numFmtId="166" fontId="8" fillId="3" borderId="0" xfId="1" applyNumberFormat="1" applyFont="1" applyFill="1"/>
    <xf numFmtId="0" fontId="72" fillId="11" borderId="0" xfId="0" applyFont="1" applyFill="1" applyAlignment="1">
      <alignment horizontal="right" vertical="center" wrapText="1"/>
    </xf>
    <xf numFmtId="0" fontId="73" fillId="11" borderId="0" xfId="0" applyFont="1" applyFill="1" applyAlignment="1">
      <alignment horizontal="left" vertical="center"/>
    </xf>
    <xf numFmtId="0" fontId="73" fillId="11" borderId="0" xfId="0" applyFont="1" applyFill="1" applyAlignment="1">
      <alignment horizontal="right" vertical="center" wrapText="1"/>
    </xf>
    <xf numFmtId="3" fontId="73" fillId="11" borderId="0" xfId="0" applyNumberFormat="1" applyFont="1" applyFill="1" applyAlignment="1">
      <alignment horizontal="right" vertical="center" wrapText="1"/>
    </xf>
    <xf numFmtId="0" fontId="74" fillId="11" borderId="6" xfId="0" applyFont="1" applyFill="1" applyBorder="1" applyAlignment="1">
      <alignment horizontal="left" vertical="center"/>
    </xf>
    <xf numFmtId="3" fontId="10" fillId="0" borderId="6" xfId="0" applyNumberFormat="1" applyFont="1" applyBorder="1" applyAlignment="1">
      <alignment horizontal="right" vertical="center"/>
    </xf>
    <xf numFmtId="166" fontId="0" fillId="3" borderId="0" xfId="0" applyNumberFormat="1" applyFill="1"/>
    <xf numFmtId="3" fontId="0" fillId="0" borderId="6" xfId="0" applyNumberFormat="1" applyBorder="1"/>
    <xf numFmtId="3" fontId="0" fillId="15" borderId="0" xfId="0" applyNumberFormat="1" applyFill="1"/>
    <xf numFmtId="2" fontId="0" fillId="0" borderId="0" xfId="0" applyNumberFormat="1"/>
    <xf numFmtId="2" fontId="8" fillId="0" borderId="0" xfId="0" applyNumberFormat="1" applyFont="1"/>
    <xf numFmtId="2" fontId="8" fillId="0" borderId="0" xfId="1" applyNumberFormat="1" applyFont="1" applyFill="1" applyBorder="1"/>
    <xf numFmtId="180" fontId="8" fillId="3" borderId="0" xfId="0" applyNumberFormat="1" applyFont="1" applyFill="1"/>
    <xf numFmtId="181" fontId="8" fillId="3" borderId="0" xfId="0" applyNumberFormat="1" applyFont="1" applyFill="1"/>
    <xf numFmtId="4" fontId="75" fillId="11" borderId="13" xfId="0" applyNumberFormat="1" applyFont="1" applyFill="1" applyBorder="1" applyAlignment="1">
      <alignment horizontal="right" vertical="top" wrapText="1"/>
    </xf>
    <xf numFmtId="4" fontId="75" fillId="11" borderId="0" xfId="0" applyNumberFormat="1" applyFont="1" applyFill="1" applyAlignment="1">
      <alignment horizontal="right" vertical="top" wrapText="1"/>
    </xf>
    <xf numFmtId="166" fontId="3" fillId="3" borderId="0" xfId="0" applyNumberFormat="1" applyFont="1" applyFill="1"/>
    <xf numFmtId="171" fontId="3" fillId="0" borderId="10" xfId="0" applyNumberFormat="1" applyFont="1" applyBorder="1"/>
    <xf numFmtId="171" fontId="21" fillId="0" borderId="10" xfId="0" applyNumberFormat="1" applyFont="1" applyBorder="1"/>
    <xf numFmtId="165" fontId="10" fillId="0" borderId="6" xfId="3" applyNumberFormat="1" applyFont="1" applyBorder="1" applyAlignment="1">
      <alignment horizontal="left" vertical="center" indent="1"/>
    </xf>
    <xf numFmtId="0" fontId="27" fillId="0" borderId="1" xfId="2" applyFont="1" applyBorder="1" applyAlignment="1">
      <alignment horizontal="left" indent="1"/>
    </xf>
    <xf numFmtId="3" fontId="9" fillId="0" borderId="0" xfId="2" applyNumberFormat="1" applyFont="1"/>
    <xf numFmtId="0" fontId="8" fillId="3" borderId="0" xfId="0" applyFont="1" applyFill="1" applyAlignment="1">
      <alignment horizontal="left"/>
    </xf>
    <xf numFmtId="9" fontId="0" fillId="3" borderId="0" xfId="0" applyNumberFormat="1" applyFill="1"/>
    <xf numFmtId="166" fontId="0" fillId="0" borderId="10" xfId="1" applyNumberFormat="1" applyFont="1" applyFill="1" applyBorder="1"/>
    <xf numFmtId="9" fontId="0" fillId="16" borderId="0" xfId="0" applyNumberFormat="1" applyFill="1"/>
    <xf numFmtId="9" fontId="0" fillId="0" borderId="0" xfId="1" applyFont="1" applyFill="1" applyBorder="1"/>
    <xf numFmtId="9" fontId="22" fillId="0" borderId="0" xfId="1" applyFont="1" applyFill="1" applyBorder="1"/>
    <xf numFmtId="0" fontId="8" fillId="5" borderId="0" xfId="0" applyFont="1" applyFill="1"/>
    <xf numFmtId="9" fontId="8" fillId="5" borderId="0" xfId="1" applyFont="1" applyFill="1"/>
    <xf numFmtId="9" fontId="76" fillId="5" borderId="0" xfId="1" applyFont="1" applyFill="1" applyBorder="1"/>
    <xf numFmtId="166" fontId="76" fillId="5" borderId="0" xfId="1" applyNumberFormat="1" applyFont="1" applyFill="1" applyBorder="1"/>
    <xf numFmtId="9" fontId="8" fillId="0" borderId="0" xfId="1" applyFont="1" applyFill="1"/>
    <xf numFmtId="9" fontId="76" fillId="0" borderId="0" xfId="1" applyFont="1" applyFill="1" applyBorder="1"/>
    <xf numFmtId="166" fontId="0" fillId="3" borderId="0" xfId="1" applyNumberFormat="1" applyFont="1" applyFill="1"/>
    <xf numFmtId="9" fontId="18" fillId="0" borderId="5" xfId="1" applyFont="1" applyBorder="1"/>
    <xf numFmtId="3" fontId="3" fillId="0" borderId="6" xfId="0" applyNumberFormat="1" applyFont="1" applyBorder="1"/>
    <xf numFmtId="3" fontId="0" fillId="0" borderId="1" xfId="0" applyNumberFormat="1" applyBorder="1"/>
    <xf numFmtId="1" fontId="0" fillId="3" borderId="0" xfId="0" applyNumberFormat="1" applyFill="1"/>
    <xf numFmtId="169" fontId="3" fillId="0" borderId="0" xfId="0" applyNumberFormat="1" applyFont="1" applyAlignment="1">
      <alignment horizontal="right"/>
    </xf>
    <xf numFmtId="170" fontId="20" fillId="0" borderId="0" xfId="0" applyNumberFormat="1" applyFont="1"/>
    <xf numFmtId="170" fontId="3" fillId="0" borderId="6" xfId="0" applyNumberFormat="1" applyFont="1" applyBorder="1"/>
    <xf numFmtId="170" fontId="3" fillId="0" borderId="0" xfId="0" applyNumberFormat="1" applyFont="1"/>
    <xf numFmtId="171" fontId="27" fillId="0" borderId="0" xfId="0" applyNumberFormat="1" applyFont="1"/>
    <xf numFmtId="165" fontId="67" fillId="5" borderId="0" xfId="3" applyNumberFormat="1" applyFont="1" applyFill="1" applyAlignment="1">
      <alignment horizontal="left" vertical="center"/>
    </xf>
    <xf numFmtId="9" fontId="70" fillId="5" borderId="0" xfId="1" applyFont="1" applyFill="1" applyBorder="1"/>
    <xf numFmtId="182" fontId="77" fillId="0" borderId="7" xfId="0" applyNumberFormat="1" applyFont="1" applyBorder="1" applyAlignment="1">
      <alignment horizontal="left"/>
    </xf>
    <xf numFmtId="166" fontId="25" fillId="0" borderId="0" xfId="1" applyNumberFormat="1" applyFont="1" applyAlignment="1">
      <alignment horizontal="right" vertical="center"/>
    </xf>
    <xf numFmtId="169" fontId="20" fillId="0" borderId="6" xfId="0" applyNumberFormat="1" applyFont="1" applyBorder="1"/>
    <xf numFmtId="9" fontId="78" fillId="5" borderId="0" xfId="1" applyFont="1" applyFill="1"/>
    <xf numFmtId="9" fontId="20" fillId="0" borderId="0" xfId="1" applyFont="1"/>
    <xf numFmtId="9" fontId="20" fillId="0" borderId="0" xfId="0" applyNumberFormat="1" applyFont="1"/>
    <xf numFmtId="177" fontId="35" fillId="0" borderId="0" xfId="0" applyNumberFormat="1" applyFont="1" applyAlignment="1">
      <alignment horizontal="right" vertical="top" wrapText="1"/>
    </xf>
    <xf numFmtId="0" fontId="1" fillId="0" borderId="0" xfId="0" applyFont="1" applyAlignment="1">
      <alignment horizontal="left" indent="1"/>
    </xf>
    <xf numFmtId="0" fontId="0" fillId="0" borderId="10" xfId="0" applyBorder="1"/>
    <xf numFmtId="171" fontId="0" fillId="0" borderId="0" xfId="0" applyNumberFormat="1" applyAlignment="1">
      <alignment horizontal="right"/>
    </xf>
    <xf numFmtId="0" fontId="0" fillId="0" borderId="0" xfId="0" applyAlignment="1">
      <alignment horizontal="right"/>
    </xf>
    <xf numFmtId="170" fontId="20" fillId="0" borderId="0" xfId="0" applyNumberFormat="1" applyFont="1" applyAlignment="1">
      <alignment horizontal="right"/>
    </xf>
    <xf numFmtId="170" fontId="21" fillId="0" borderId="1" xfId="0" applyNumberFormat="1" applyFont="1" applyBorder="1" applyAlignment="1">
      <alignment horizontal="right"/>
    </xf>
    <xf numFmtId="170" fontId="20" fillId="0" borderId="10" xfId="0" applyNumberFormat="1" applyFont="1" applyBorder="1" applyAlignment="1">
      <alignment horizontal="right"/>
    </xf>
    <xf numFmtId="171" fontId="3" fillId="0" borderId="0" xfId="0" applyNumberFormat="1" applyFont="1" applyAlignment="1">
      <alignment horizontal="right"/>
    </xf>
    <xf numFmtId="3" fontId="27" fillId="0" borderId="0" xfId="2" applyNumberFormat="1" applyFont="1"/>
    <xf numFmtId="171" fontId="9" fillId="0" borderId="0" xfId="0" applyNumberFormat="1" applyFont="1"/>
    <xf numFmtId="166" fontId="8" fillId="0" borderId="0" xfId="1" applyNumberFormat="1" applyFont="1"/>
    <xf numFmtId="1" fontId="3" fillId="0" borderId="0" xfId="0" applyNumberFormat="1" applyFont="1"/>
    <xf numFmtId="1" fontId="3" fillId="3" borderId="0" xfId="0" applyNumberFormat="1" applyFont="1" applyFill="1"/>
    <xf numFmtId="0" fontId="79" fillId="0" borderId="0" xfId="0" applyFont="1"/>
    <xf numFmtId="9" fontId="21" fillId="5" borderId="0" xfId="1" applyFont="1" applyFill="1"/>
    <xf numFmtId="172" fontId="3" fillId="0" borderId="0" xfId="0" applyNumberFormat="1" applyFont="1"/>
    <xf numFmtId="172" fontId="65" fillId="0" borderId="0" xfId="0" applyNumberFormat="1" applyFont="1" applyAlignment="1">
      <alignment horizontal="right"/>
    </xf>
    <xf numFmtId="9" fontId="0" fillId="0" borderId="0" xfId="1" applyFont="1" applyBorder="1"/>
    <xf numFmtId="3" fontId="30" fillId="0" borderId="0" xfId="0" applyNumberFormat="1" applyFont="1" applyAlignment="1">
      <alignment horizontal="right" vertical="top" wrapText="1"/>
    </xf>
    <xf numFmtId="175" fontId="0" fillId="5" borderId="0" xfId="0" applyNumberFormat="1" applyFill="1"/>
    <xf numFmtId="9" fontId="0" fillId="5" borderId="0" xfId="0" applyNumberFormat="1" applyFill="1"/>
    <xf numFmtId="10" fontId="0" fillId="0" borderId="0" xfId="0" applyNumberFormat="1"/>
    <xf numFmtId="0" fontId="2" fillId="2" borderId="0" xfId="0" applyFont="1" applyFill="1" applyAlignment="1">
      <alignment horizontal="left"/>
    </xf>
    <xf numFmtId="10" fontId="0" fillId="0" borderId="0" xfId="0" applyNumberFormat="1" applyAlignment="1">
      <alignment horizontal="center"/>
    </xf>
    <xf numFmtId="0" fontId="0" fillId="0" borderId="0" xfId="0" applyAlignment="1">
      <alignment horizontal="center"/>
    </xf>
    <xf numFmtId="10" fontId="8" fillId="5" borderId="0" xfId="1" applyNumberFormat="1" applyFont="1" applyFill="1"/>
    <xf numFmtId="2" fontId="3" fillId="0" borderId="0" xfId="1" applyNumberFormat="1" applyFont="1" applyFill="1"/>
    <xf numFmtId="10" fontId="3" fillId="0" borderId="6" xfId="1" applyNumberFormat="1" applyFont="1" applyBorder="1" applyAlignment="1">
      <alignment horizontal="center"/>
    </xf>
    <xf numFmtId="183" fontId="20" fillId="0" borderId="0" xfId="0" applyNumberFormat="1" applyFont="1"/>
    <xf numFmtId="0" fontId="20" fillId="0" borderId="0" xfId="0" applyFont="1"/>
    <xf numFmtId="9" fontId="9" fillId="0" borderId="0" xfId="1" applyFont="1"/>
    <xf numFmtId="10" fontId="20" fillId="0" borderId="0" xfId="0" applyNumberFormat="1" applyFont="1"/>
    <xf numFmtId="10" fontId="0" fillId="17" borderId="0" xfId="0" applyNumberFormat="1" applyFill="1"/>
    <xf numFmtId="170" fontId="9" fillId="0" borderId="0" xfId="0" applyNumberFormat="1" applyFont="1" applyAlignment="1">
      <alignment horizontal="right"/>
    </xf>
    <xf numFmtId="170" fontId="18" fillId="0" borderId="0" xfId="0" applyNumberFormat="1" applyFont="1" applyAlignment="1">
      <alignment horizontal="right"/>
    </xf>
    <xf numFmtId="170" fontId="3" fillId="0" borderId="1" xfId="0" applyNumberFormat="1" applyFont="1" applyBorder="1"/>
    <xf numFmtId="170" fontId="0" fillId="0" borderId="0" xfId="0" applyNumberFormat="1" applyAlignment="1">
      <alignment horizontal="right"/>
    </xf>
    <xf numFmtId="10" fontId="8" fillId="0" borderId="0" xfId="1" applyNumberFormat="1" applyFont="1" applyFill="1"/>
    <xf numFmtId="9" fontId="18" fillId="5" borderId="0" xfId="0" applyNumberFormat="1" applyFont="1" applyFill="1"/>
    <xf numFmtId="170" fontId="0" fillId="0" borderId="10" xfId="0" applyNumberFormat="1" applyBorder="1"/>
    <xf numFmtId="0" fontId="74" fillId="11" borderId="0" xfId="0" applyFont="1" applyFill="1" applyAlignment="1">
      <alignment horizontal="left" vertical="center"/>
    </xf>
    <xf numFmtId="9" fontId="74" fillId="11" borderId="0" xfId="1" applyFont="1" applyFill="1" applyBorder="1" applyAlignment="1">
      <alignment horizontal="right" vertical="center" wrapText="1"/>
    </xf>
    <xf numFmtId="9" fontId="73" fillId="11" borderId="0" xfId="1" applyFont="1" applyFill="1" applyAlignment="1">
      <alignment horizontal="right" vertical="center" wrapText="1"/>
    </xf>
    <xf numFmtId="9" fontId="73" fillId="11" borderId="6" xfId="1" applyFont="1" applyFill="1" applyBorder="1" applyAlignment="1">
      <alignment horizontal="right" vertical="center" wrapText="1"/>
    </xf>
    <xf numFmtId="178" fontId="3" fillId="0" borderId="6" xfId="0" applyNumberFormat="1" applyFont="1" applyBorder="1"/>
    <xf numFmtId="170" fontId="9" fillId="0" borderId="0" xfId="0" applyNumberFormat="1" applyFont="1"/>
    <xf numFmtId="9" fontId="80" fillId="5" borderId="0" xfId="1" applyFont="1" applyFill="1"/>
    <xf numFmtId="169" fontId="9" fillId="0" borderId="0" xfId="0" applyNumberFormat="1" applyFont="1"/>
    <xf numFmtId="9" fontId="21" fillId="0" borderId="0" xfId="1" applyFont="1" applyBorder="1"/>
    <xf numFmtId="0" fontId="3" fillId="0" borderId="0" xfId="0" applyFont="1" applyAlignment="1">
      <alignment horizontal="right" vertical="center" textRotation="90"/>
    </xf>
    <xf numFmtId="170" fontId="21" fillId="0" borderId="0" xfId="0" applyNumberFormat="1" applyFont="1"/>
    <xf numFmtId="169" fontId="3" fillId="0" borderId="0" xfId="0" applyNumberFormat="1" applyFont="1"/>
    <xf numFmtId="0" fontId="82" fillId="0" borderId="0" xfId="0" applyFont="1"/>
    <xf numFmtId="0" fontId="82" fillId="0" borderId="8" xfId="0" applyFont="1" applyBorder="1"/>
    <xf numFmtId="0" fontId="83" fillId="0" borderId="9" xfId="0" applyFont="1" applyBorder="1"/>
    <xf numFmtId="0" fontId="82" fillId="0" borderId="9" xfId="0" applyFont="1" applyBorder="1" applyAlignment="1">
      <alignment horizontal="center"/>
    </xf>
    <xf numFmtId="0" fontId="35" fillId="18" borderId="0" xfId="0" applyFont="1" applyFill="1"/>
    <xf numFmtId="0" fontId="35" fillId="18" borderId="0" xfId="0" applyFont="1" applyFill="1" applyAlignment="1">
      <alignment horizontal="center"/>
    </xf>
    <xf numFmtId="0" fontId="88" fillId="0" borderId="9" xfId="0" applyFont="1" applyBorder="1" applyAlignment="1">
      <alignment horizontal="center"/>
    </xf>
    <xf numFmtId="10" fontId="88" fillId="0" borderId="9" xfId="1" applyNumberFormat="1" applyFont="1" applyBorder="1" applyAlignment="1">
      <alignment horizontal="center"/>
    </xf>
    <xf numFmtId="0" fontId="86" fillId="0" borderId="0" xfId="12" applyFont="1"/>
    <xf numFmtId="0" fontId="92" fillId="0" borderId="0" xfId="12" applyFont="1"/>
    <xf numFmtId="0" fontId="94" fillId="0" borderId="7" xfId="12" applyFont="1" applyBorder="1" applyAlignment="1">
      <alignment horizontal="centerContinuous"/>
    </xf>
    <xf numFmtId="0" fontId="94" fillId="0" borderId="7" xfId="12" applyFont="1" applyBorder="1"/>
    <xf numFmtId="0" fontId="94" fillId="0" borderId="7" xfId="12" applyFont="1" applyBorder="1" applyAlignment="1">
      <alignment horizontal="center"/>
    </xf>
    <xf numFmtId="0" fontId="95" fillId="0" borderId="7" xfId="12" applyFont="1" applyBorder="1" applyAlignment="1">
      <alignment horizontal="center"/>
    </xf>
    <xf numFmtId="2" fontId="95" fillId="0" borderId="7" xfId="12" applyNumberFormat="1" applyFont="1" applyBorder="1" applyAlignment="1">
      <alignment horizontal="center"/>
    </xf>
    <xf numFmtId="0" fontId="95" fillId="0" borderId="8" xfId="12" applyFont="1" applyBorder="1" applyAlignment="1">
      <alignment horizontal="center"/>
    </xf>
    <xf numFmtId="0" fontId="94" fillId="0" borderId="14" xfId="12" applyFont="1" applyBorder="1" applyAlignment="1">
      <alignment horizontal="center"/>
    </xf>
    <xf numFmtId="10" fontId="96" fillId="0" borderId="15" xfId="12" applyNumberFormat="1" applyFont="1" applyBorder="1" applyAlignment="1">
      <alignment horizontal="center"/>
    </xf>
    <xf numFmtId="0" fontId="91" fillId="0" borderId="0" xfId="12" applyFont="1"/>
    <xf numFmtId="0" fontId="93" fillId="0" borderId="0" xfId="12" applyFont="1"/>
    <xf numFmtId="0" fontId="91" fillId="0" borderId="0" xfId="12" applyFont="1" applyAlignment="1">
      <alignment horizontal="centerContinuous"/>
    </xf>
    <xf numFmtId="0" fontId="91" fillId="0" borderId="7" xfId="12" applyFont="1" applyBorder="1" applyAlignment="1">
      <alignment horizontal="center"/>
    </xf>
    <xf numFmtId="0" fontId="5" fillId="0" borderId="7" xfId="12" applyFont="1" applyBorder="1" applyAlignment="1">
      <alignment horizontal="center"/>
    </xf>
    <xf numFmtId="0" fontId="86" fillId="0" borderId="0" xfId="12" applyFont="1" applyAlignment="1">
      <alignment horizontal="center"/>
    </xf>
    <xf numFmtId="0" fontId="92" fillId="0" borderId="0" xfId="12" applyFont="1" applyAlignment="1">
      <alignment horizontal="center"/>
    </xf>
    <xf numFmtId="184" fontId="88" fillId="0" borderId="9" xfId="0" applyNumberFormat="1" applyFont="1" applyBorder="1" applyAlignment="1">
      <alignment horizontal="center"/>
    </xf>
    <xf numFmtId="0" fontId="3" fillId="3" borderId="16" xfId="0" applyFont="1" applyFill="1" applyBorder="1"/>
    <xf numFmtId="0" fontId="0" fillId="0" borderId="4" xfId="0" applyBorder="1" applyAlignment="1">
      <alignment horizontal="center"/>
    </xf>
    <xf numFmtId="10" fontId="0" fillId="0" borderId="4" xfId="0" applyNumberFormat="1" applyBorder="1" applyAlignment="1">
      <alignment horizontal="center"/>
    </xf>
    <xf numFmtId="10" fontId="3" fillId="3" borderId="16" xfId="0" applyNumberFormat="1" applyFont="1" applyFill="1" applyBorder="1" applyAlignment="1">
      <alignment horizontal="center"/>
    </xf>
    <xf numFmtId="0" fontId="35" fillId="0" borderId="0" xfId="0" applyFont="1" applyAlignment="1">
      <alignment horizontal="center"/>
    </xf>
    <xf numFmtId="10" fontId="3" fillId="0" borderId="0" xfId="0" applyNumberFormat="1" applyFont="1" applyAlignment="1">
      <alignment horizontal="center"/>
    </xf>
    <xf numFmtId="0" fontId="35" fillId="18" borderId="0" xfId="0" applyFont="1" applyFill="1" applyAlignment="1">
      <alignment horizontal="center" vertical="center" wrapText="1"/>
    </xf>
    <xf numFmtId="2" fontId="0" fillId="0" borderId="0" xfId="0" applyNumberFormat="1" applyAlignment="1">
      <alignment horizontal="center"/>
    </xf>
    <xf numFmtId="166" fontId="0" fillId="0" borderId="0" xfId="0" applyNumberFormat="1"/>
    <xf numFmtId="0" fontId="0" fillId="0" borderId="4" xfId="0" applyBorder="1" applyAlignment="1">
      <alignment horizontal="left"/>
    </xf>
    <xf numFmtId="166" fontId="0" fillId="0" borderId="4" xfId="1" applyNumberFormat="1" applyFont="1" applyBorder="1" applyAlignment="1">
      <alignment horizontal="center"/>
    </xf>
    <xf numFmtId="0" fontId="0" fillId="5" borderId="4" xfId="0" applyFill="1" applyBorder="1" applyAlignment="1">
      <alignment horizontal="left"/>
    </xf>
    <xf numFmtId="0" fontId="0" fillId="5" borderId="4" xfId="0" applyFill="1" applyBorder="1"/>
    <xf numFmtId="166" fontId="0" fillId="5" borderId="4" xfId="1" applyNumberFormat="1" applyFont="1" applyFill="1" applyBorder="1" applyAlignment="1">
      <alignment horizontal="center"/>
    </xf>
    <xf numFmtId="2" fontId="0" fillId="5" borderId="4" xfId="0" applyNumberFormat="1" applyFill="1" applyBorder="1" applyAlignment="1">
      <alignment horizontal="center" vertical="center"/>
    </xf>
    <xf numFmtId="0" fontId="3" fillId="5" borderId="4" xfId="0" applyFont="1" applyFill="1" applyBorder="1" applyAlignment="1">
      <alignment horizontal="left"/>
    </xf>
    <xf numFmtId="2" fontId="3" fillId="5" borderId="4" xfId="0" applyNumberFormat="1" applyFont="1" applyFill="1" applyBorder="1" applyAlignment="1">
      <alignment horizontal="center" vertical="center"/>
    </xf>
    <xf numFmtId="166" fontId="3" fillId="5" borderId="4" xfId="1" applyNumberFormat="1" applyFont="1" applyFill="1" applyBorder="1" applyAlignment="1">
      <alignment horizontal="center"/>
    </xf>
    <xf numFmtId="3" fontId="0" fillId="0" borderId="4" xfId="0" applyNumberFormat="1" applyBorder="1" applyAlignment="1">
      <alignment horizontal="center"/>
    </xf>
    <xf numFmtId="2" fontId="0" fillId="0" borderId="4" xfId="0" applyNumberFormat="1" applyBorder="1" applyAlignment="1">
      <alignment horizontal="center"/>
    </xf>
    <xf numFmtId="166" fontId="0" fillId="0" borderId="4" xfId="0" applyNumberFormat="1" applyBorder="1" applyAlignment="1">
      <alignment horizontal="center"/>
    </xf>
    <xf numFmtId="0" fontId="0" fillId="0" borderId="4" xfId="0" applyBorder="1" applyAlignment="1">
      <alignment horizontal="center" vertical="center"/>
    </xf>
    <xf numFmtId="9" fontId="97" fillId="0" borderId="0" xfId="1" applyFont="1"/>
    <xf numFmtId="0" fontId="35" fillId="18" borderId="0" xfId="0" applyFont="1" applyFill="1" applyAlignment="1">
      <alignment horizontal="left" vertical="center" wrapText="1"/>
    </xf>
    <xf numFmtId="166" fontId="1" fillId="0" borderId="0" xfId="1" applyNumberFormat="1" applyFont="1"/>
    <xf numFmtId="0" fontId="3" fillId="0" borderId="0" xfId="0" applyFont="1" applyAlignment="1">
      <alignment horizontal="center"/>
    </xf>
    <xf numFmtId="0" fontId="27" fillId="0" borderId="0" xfId="15" applyFont="1"/>
    <xf numFmtId="0" fontId="27" fillId="0" borderId="0" xfId="15" applyFont="1" applyAlignment="1">
      <alignment horizontal="right"/>
    </xf>
    <xf numFmtId="0" fontId="99" fillId="0" borderId="0" xfId="15" applyFont="1"/>
    <xf numFmtId="0" fontId="9" fillId="0" borderId="0" xfId="15" applyFont="1"/>
    <xf numFmtId="2" fontId="65" fillId="0" borderId="7" xfId="15" applyNumberFormat="1" applyFont="1" applyBorder="1" applyAlignment="1">
      <alignment horizontal="right"/>
    </xf>
    <xf numFmtId="0" fontId="98" fillId="0" borderId="0" xfId="15"/>
    <xf numFmtId="2" fontId="65" fillId="0" borderId="7" xfId="16" applyNumberFormat="1" applyFont="1" applyFill="1" applyBorder="1" applyAlignment="1">
      <alignment horizontal="right"/>
    </xf>
    <xf numFmtId="10" fontId="65" fillId="0" borderId="7" xfId="17" applyNumberFormat="1" applyFont="1" applyFill="1" applyBorder="1" applyAlignment="1">
      <alignment horizontal="right"/>
    </xf>
    <xf numFmtId="10" fontId="65" fillId="0" borderId="7" xfId="15" applyNumberFormat="1" applyFont="1" applyBorder="1" applyAlignment="1">
      <alignment horizontal="right"/>
    </xf>
    <xf numFmtId="0" fontId="100" fillId="0" borderId="0" xfId="15" applyFont="1"/>
    <xf numFmtId="0" fontId="80" fillId="0" borderId="0" xfId="15" applyFont="1"/>
    <xf numFmtId="0" fontId="101" fillId="0" borderId="0" xfId="15" applyFont="1"/>
    <xf numFmtId="0" fontId="91" fillId="0" borderId="0" xfId="15" applyFont="1"/>
    <xf numFmtId="2" fontId="27" fillId="0" borderId="7" xfId="15" applyNumberFormat="1" applyFont="1" applyBorder="1" applyAlignment="1">
      <alignment horizontal="right"/>
    </xf>
    <xf numFmtId="2" fontId="9" fillId="0" borderId="7" xfId="15" applyNumberFormat="1" applyFont="1" applyBorder="1"/>
    <xf numFmtId="10" fontId="27" fillId="0" borderId="0" xfId="15" applyNumberFormat="1" applyFont="1"/>
    <xf numFmtId="10" fontId="27" fillId="0" borderId="7" xfId="15" applyNumberFormat="1" applyFont="1" applyBorder="1"/>
    <xf numFmtId="187" fontId="27" fillId="0" borderId="7" xfId="18" applyNumberFormat="1" applyFont="1" applyBorder="1"/>
    <xf numFmtId="10" fontId="9" fillId="0" borderId="7" xfId="15" applyNumberFormat="1" applyFont="1" applyBorder="1"/>
    <xf numFmtId="2" fontId="9" fillId="0" borderId="7" xfId="15" applyNumberFormat="1" applyFont="1" applyBorder="1" applyAlignment="1">
      <alignment horizontal="right"/>
    </xf>
    <xf numFmtId="0" fontId="9" fillId="0" borderId="0" xfId="15" applyFont="1" applyAlignment="1">
      <alignment horizontal="right"/>
    </xf>
    <xf numFmtId="2" fontId="9" fillId="0" borderId="17" xfId="16" applyNumberFormat="1" applyFont="1" applyBorder="1" applyAlignment="1">
      <alignment horizontal="right"/>
    </xf>
    <xf numFmtId="188" fontId="9" fillId="0" borderId="0" xfId="15" applyNumberFormat="1" applyFont="1"/>
    <xf numFmtId="185" fontId="9" fillId="0" borderId="0" xfId="16" applyFont="1"/>
    <xf numFmtId="189" fontId="9" fillId="0" borderId="17" xfId="15" applyNumberFormat="1" applyFont="1" applyBorder="1" applyAlignment="1">
      <alignment horizontal="right"/>
    </xf>
    <xf numFmtId="0" fontId="3" fillId="0" borderId="0" xfId="0" applyFont="1" applyAlignment="1">
      <alignment vertical="center" textRotation="90"/>
    </xf>
    <xf numFmtId="178" fontId="3" fillId="0" borderId="0" xfId="0" applyNumberFormat="1" applyFont="1"/>
    <xf numFmtId="170" fontId="20" fillId="5" borderId="0" xfId="0" applyNumberFormat="1" applyFont="1" applyFill="1"/>
    <xf numFmtId="176" fontId="0" fillId="0" borderId="0" xfId="1" applyNumberFormat="1" applyFont="1" applyFill="1"/>
    <xf numFmtId="0" fontId="0" fillId="0" borderId="0" xfId="0" applyAlignment="1">
      <alignment wrapText="1"/>
    </xf>
    <xf numFmtId="9" fontId="24" fillId="2" borderId="0" xfId="1" applyFont="1" applyFill="1"/>
    <xf numFmtId="0" fontId="102" fillId="0" borderId="0" xfId="15" applyFont="1" applyAlignment="1">
      <alignment horizontal="center" vertical="center"/>
    </xf>
    <xf numFmtId="14" fontId="102" fillId="0" borderId="0" xfId="15" applyNumberFormat="1" applyFont="1" applyAlignment="1">
      <alignment horizontal="center" vertical="center"/>
    </xf>
    <xf numFmtId="10" fontId="102" fillId="0" borderId="0" xfId="15" applyNumberFormat="1" applyFont="1" applyAlignment="1">
      <alignment horizontal="center" vertical="center"/>
    </xf>
    <xf numFmtId="0" fontId="102" fillId="0" borderId="0" xfId="15" applyFont="1"/>
    <xf numFmtId="0" fontId="103" fillId="0" borderId="0" xfId="15" applyFont="1" applyAlignment="1">
      <alignment horizontal="center"/>
    </xf>
    <xf numFmtId="0" fontId="104" fillId="0" borderId="0" xfId="15" applyFont="1" applyAlignment="1">
      <alignment horizontal="center"/>
    </xf>
    <xf numFmtId="10" fontId="104" fillId="0" borderId="0" xfId="1" applyNumberFormat="1" applyFont="1" applyAlignment="1">
      <alignment horizontal="center"/>
    </xf>
    <xf numFmtId="169" fontId="0" fillId="20" borderId="0" xfId="0" applyNumberFormat="1" applyFill="1"/>
    <xf numFmtId="190" fontId="35" fillId="2" borderId="0" xfId="19" applyNumberFormat="1" applyFont="1" applyFill="1" applyBorder="1"/>
    <xf numFmtId="0" fontId="105" fillId="0" borderId="0" xfId="0" applyFont="1"/>
    <xf numFmtId="191" fontId="105" fillId="0" borderId="0" xfId="19" applyNumberFormat="1" applyFont="1" applyBorder="1"/>
    <xf numFmtId="191" fontId="0" fillId="0" borderId="4" xfId="0" applyNumberFormat="1" applyBorder="1"/>
    <xf numFmtId="43" fontId="0" fillId="0" borderId="4" xfId="0" applyNumberFormat="1" applyBorder="1"/>
    <xf numFmtId="0" fontId="3" fillId="0" borderId="4" xfId="0" applyFont="1" applyBorder="1"/>
    <xf numFmtId="10" fontId="3" fillId="0" borderId="4" xfId="1" applyNumberFormat="1" applyFont="1" applyBorder="1"/>
    <xf numFmtId="10" fontId="0" fillId="0" borderId="4" xfId="1" applyNumberFormat="1" applyFont="1" applyBorder="1"/>
    <xf numFmtId="177" fontId="35" fillId="2" borderId="0" xfId="0" applyNumberFormat="1" applyFont="1" applyFill="1" applyAlignment="1">
      <alignment horizontal="center"/>
    </xf>
    <xf numFmtId="191" fontId="0" fillId="0" borderId="4" xfId="19" applyNumberFormat="1" applyFont="1" applyBorder="1"/>
    <xf numFmtId="43" fontId="106" fillId="0" borderId="0" xfId="0" applyNumberFormat="1" applyFont="1" applyAlignment="1">
      <alignment horizontal="left"/>
    </xf>
    <xf numFmtId="0" fontId="82" fillId="0" borderId="0" xfId="0" applyFont="1" applyAlignment="1">
      <alignment horizontal="left"/>
    </xf>
    <xf numFmtId="0" fontId="107" fillId="0" borderId="18" xfId="0" applyFont="1" applyBorder="1" applyAlignment="1">
      <alignment vertical="top"/>
    </xf>
    <xf numFmtId="0" fontId="0" fillId="0" borderId="18" xfId="0" applyBorder="1"/>
    <xf numFmtId="0" fontId="108" fillId="0" borderId="0" xfId="0" applyFont="1"/>
    <xf numFmtId="0" fontId="0" fillId="0" borderId="0" xfId="0" applyAlignment="1">
      <alignment horizontal="left" vertical="top" wrapText="1"/>
    </xf>
    <xf numFmtId="0" fontId="25" fillId="0" borderId="21" xfId="0" applyFont="1" applyBorder="1" applyAlignment="1">
      <alignment horizontal="left" wrapText="1" readingOrder="1"/>
    </xf>
    <xf numFmtId="8" fontId="9" fillId="0" borderId="21" xfId="0" applyNumberFormat="1" applyFont="1" applyBorder="1" applyAlignment="1">
      <alignment horizontal="right" wrapText="1" readingOrder="1"/>
    </xf>
    <xf numFmtId="0" fontId="10" fillId="20" borderId="22" xfId="0" applyFont="1" applyFill="1" applyBorder="1" applyAlignment="1">
      <alignment horizontal="left" wrapText="1" readingOrder="1"/>
    </xf>
    <xf numFmtId="10" fontId="10" fillId="20" borderId="22" xfId="0" applyNumberFormat="1" applyFont="1" applyFill="1" applyBorder="1" applyAlignment="1">
      <alignment horizontal="right" wrapText="1" readingOrder="1"/>
    </xf>
    <xf numFmtId="0" fontId="110" fillId="0" borderId="0" xfId="0" applyFont="1"/>
    <xf numFmtId="0" fontId="10" fillId="0" borderId="21" xfId="0" applyFont="1" applyBorder="1" applyAlignment="1">
      <alignment horizontal="left" wrapText="1" readingOrder="1"/>
    </xf>
    <xf numFmtId="0" fontId="25" fillId="0" borderId="21" xfId="0" applyFont="1" applyBorder="1" applyAlignment="1">
      <alignment horizontal="left" vertical="top" wrapText="1" readingOrder="1"/>
    </xf>
    <xf numFmtId="0" fontId="25" fillId="0" borderId="21" xfId="0" applyFont="1" applyBorder="1" applyAlignment="1">
      <alignment horizontal="justify" vertical="top" wrapText="1" readingOrder="1"/>
    </xf>
    <xf numFmtId="0" fontId="25" fillId="0" borderId="21" xfId="0" applyFont="1" applyBorder="1" applyAlignment="1">
      <alignment horizontal="right" wrapText="1" readingOrder="1"/>
    </xf>
    <xf numFmtId="0" fontId="10" fillId="0" borderId="0" xfId="0" applyFont="1" applyAlignment="1">
      <alignment horizontal="left" wrapText="1" readingOrder="1"/>
    </xf>
    <xf numFmtId="10" fontId="10" fillId="0" borderId="0" xfId="0" applyNumberFormat="1" applyFont="1" applyAlignment="1">
      <alignment horizontal="right" wrapText="1" readingOrder="1"/>
    </xf>
    <xf numFmtId="10" fontId="25" fillId="0" borderId="21" xfId="0" applyNumberFormat="1" applyFont="1" applyBorder="1" applyAlignment="1">
      <alignment horizontal="right" wrapText="1" readingOrder="1"/>
    </xf>
    <xf numFmtId="0" fontId="25" fillId="0" borderId="23" xfId="0" applyFont="1" applyBorder="1" applyAlignment="1">
      <alignment horizontal="left" vertical="top" wrapText="1" readingOrder="1"/>
    </xf>
    <xf numFmtId="43" fontId="25" fillId="20" borderId="28" xfId="0" applyNumberFormat="1" applyFont="1" applyFill="1" applyBorder="1" applyAlignment="1">
      <alignment horizontal="center" vertical="center" wrapText="1" readingOrder="1"/>
    </xf>
    <xf numFmtId="0" fontId="111" fillId="0" borderId="0" xfId="0" applyFont="1" applyAlignment="1">
      <alignment horizontal="left" vertical="center" readingOrder="1"/>
    </xf>
    <xf numFmtId="0" fontId="25" fillId="0" borderId="23" xfId="0" applyFont="1" applyBorder="1" applyAlignment="1">
      <alignment horizontal="left" wrapText="1" readingOrder="1"/>
    </xf>
    <xf numFmtId="0" fontId="10" fillId="20" borderId="30" xfId="0" applyFont="1" applyFill="1" applyBorder="1" applyAlignment="1">
      <alignment horizontal="left" wrapText="1" readingOrder="1"/>
    </xf>
    <xf numFmtId="0" fontId="25" fillId="20" borderId="33" xfId="0" applyFont="1" applyFill="1" applyBorder="1" applyAlignment="1">
      <alignment horizontal="center" vertical="center" wrapText="1" readingOrder="1"/>
    </xf>
    <xf numFmtId="0" fontId="25" fillId="20" borderId="34" xfId="0" applyFont="1" applyFill="1" applyBorder="1" applyAlignment="1">
      <alignment horizontal="center" vertical="center" wrapText="1" readingOrder="1"/>
    </xf>
    <xf numFmtId="0" fontId="112" fillId="0" borderId="21" xfId="0" applyFont="1" applyBorder="1" applyAlignment="1">
      <alignment horizontal="left" vertical="top" wrapText="1" readingOrder="1"/>
    </xf>
    <xf numFmtId="177" fontId="113" fillId="0" borderId="0" xfId="0" applyNumberFormat="1" applyFont="1" applyAlignment="1">
      <alignment horizontal="center"/>
    </xf>
    <xf numFmtId="8" fontId="20" fillId="0" borderId="21" xfId="0" applyNumberFormat="1" applyFont="1" applyBorder="1" applyAlignment="1">
      <alignment horizontal="right" wrapText="1" readingOrder="1"/>
    </xf>
    <xf numFmtId="175" fontId="3" fillId="0" borderId="6" xfId="1" applyNumberFormat="1" applyFont="1" applyBorder="1"/>
    <xf numFmtId="175" fontId="10" fillId="20" borderId="22" xfId="0" applyNumberFormat="1" applyFont="1" applyFill="1" applyBorder="1" applyAlignment="1">
      <alignment horizontal="right" wrapText="1" readingOrder="1"/>
    </xf>
    <xf numFmtId="0" fontId="109" fillId="2" borderId="27" xfId="0" applyFont="1" applyFill="1" applyBorder="1" applyAlignment="1">
      <alignment vertical="top" wrapText="1" readingOrder="1"/>
    </xf>
    <xf numFmtId="0" fontId="109" fillId="2" borderId="0" xfId="0" applyFont="1" applyFill="1" applyAlignment="1">
      <alignment vertical="top" wrapText="1" readingOrder="1"/>
    </xf>
    <xf numFmtId="0" fontId="10" fillId="0" borderId="25" xfId="0" applyFont="1" applyBorder="1" applyAlignment="1">
      <alignment horizontal="center" vertical="center" wrapText="1" readingOrder="1"/>
    </xf>
    <xf numFmtId="0" fontId="10" fillId="0" borderId="21" xfId="0" applyFont="1" applyBorder="1" applyAlignment="1">
      <alignment horizontal="center" vertical="center" wrapText="1" readingOrder="1"/>
    </xf>
    <xf numFmtId="10" fontId="25" fillId="0" borderId="29" xfId="0" applyNumberFormat="1" applyFont="1" applyBorder="1" applyAlignment="1">
      <alignment horizontal="center" wrapText="1" readingOrder="1"/>
    </xf>
    <xf numFmtId="175" fontId="25" fillId="0" borderId="29" xfId="0" applyNumberFormat="1" applyFont="1" applyBorder="1" applyAlignment="1">
      <alignment horizontal="center" wrapText="1" readingOrder="1"/>
    </xf>
    <xf numFmtId="10" fontId="25" fillId="0" borderId="21" xfId="0" applyNumberFormat="1" applyFont="1" applyBorder="1" applyAlignment="1">
      <alignment horizontal="center" wrapText="1" readingOrder="1"/>
    </xf>
    <xf numFmtId="175" fontId="25" fillId="0" borderId="21" xfId="0" applyNumberFormat="1" applyFont="1" applyBorder="1" applyAlignment="1">
      <alignment horizontal="center" wrapText="1" readingOrder="1"/>
    </xf>
    <xf numFmtId="10" fontId="25" fillId="0" borderId="25" xfId="0" applyNumberFormat="1" applyFont="1" applyBorder="1" applyAlignment="1">
      <alignment horizontal="center" wrapText="1" readingOrder="1"/>
    </xf>
    <xf numFmtId="0" fontId="10" fillId="0" borderId="29" xfId="0" applyFont="1" applyBorder="1" applyAlignment="1">
      <alignment horizontal="center" wrapText="1" readingOrder="1"/>
    </xf>
    <xf numFmtId="0" fontId="10" fillId="0" borderId="25" xfId="0" applyFont="1" applyBorder="1" applyAlignment="1">
      <alignment horizontal="center" wrapText="1" readingOrder="1"/>
    </xf>
    <xf numFmtId="0" fontId="10" fillId="0" borderId="21" xfId="0" applyFont="1" applyBorder="1" applyAlignment="1">
      <alignment horizontal="center" wrapText="1" readingOrder="1"/>
    </xf>
    <xf numFmtId="10" fontId="10" fillId="20" borderId="31" xfId="0" applyNumberFormat="1" applyFont="1" applyFill="1" applyBorder="1" applyAlignment="1">
      <alignment horizontal="center" wrapText="1" readingOrder="1"/>
    </xf>
    <xf numFmtId="10" fontId="10" fillId="20" borderId="32" xfId="0" applyNumberFormat="1" applyFont="1" applyFill="1" applyBorder="1" applyAlignment="1">
      <alignment horizontal="center" wrapText="1" readingOrder="1"/>
    </xf>
    <xf numFmtId="175" fontId="25" fillId="0" borderId="25" xfId="0" applyNumberFormat="1" applyFont="1" applyBorder="1" applyAlignment="1">
      <alignment horizontal="center" wrapText="1" readingOrder="1"/>
    </xf>
    <xf numFmtId="43" fontId="10" fillId="20" borderId="36" xfId="0" applyNumberFormat="1" applyFont="1" applyFill="1" applyBorder="1" applyAlignment="1">
      <alignment horizontal="center" vertical="center" wrapText="1" readingOrder="1"/>
    </xf>
    <xf numFmtId="10" fontId="25" fillId="0" borderId="37" xfId="0" applyNumberFormat="1" applyFont="1" applyBorder="1" applyAlignment="1">
      <alignment horizontal="center" wrapText="1" readingOrder="1"/>
    </xf>
    <xf numFmtId="175" fontId="25" fillId="0" borderId="37" xfId="0" applyNumberFormat="1" applyFont="1" applyBorder="1" applyAlignment="1">
      <alignment horizontal="center" wrapText="1" readingOrder="1"/>
    </xf>
    <xf numFmtId="0" fontId="25" fillId="0" borderId="35" xfId="0" applyFont="1" applyBorder="1" applyAlignment="1">
      <alignment horizontal="left" vertical="top" wrapText="1" readingOrder="1"/>
    </xf>
    <xf numFmtId="0" fontId="25" fillId="0" borderId="35" xfId="0" applyFont="1" applyBorder="1" applyAlignment="1">
      <alignment horizontal="left" wrapText="1" readingOrder="1"/>
    </xf>
    <xf numFmtId="0" fontId="10" fillId="20" borderId="39" xfId="0" applyFont="1" applyFill="1" applyBorder="1" applyAlignment="1">
      <alignment horizontal="left" wrapText="1" readingOrder="1"/>
    </xf>
    <xf numFmtId="0" fontId="10" fillId="0" borderId="37" xfId="0" applyFont="1" applyBorder="1" applyAlignment="1">
      <alignment horizontal="center" wrapText="1" readingOrder="1"/>
    </xf>
    <xf numFmtId="0" fontId="25" fillId="0" borderId="25" xfId="0" applyFont="1" applyBorder="1" applyAlignment="1">
      <alignment horizontal="center" wrapText="1" readingOrder="1"/>
    </xf>
    <xf numFmtId="0" fontId="25" fillId="0" borderId="21" xfId="0" applyFont="1" applyBorder="1" applyAlignment="1">
      <alignment horizontal="center" wrapText="1" readingOrder="1"/>
    </xf>
    <xf numFmtId="10" fontId="10" fillId="20" borderId="38" xfId="0" applyNumberFormat="1" applyFont="1" applyFill="1" applyBorder="1" applyAlignment="1">
      <alignment horizontal="center" wrapText="1" readingOrder="1"/>
    </xf>
    <xf numFmtId="10" fontId="10" fillId="0" borderId="32" xfId="0" applyNumberFormat="1" applyFont="1" applyBorder="1" applyAlignment="1">
      <alignment horizontal="center" wrapText="1" readingOrder="1"/>
    </xf>
    <xf numFmtId="9" fontId="21" fillId="0" borderId="6" xfId="1" applyFont="1" applyBorder="1"/>
    <xf numFmtId="9" fontId="21" fillId="0" borderId="10" xfId="1" applyFont="1" applyBorder="1"/>
    <xf numFmtId="9" fontId="21" fillId="0" borderId="1" xfId="1" applyFont="1" applyBorder="1"/>
    <xf numFmtId="0" fontId="114" fillId="2" borderId="0" xfId="0" applyFont="1" applyFill="1"/>
    <xf numFmtId="0" fontId="115" fillId="2" borderId="0" xfId="0" applyFont="1" applyFill="1"/>
    <xf numFmtId="167" fontId="115" fillId="2" borderId="0" xfId="0" applyNumberFormat="1" applyFont="1" applyFill="1"/>
    <xf numFmtId="9" fontId="20" fillId="0" borderId="0" xfId="1" applyFont="1" applyAlignment="1">
      <alignment vertical="center"/>
    </xf>
    <xf numFmtId="9" fontId="20" fillId="0" borderId="0" xfId="1" applyFont="1" applyAlignment="1">
      <alignment horizontal="left" vertical="center" indent="1"/>
    </xf>
    <xf numFmtId="0" fontId="20" fillId="0" borderId="0" xfId="2" applyFont="1" applyAlignment="1">
      <alignment horizontal="left" indent="1"/>
    </xf>
    <xf numFmtId="165" fontId="21" fillId="0" borderId="0" xfId="3" applyNumberFormat="1" applyFont="1" applyAlignment="1">
      <alignment vertical="center"/>
    </xf>
    <xf numFmtId="0" fontId="20" fillId="0" borderId="0" xfId="2" applyFont="1"/>
    <xf numFmtId="9" fontId="21" fillId="0" borderId="0" xfId="1" applyFont="1"/>
    <xf numFmtId="166" fontId="24" fillId="2" borderId="0" xfId="1" applyNumberFormat="1" applyFont="1" applyFill="1"/>
    <xf numFmtId="0" fontId="116" fillId="0" borderId="0" xfId="0" applyFont="1" applyAlignment="1">
      <alignment horizontal="left"/>
    </xf>
    <xf numFmtId="0" fontId="118" fillId="0" borderId="0" xfId="20" applyFont="1"/>
    <xf numFmtId="0" fontId="117" fillId="0" borderId="0" xfId="20"/>
    <xf numFmtId="0" fontId="120" fillId="21" borderId="7" xfId="20" applyFont="1" applyFill="1" applyBorder="1" applyAlignment="1">
      <alignment horizontal="left" vertical="center" wrapText="1"/>
    </xf>
    <xf numFmtId="0" fontId="111" fillId="21" borderId="7" xfId="20" applyFont="1" applyFill="1" applyBorder="1" applyAlignment="1">
      <alignment horizontal="center" vertical="center" wrapText="1"/>
    </xf>
    <xf numFmtId="0" fontId="80" fillId="0" borderId="0" xfId="20" applyFont="1"/>
    <xf numFmtId="0" fontId="121" fillId="0" borderId="0" xfId="20" applyFont="1"/>
    <xf numFmtId="0" fontId="122" fillId="0" borderId="0" xfId="20" applyFont="1"/>
    <xf numFmtId="0" fontId="123" fillId="0" borderId="0" xfId="20" applyFont="1"/>
    <xf numFmtId="0" fontId="124" fillId="0" borderId="0" xfId="20" applyFont="1"/>
    <xf numFmtId="0" fontId="10" fillId="0" borderId="40" xfId="20" applyFont="1" applyBorder="1" applyAlignment="1">
      <alignment horizontal="left" vertical="center" wrapText="1"/>
    </xf>
    <xf numFmtId="0" fontId="25" fillId="0" borderId="41" xfId="20" applyFont="1" applyBorder="1" applyAlignment="1">
      <alignment horizontal="center" vertical="center" wrapText="1"/>
    </xf>
    <xf numFmtId="0" fontId="25" fillId="0" borderId="41" xfId="20" applyFont="1" applyBorder="1" applyAlignment="1">
      <alignment horizontal="left" vertical="center" wrapText="1"/>
    </xf>
    <xf numFmtId="0" fontId="25" fillId="0" borderId="42" xfId="20" applyFont="1" applyBorder="1" applyAlignment="1">
      <alignment horizontal="left" vertical="center" wrapText="1"/>
    </xf>
    <xf numFmtId="0" fontId="10" fillId="0" borderId="43" xfId="20" applyFont="1" applyBorder="1" applyAlignment="1">
      <alignment horizontal="left" vertical="center" wrapText="1"/>
    </xf>
    <xf numFmtId="0" fontId="25" fillId="0" borderId="44" xfId="20" applyFont="1" applyBorder="1" applyAlignment="1">
      <alignment horizontal="center" vertical="center" wrapText="1"/>
    </xf>
    <xf numFmtId="0" fontId="25" fillId="0" borderId="44" xfId="20" applyFont="1" applyBorder="1" applyAlignment="1">
      <alignment horizontal="left" vertical="center" wrapText="1"/>
    </xf>
    <xf numFmtId="0" fontId="25" fillId="0" borderId="45" xfId="20" applyFont="1" applyBorder="1" applyAlignment="1">
      <alignment horizontal="left" vertical="center" wrapText="1"/>
    </xf>
    <xf numFmtId="0" fontId="1" fillId="0" borderId="0" xfId="20" applyFont="1"/>
    <xf numFmtId="0" fontId="126" fillId="0" borderId="0" xfId="20" applyFont="1"/>
    <xf numFmtId="0" fontId="10" fillId="0" borderId="0" xfId="20" applyFont="1" applyAlignment="1">
      <alignment horizontal="left" vertical="center" wrapText="1"/>
    </xf>
    <xf numFmtId="0" fontId="128" fillId="0" borderId="0" xfId="20" applyFont="1" applyAlignment="1">
      <alignment horizontal="left" vertical="center" wrapText="1"/>
    </xf>
    <xf numFmtId="166" fontId="128" fillId="0" borderId="0" xfId="20" applyNumberFormat="1" applyFont="1" applyAlignment="1">
      <alignment horizontal="right" vertical="center"/>
    </xf>
    <xf numFmtId="0" fontId="129" fillId="0" borderId="0" xfId="20" applyFont="1"/>
    <xf numFmtId="0" fontId="25" fillId="0" borderId="0" xfId="20" applyFont="1" applyAlignment="1">
      <alignment horizontal="left" vertical="center" wrapText="1"/>
    </xf>
    <xf numFmtId="0" fontId="123" fillId="0" borderId="4" xfId="20" applyFont="1" applyBorder="1" applyAlignment="1">
      <alignment horizontal="left" vertical="center" wrapText="1"/>
    </xf>
    <xf numFmtId="0" fontId="25" fillId="0" borderId="4" xfId="20" applyFont="1" applyBorder="1" applyAlignment="1">
      <alignment horizontal="left" vertical="center" wrapText="1"/>
    </xf>
    <xf numFmtId="166" fontId="123" fillId="0" borderId="4" xfId="20" applyNumberFormat="1" applyFont="1" applyBorder="1" applyAlignment="1">
      <alignment horizontal="center" vertical="center"/>
    </xf>
    <xf numFmtId="166" fontId="127" fillId="0" borderId="4" xfId="20" applyNumberFormat="1" applyFont="1" applyBorder="1" applyAlignment="1">
      <alignment horizontal="center" vertical="center"/>
    </xf>
    <xf numFmtId="166" fontId="127" fillId="0" borderId="0" xfId="20" applyNumberFormat="1" applyFont="1" applyAlignment="1">
      <alignment horizontal="center" vertical="center"/>
    </xf>
    <xf numFmtId="0" fontId="10" fillId="5" borderId="46" xfId="20" applyFont="1" applyFill="1" applyBorder="1" applyAlignment="1">
      <alignment horizontal="left" vertical="center" wrapText="1"/>
    </xf>
    <xf numFmtId="166" fontId="10" fillId="5" borderId="46" xfId="20" applyNumberFormat="1" applyFont="1" applyFill="1" applyBorder="1" applyAlignment="1">
      <alignment horizontal="center" vertical="center"/>
    </xf>
    <xf numFmtId="176" fontId="123" fillId="0" borderId="4" xfId="20" applyNumberFormat="1" applyFont="1" applyBorder="1" applyAlignment="1">
      <alignment horizontal="center" vertical="center"/>
    </xf>
    <xf numFmtId="176" fontId="127" fillId="0" borderId="4" xfId="20" applyNumberFormat="1" applyFont="1" applyBorder="1" applyAlignment="1">
      <alignment horizontal="center" vertical="center"/>
    </xf>
    <xf numFmtId="176" fontId="127" fillId="0" borderId="0" xfId="20" applyNumberFormat="1" applyFont="1" applyAlignment="1">
      <alignment horizontal="center" vertical="center"/>
    </xf>
    <xf numFmtId="176" fontId="10" fillId="5" borderId="46" xfId="20" applyNumberFormat="1" applyFont="1" applyFill="1" applyBorder="1" applyAlignment="1">
      <alignment horizontal="center" vertical="center"/>
    </xf>
    <xf numFmtId="193" fontId="10" fillId="5" borderId="46" xfId="20" applyNumberFormat="1" applyFont="1" applyFill="1" applyBorder="1" applyAlignment="1">
      <alignment horizontal="center" vertical="center"/>
    </xf>
    <xf numFmtId="0" fontId="31" fillId="0" borderId="0" xfId="20" applyFont="1"/>
    <xf numFmtId="0" fontId="109" fillId="22" borderId="7" xfId="20" applyFont="1" applyFill="1" applyBorder="1" applyAlignment="1">
      <alignment horizontal="left" vertical="center" wrapText="1"/>
    </xf>
    <xf numFmtId="0" fontId="109" fillId="22" borderId="5" xfId="20" applyFont="1" applyFill="1" applyBorder="1" applyAlignment="1">
      <alignment horizontal="left" vertical="center" wrapText="1"/>
    </xf>
    <xf numFmtId="0" fontId="109" fillId="22" borderId="5" xfId="20" applyFont="1" applyFill="1" applyBorder="1" applyAlignment="1">
      <alignment horizontal="center" vertical="center" wrapText="1"/>
    </xf>
    <xf numFmtId="0" fontId="109" fillId="22" borderId="7" xfId="20" applyFont="1" applyFill="1" applyBorder="1" applyAlignment="1">
      <alignment horizontal="center" vertical="center" wrapText="1"/>
    </xf>
    <xf numFmtId="3" fontId="125" fillId="21" borderId="7" xfId="20" applyNumberFormat="1" applyFont="1" applyFill="1" applyBorder="1" applyAlignment="1">
      <alignment horizontal="right" vertical="center"/>
    </xf>
    <xf numFmtId="3" fontId="111" fillId="21" borderId="7" xfId="20" applyNumberFormat="1" applyFont="1" applyFill="1" applyBorder="1" applyAlignment="1">
      <alignment horizontal="right" vertical="center"/>
    </xf>
    <xf numFmtId="0" fontId="123" fillId="21" borderId="7" xfId="20" applyFont="1" applyFill="1" applyBorder="1" applyAlignment="1">
      <alignment horizontal="left" vertical="center" wrapText="1"/>
    </xf>
    <xf numFmtId="0" fontId="120" fillId="23" borderId="7" xfId="20" applyFont="1" applyFill="1" applyBorder="1" applyAlignment="1">
      <alignment horizontal="left" vertical="center" wrapText="1"/>
    </xf>
    <xf numFmtId="0" fontId="120" fillId="23" borderId="7" xfId="20" applyFont="1" applyFill="1" applyBorder="1" applyAlignment="1">
      <alignment horizontal="center" vertical="center" wrapText="1"/>
    </xf>
    <xf numFmtId="192" fontId="130" fillId="21" borderId="7" xfId="20" applyNumberFormat="1" applyFont="1" applyFill="1" applyBorder="1" applyAlignment="1">
      <alignment horizontal="right" vertical="center"/>
    </xf>
    <xf numFmtId="0" fontId="131" fillId="0" borderId="0" xfId="20" applyFont="1"/>
    <xf numFmtId="3" fontId="111" fillId="0" borderId="0" xfId="20" applyNumberFormat="1" applyFont="1" applyAlignment="1">
      <alignment horizontal="right" vertical="center"/>
    </xf>
    <xf numFmtId="0" fontId="109" fillId="24" borderId="0" xfId="20" applyFont="1" applyFill="1" applyAlignment="1">
      <alignment horizontal="center" vertical="center" wrapText="1"/>
    </xf>
    <xf numFmtId="0" fontId="109" fillId="25" borderId="0" xfId="20" applyFont="1" applyFill="1" applyAlignment="1">
      <alignment horizontal="center" vertical="center" wrapText="1"/>
    </xf>
    <xf numFmtId="0" fontId="109" fillId="25" borderId="0" xfId="20" applyFont="1" applyFill="1" applyAlignment="1">
      <alignment horizontal="center" vertical="center"/>
    </xf>
    <xf numFmtId="0" fontId="25" fillId="0" borderId="0" xfId="20" applyFont="1" applyAlignment="1">
      <alignment horizontal="center" vertical="center" wrapText="1"/>
    </xf>
    <xf numFmtId="0" fontId="109" fillId="0" borderId="0" xfId="20" applyFont="1" applyAlignment="1">
      <alignment horizontal="center" vertical="center" wrapText="1"/>
    </xf>
    <xf numFmtId="0" fontId="109" fillId="0" borderId="0" xfId="20" applyFont="1" applyAlignment="1">
      <alignment horizontal="center" vertical="center"/>
    </xf>
    <xf numFmtId="0" fontId="119" fillId="0" borderId="0" xfId="20" applyFont="1" applyAlignment="1">
      <alignment horizontal="center" vertical="center" wrapText="1"/>
    </xf>
    <xf numFmtId="194" fontId="109" fillId="24" borderId="0" xfId="20" applyNumberFormat="1" applyFont="1" applyFill="1" applyAlignment="1">
      <alignment horizontal="center" vertical="center" wrapText="1"/>
    </xf>
    <xf numFmtId="195" fontId="109" fillId="24" borderId="0" xfId="20" applyNumberFormat="1" applyFont="1" applyFill="1" applyAlignment="1">
      <alignment horizontal="center" vertical="center" wrapText="1"/>
    </xf>
    <xf numFmtId="0" fontId="109" fillId="25" borderId="49" xfId="20" applyFont="1" applyFill="1" applyBorder="1" applyAlignment="1">
      <alignment horizontal="center" vertical="center" wrapText="1"/>
    </xf>
    <xf numFmtId="0" fontId="109" fillId="24" borderId="0" xfId="20" applyFont="1" applyFill="1" applyAlignment="1">
      <alignment vertical="center" wrapText="1"/>
    </xf>
    <xf numFmtId="0" fontId="109" fillId="25" borderId="0" xfId="20" applyFont="1" applyFill="1" applyAlignment="1">
      <alignment horizontal="left" vertical="center" wrapText="1"/>
    </xf>
    <xf numFmtId="0" fontId="1" fillId="5" borderId="0" xfId="20" applyFont="1" applyFill="1"/>
    <xf numFmtId="0" fontId="129" fillId="7" borderId="0" xfId="20" applyFont="1" applyFill="1"/>
    <xf numFmtId="0" fontId="0" fillId="0" borderId="0" xfId="0" applyAlignment="1">
      <alignment vertical="top" wrapText="1"/>
    </xf>
    <xf numFmtId="0" fontId="8" fillId="0" borderId="0" xfId="0" applyFont="1" applyAlignment="1">
      <alignment vertical="top" wrapText="1"/>
    </xf>
    <xf numFmtId="0" fontId="132" fillId="0" borderId="0" xfId="0" applyFont="1"/>
    <xf numFmtId="0" fontId="132" fillId="0" borderId="0" xfId="0" applyFont="1" applyAlignment="1">
      <alignment horizontal="justify" vertical="center" wrapText="1"/>
    </xf>
    <xf numFmtId="0" fontId="134" fillId="0" borderId="0" xfId="0" applyFont="1"/>
    <xf numFmtId="0" fontId="135" fillId="0" borderId="0" xfId="0" applyFont="1"/>
    <xf numFmtId="0" fontId="136" fillId="0" borderId="0" xfId="0" applyFont="1"/>
    <xf numFmtId="0" fontId="137" fillId="0" borderId="0" xfId="0" applyFont="1"/>
    <xf numFmtId="0" fontId="132" fillId="0" borderId="0" xfId="0" applyFont="1" applyAlignment="1">
      <alignment horizontal="left" vertical="center"/>
    </xf>
    <xf numFmtId="10" fontId="3" fillId="0" borderId="0" xfId="1" applyNumberFormat="1" applyFont="1"/>
    <xf numFmtId="10" fontId="3" fillId="0" borderId="0" xfId="0" applyNumberFormat="1" applyFont="1"/>
    <xf numFmtId="196" fontId="3" fillId="0" borderId="0" xfId="0" applyNumberFormat="1" applyFont="1" applyAlignment="1">
      <alignment horizontal="left"/>
    </xf>
    <xf numFmtId="0" fontId="139" fillId="0" borderId="0" xfId="0" applyFont="1" applyAlignment="1">
      <alignment vertical="center" wrapText="1"/>
    </xf>
    <xf numFmtId="0" fontId="141" fillId="0" borderId="0" xfId="0" applyFont="1" applyAlignment="1">
      <alignment horizontal="left" vertical="center" wrapText="1" indent="1"/>
    </xf>
    <xf numFmtId="0" fontId="141" fillId="0" borderId="0" xfId="0" applyFont="1" applyAlignment="1">
      <alignment horizontal="left" vertical="center" wrapText="1" indent="2"/>
    </xf>
    <xf numFmtId="0" fontId="0" fillId="0" borderId="0" xfId="0" applyAlignment="1">
      <alignment horizontal="center" vertical="center"/>
    </xf>
    <xf numFmtId="0" fontId="142" fillId="0" borderId="0" xfId="21"/>
    <xf numFmtId="15" fontId="0" fillId="0" borderId="0" xfId="0" applyNumberFormat="1"/>
    <xf numFmtId="4" fontId="0" fillId="0" borderId="0" xfId="0" applyNumberFormat="1"/>
    <xf numFmtId="0" fontId="0" fillId="0" borderId="8" xfId="0" applyBorder="1"/>
    <xf numFmtId="10" fontId="0" fillId="0" borderId="9" xfId="1" applyNumberFormat="1" applyFont="1" applyBorder="1" applyAlignment="1">
      <alignment horizontal="left" vertical="center"/>
    </xf>
    <xf numFmtId="169" fontId="0" fillId="0" borderId="50" xfId="0" applyNumberFormat="1" applyBorder="1"/>
    <xf numFmtId="169" fontId="0" fillId="0" borderId="46" xfId="0" applyNumberFormat="1" applyBorder="1"/>
    <xf numFmtId="197" fontId="2" fillId="2" borderId="0" xfId="0" applyNumberFormat="1" applyFont="1" applyFill="1"/>
    <xf numFmtId="0" fontId="108" fillId="0" borderId="0" xfId="0" applyFont="1" applyAlignment="1">
      <alignment vertical="top"/>
    </xf>
    <xf numFmtId="196" fontId="25" fillId="0" borderId="21" xfId="0" applyNumberFormat="1" applyFont="1" applyBorder="1" applyAlignment="1">
      <alignment horizontal="right" wrapText="1" readingOrder="1"/>
    </xf>
    <xf numFmtId="0" fontId="43" fillId="0" borderId="51" xfId="0" applyFont="1" applyBorder="1" applyAlignment="1">
      <alignment vertical="center" wrapText="1"/>
    </xf>
    <xf numFmtId="0" fontId="43" fillId="0" borderId="52" xfId="0" applyFont="1" applyBorder="1" applyAlignment="1">
      <alignment vertical="center" wrapText="1"/>
    </xf>
    <xf numFmtId="10" fontId="41" fillId="0" borderId="52" xfId="0" applyNumberFormat="1" applyFont="1" applyBorder="1" applyAlignment="1">
      <alignment vertical="center" wrapText="1"/>
    </xf>
    <xf numFmtId="10" fontId="43" fillId="0" borderId="52" xfId="0" applyNumberFormat="1" applyFont="1" applyBorder="1" applyAlignment="1">
      <alignment vertical="center" wrapText="1"/>
    </xf>
    <xf numFmtId="0" fontId="43" fillId="0" borderId="0" xfId="0" applyFont="1" applyAlignment="1">
      <alignment vertical="center" wrapText="1"/>
    </xf>
    <xf numFmtId="10" fontId="41" fillId="0" borderId="0" xfId="0" applyNumberFormat="1" applyFont="1" applyAlignment="1">
      <alignment vertical="center" wrapText="1"/>
    </xf>
    <xf numFmtId="10" fontId="43" fillId="0" borderId="0" xfId="0" applyNumberFormat="1" applyFont="1" applyAlignment="1">
      <alignment vertical="center" wrapText="1"/>
    </xf>
    <xf numFmtId="0" fontId="109" fillId="0" borderId="0" xfId="20" applyFont="1" applyAlignment="1">
      <alignment vertical="center" wrapText="1"/>
    </xf>
    <xf numFmtId="195" fontId="109" fillId="0" borderId="0" xfId="20" applyNumberFormat="1" applyFont="1" applyAlignment="1">
      <alignment horizontal="center" vertical="center" wrapText="1"/>
    </xf>
    <xf numFmtId="170" fontId="143" fillId="0" borderId="0" xfId="20" applyNumberFormat="1" applyFont="1" applyAlignment="1">
      <alignment horizontal="center"/>
    </xf>
    <xf numFmtId="170" fontId="9" fillId="0" borderId="0" xfId="20" applyNumberFormat="1" applyFont="1" applyAlignment="1">
      <alignment horizontal="center"/>
    </xf>
    <xf numFmtId="170" fontId="144" fillId="0" borderId="0" xfId="20" applyNumberFormat="1" applyFont="1" applyAlignment="1">
      <alignment horizontal="center"/>
    </xf>
    <xf numFmtId="192" fontId="143" fillId="0" borderId="0" xfId="20" applyNumberFormat="1" applyFont="1" applyAlignment="1">
      <alignment horizontal="center"/>
    </xf>
    <xf numFmtId="0" fontId="9" fillId="0" borderId="0" xfId="20" applyFont="1" applyAlignment="1">
      <alignment horizontal="center"/>
    </xf>
    <xf numFmtId="0" fontId="9" fillId="0" borderId="0" xfId="20" applyFont="1"/>
    <xf numFmtId="170" fontId="27" fillId="0" borderId="0" xfId="20" applyNumberFormat="1" applyFont="1" applyAlignment="1">
      <alignment horizontal="center"/>
    </xf>
    <xf numFmtId="192" fontId="145" fillId="0" borderId="0" xfId="20" applyNumberFormat="1" applyFont="1" applyAlignment="1">
      <alignment horizontal="center"/>
    </xf>
    <xf numFmtId="0" fontId="143" fillId="0" borderId="0" xfId="0" applyFont="1" applyAlignment="1">
      <alignment horizontal="center"/>
    </xf>
    <xf numFmtId="0" fontId="109" fillId="24" borderId="0" xfId="20" applyFont="1" applyFill="1" applyAlignment="1">
      <alignment vertical="center"/>
    </xf>
    <xf numFmtId="0" fontId="97" fillId="0" borderId="0" xfId="20" applyFont="1"/>
    <xf numFmtId="0" fontId="1" fillId="5" borderId="0" xfId="20" applyFont="1" applyFill="1" applyAlignment="1">
      <alignment horizontal="center"/>
    </xf>
    <xf numFmtId="170" fontId="1" fillId="0" borderId="0" xfId="20" applyNumberFormat="1" applyFont="1" applyAlignment="1">
      <alignment horizontal="center"/>
    </xf>
    <xf numFmtId="0" fontId="1" fillId="0" borderId="0" xfId="20" applyFont="1" applyAlignment="1">
      <alignment horizontal="center" vertical="center"/>
    </xf>
    <xf numFmtId="170" fontId="22" fillId="0" borderId="0" xfId="20" applyNumberFormat="1" applyFont="1" applyAlignment="1">
      <alignment horizontal="center"/>
    </xf>
    <xf numFmtId="0" fontId="3" fillId="0" borderId="6" xfId="20" applyFont="1" applyBorder="1"/>
    <xf numFmtId="170" fontId="3" fillId="0" borderId="6" xfId="20" applyNumberFormat="1" applyFont="1" applyBorder="1" applyAlignment="1">
      <alignment horizontal="center"/>
    </xf>
    <xf numFmtId="0" fontId="3" fillId="0" borderId="0" xfId="20" applyFont="1"/>
    <xf numFmtId="170" fontId="3" fillId="0" borderId="0" xfId="20" applyNumberFormat="1" applyFont="1" applyAlignment="1">
      <alignment horizontal="center"/>
    </xf>
    <xf numFmtId="170" fontId="3" fillId="0" borderId="6" xfId="0" applyNumberFormat="1" applyFont="1" applyBorder="1" applyAlignment="1">
      <alignment horizontal="center"/>
    </xf>
    <xf numFmtId="170" fontId="3" fillId="0" borderId="1" xfId="0" applyNumberFormat="1" applyFont="1" applyBorder="1" applyAlignment="1">
      <alignment horizontal="center"/>
    </xf>
    <xf numFmtId="170" fontId="18" fillId="0" borderId="0" xfId="20" applyNumberFormat="1" applyFont="1" applyAlignment="1">
      <alignment horizontal="center"/>
    </xf>
    <xf numFmtId="170" fontId="27" fillId="0" borderId="6" xfId="20" applyNumberFormat="1" applyFont="1" applyBorder="1" applyAlignment="1">
      <alignment horizontal="center"/>
    </xf>
    <xf numFmtId="0" fontId="109" fillId="25" borderId="0" xfId="20" applyFont="1" applyFill="1" applyAlignment="1">
      <alignment horizontal="left" vertical="center"/>
    </xf>
    <xf numFmtId="0" fontId="146" fillId="0" borderId="53" xfId="0" applyFont="1" applyBorder="1" applyAlignment="1">
      <alignment wrapText="1"/>
    </xf>
    <xf numFmtId="0" fontId="146" fillId="0" borderId="53" xfId="0" applyFont="1" applyBorder="1" applyAlignment="1">
      <alignment vertical="center"/>
    </xf>
    <xf numFmtId="198" fontId="0" fillId="0" borderId="0" xfId="0" applyNumberFormat="1"/>
    <xf numFmtId="197" fontId="146" fillId="0" borderId="53" xfId="0" applyNumberFormat="1" applyFont="1" applyBorder="1" applyAlignment="1">
      <alignment wrapText="1"/>
    </xf>
    <xf numFmtId="172" fontId="0" fillId="0" borderId="0" xfId="0" applyNumberFormat="1"/>
    <xf numFmtId="0" fontId="24" fillId="2" borderId="0" xfId="0" applyFont="1" applyFill="1" applyAlignment="1">
      <alignment horizontal="center" vertical="center" wrapText="1"/>
    </xf>
    <xf numFmtId="0" fontId="24" fillId="2" borderId="0" xfId="0" applyFont="1" applyFill="1" applyAlignment="1">
      <alignment horizontal="left" vertical="center" wrapText="1"/>
    </xf>
    <xf numFmtId="170" fontId="143" fillId="0" borderId="4" xfId="20" applyNumberFormat="1" applyFont="1" applyBorder="1" applyAlignment="1">
      <alignment horizontal="center"/>
    </xf>
    <xf numFmtId="199" fontId="0" fillId="0" borderId="4" xfId="1" applyNumberFormat="1" applyFont="1" applyBorder="1"/>
    <xf numFmtId="0" fontId="0" fillId="0" borderId="26" xfId="0" applyBorder="1" applyAlignment="1">
      <alignment horizontal="center" vertical="center"/>
    </xf>
    <xf numFmtId="0" fontId="0" fillId="0" borderId="0" xfId="0" applyAlignment="1">
      <alignment horizontal="center" vertical="center"/>
    </xf>
    <xf numFmtId="0" fontId="0" fillId="0" borderId="0" xfId="0" applyAlignment="1">
      <alignment horizontal="left" vertical="top" wrapText="1"/>
    </xf>
    <xf numFmtId="0" fontId="109" fillId="2" borderId="27" xfId="0" applyFont="1" applyFill="1" applyBorder="1" applyAlignment="1">
      <alignment horizontal="center" vertical="top" wrapText="1" readingOrder="1"/>
    </xf>
    <xf numFmtId="0" fontId="109" fillId="2" borderId="0" xfId="0" applyFont="1" applyFill="1" applyAlignment="1">
      <alignment horizontal="center" vertical="top" wrapText="1" readingOrder="1"/>
    </xf>
    <xf numFmtId="0" fontId="109" fillId="2" borderId="19" xfId="0" applyFont="1" applyFill="1" applyBorder="1" applyAlignment="1">
      <alignment horizontal="center" vertical="top" wrapText="1" readingOrder="1"/>
    </xf>
    <xf numFmtId="0" fontId="109" fillId="2" borderId="20" xfId="0" applyFont="1" applyFill="1" applyBorder="1" applyAlignment="1">
      <alignment horizontal="center" vertical="top" wrapText="1" readingOrder="1"/>
    </xf>
    <xf numFmtId="0" fontId="109" fillId="2" borderId="23" xfId="0" applyFont="1" applyFill="1" applyBorder="1" applyAlignment="1">
      <alignment horizontal="center" vertical="top" wrapText="1" readingOrder="1"/>
    </xf>
    <xf numFmtId="0" fontId="109" fillId="2" borderId="24" xfId="0" applyFont="1" applyFill="1" applyBorder="1" applyAlignment="1">
      <alignment horizontal="center" vertical="top" wrapText="1" readingOrder="1"/>
    </xf>
    <xf numFmtId="0" fontId="109" fillId="2" borderId="25" xfId="0" applyFont="1" applyFill="1" applyBorder="1" applyAlignment="1">
      <alignment horizontal="center" vertical="top" wrapText="1" readingOrder="1"/>
    </xf>
    <xf numFmtId="0" fontId="81" fillId="18" borderId="0" xfId="0" applyFont="1" applyFill="1" applyAlignment="1">
      <alignment horizontal="center"/>
    </xf>
    <xf numFmtId="0" fontId="94" fillId="0" borderId="8" xfId="12" applyFont="1" applyBorder="1" applyAlignment="1">
      <alignment horizontal="center"/>
    </xf>
    <xf numFmtId="0" fontId="94" fillId="0" borderId="9" xfId="12" applyFont="1" applyBorder="1" applyAlignment="1">
      <alignment horizontal="center"/>
    </xf>
    <xf numFmtId="0" fontId="2" fillId="2" borderId="0" xfId="0" applyFont="1" applyFill="1" applyAlignment="1">
      <alignment horizontal="center"/>
    </xf>
    <xf numFmtId="0" fontId="3" fillId="3" borderId="0" xfId="0" applyFont="1" applyFill="1" applyAlignment="1">
      <alignment horizontal="center"/>
    </xf>
    <xf numFmtId="0" fontId="27" fillId="3" borderId="0" xfId="0" applyFont="1" applyFill="1" applyAlignment="1">
      <alignment horizontal="center"/>
    </xf>
    <xf numFmtId="190" fontId="16" fillId="2" borderId="0" xfId="19" applyNumberFormat="1" applyFont="1" applyFill="1" applyBorder="1" applyAlignment="1">
      <alignment horizontal="center"/>
    </xf>
    <xf numFmtId="0" fontId="8"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center"/>
    </xf>
    <xf numFmtId="0" fontId="3" fillId="0" borderId="0" xfId="0" applyFont="1" applyAlignment="1">
      <alignment horizontal="right" vertical="center" textRotation="90"/>
    </xf>
    <xf numFmtId="0" fontId="3" fillId="0" borderId="0" xfId="0" applyFont="1" applyAlignment="1">
      <alignment horizontal="center" vertical="center" textRotation="90" wrapText="1"/>
    </xf>
    <xf numFmtId="0" fontId="3" fillId="0" borderId="0" xfId="0" applyFont="1" applyAlignment="1">
      <alignment horizontal="center"/>
    </xf>
    <xf numFmtId="0" fontId="109" fillId="22" borderId="8" xfId="20" applyFont="1" applyFill="1" applyBorder="1" applyAlignment="1">
      <alignment horizontal="center" vertical="center" wrapText="1"/>
    </xf>
    <xf numFmtId="0" fontId="109" fillId="22" borderId="10" xfId="20" applyFont="1" applyFill="1" applyBorder="1" applyAlignment="1">
      <alignment horizontal="center" vertical="center" wrapText="1"/>
    </xf>
    <xf numFmtId="0" fontId="109" fillId="22" borderId="9" xfId="20" applyFont="1" applyFill="1" applyBorder="1" applyAlignment="1">
      <alignment horizontal="center" vertical="center" wrapText="1"/>
    </xf>
    <xf numFmtId="0" fontId="109" fillId="22" borderId="47" xfId="20" applyFont="1" applyFill="1" applyBorder="1" applyAlignment="1">
      <alignment horizontal="center" vertical="center" wrapText="1"/>
    </xf>
    <xf numFmtId="0" fontId="109" fillId="22" borderId="6" xfId="20" applyFont="1" applyFill="1" applyBorder="1" applyAlignment="1">
      <alignment horizontal="center" vertical="center" wrapText="1"/>
    </xf>
    <xf numFmtId="0" fontId="109" fillId="22" borderId="48" xfId="20" applyFont="1" applyFill="1" applyBorder="1" applyAlignment="1">
      <alignment horizontal="center" vertical="center" wrapText="1"/>
    </xf>
    <xf numFmtId="0" fontId="109" fillId="24" borderId="0" xfId="20" applyFont="1" applyFill="1" applyAlignment="1">
      <alignment horizontal="center" vertical="center" wrapText="1"/>
    </xf>
    <xf numFmtId="0" fontId="1" fillId="0" borderId="0" xfId="20" applyFont="1"/>
    <xf numFmtId="0" fontId="132" fillId="0" borderId="0" xfId="0" applyFont="1" applyAlignment="1">
      <alignment horizontal="left" vertical="center" wrapText="1"/>
    </xf>
    <xf numFmtId="9" fontId="0" fillId="26" borderId="0" xfId="1" applyFont="1" applyFill="1" applyAlignment="1">
      <alignment horizontal="center"/>
    </xf>
    <xf numFmtId="0" fontId="0" fillId="26" borderId="0" xfId="0" applyFill="1"/>
    <xf numFmtId="9" fontId="0" fillId="26" borderId="0" xfId="0" applyNumberFormat="1" applyFill="1" applyAlignment="1">
      <alignment horizontal="center"/>
    </xf>
    <xf numFmtId="0" fontId="0" fillId="26" borderId="0" xfId="0" applyFill="1" applyAlignment="1">
      <alignment horizontal="center"/>
    </xf>
    <xf numFmtId="0" fontId="147" fillId="26" borderId="0" xfId="0" applyFont="1" applyFill="1" applyAlignment="1">
      <alignment horizontal="center" vertical="top" wrapText="1"/>
    </xf>
    <xf numFmtId="0" fontId="0" fillId="6" borderId="4" xfId="0" applyFill="1" applyBorder="1"/>
    <xf numFmtId="191" fontId="0" fillId="6" borderId="4" xfId="19" applyNumberFormat="1" applyFont="1" applyFill="1" applyBorder="1"/>
    <xf numFmtId="0" fontId="147" fillId="26" borderId="0" xfId="0" applyFont="1" applyFill="1" applyAlignment="1">
      <alignment vertical="top" wrapText="1"/>
    </xf>
    <xf numFmtId="166" fontId="0" fillId="26" borderId="0" xfId="1" applyNumberFormat="1" applyFont="1" applyFill="1" applyAlignment="1">
      <alignment horizontal="center"/>
    </xf>
    <xf numFmtId="2" fontId="0" fillId="26" borderId="0" xfId="1" applyNumberFormat="1" applyFont="1" applyFill="1" applyAlignment="1">
      <alignment horizontal="center"/>
    </xf>
    <xf numFmtId="2" fontId="0" fillId="26" borderId="0" xfId="0" applyNumberFormat="1" applyFill="1" applyAlignment="1">
      <alignment horizontal="center"/>
    </xf>
    <xf numFmtId="168" fontId="0" fillId="26" borderId="0" xfId="0" applyNumberFormat="1" applyFill="1"/>
    <xf numFmtId="0" fontId="148" fillId="0" borderId="0" xfId="0" applyFont="1" applyFill="1"/>
  </cellXfs>
  <cellStyles count="22">
    <cellStyle name="blp_column_header" xfId="6" xr:uid="{9006EDE8-67BF-4DE7-8861-35722FC76F9F}"/>
    <cellStyle name="Comma" xfId="19" builtinId="3"/>
    <cellStyle name="Comma 2" xfId="18" xr:uid="{149451D9-E30D-4DE7-8AF7-A8230E2F475C}"/>
    <cellStyle name="Comma 2 2" xfId="7" xr:uid="{0FCBB076-4715-4C05-BF2B-6E15FFF4251A}"/>
    <cellStyle name="Currency 2" xfId="13" xr:uid="{69461932-CB2E-4A7F-AD24-CAC24CFAA430}"/>
    <cellStyle name="Currency 3" xfId="16" xr:uid="{E7B450F0-B656-47F5-910B-B117F9119ADB}"/>
    <cellStyle name="Hyperlink" xfId="4" builtinId="8"/>
    <cellStyle name="Hyperlink 2" xfId="8" xr:uid="{010E501E-FB3D-483E-9AA1-BAE94E84830D}"/>
    <cellStyle name="Normal" xfId="0" builtinId="0"/>
    <cellStyle name="Normal 2" xfId="3" xr:uid="{DE0086E9-670E-43D7-9224-6A1F81E1DBC8}"/>
    <cellStyle name="Normal 2 2" xfId="10" xr:uid="{1937865D-7930-4B62-8DDD-FA5D03FF71AB}"/>
    <cellStyle name="Normal 2 3" xfId="9" xr:uid="{6C8A034A-65C1-4E99-96D0-D81A3BAFE3F5}"/>
    <cellStyle name="Normal 3" xfId="2" xr:uid="{7A144D2F-3746-4ED2-94DA-1B5E95ADF303}"/>
    <cellStyle name="Normal 4" xfId="5" xr:uid="{C497665D-E8B8-4A18-B341-2216533AA161}"/>
    <cellStyle name="Normal 5" xfId="12" xr:uid="{86937353-9D06-4658-81EB-489908FC555D}"/>
    <cellStyle name="Normal 6" xfId="15" xr:uid="{F8B19C4E-4793-4379-A097-81CA70E2D745}"/>
    <cellStyle name="Normal 7" xfId="20" xr:uid="{A36D38B5-3A4C-4963-8050-6EFC7AB58363}"/>
    <cellStyle name="Normal 8" xfId="21" xr:uid="{C93FC68C-E109-4F3E-8B79-DF56E3F0ED7F}"/>
    <cellStyle name="Percent" xfId="1" builtinId="5"/>
    <cellStyle name="Percent 2" xfId="11" xr:uid="{661CE840-6A82-40A7-90F2-DC24EE3B2B58}"/>
    <cellStyle name="Percent 3" xfId="14" xr:uid="{68785811-06F9-47D3-BA75-1B9E10B1B670}"/>
    <cellStyle name="Percent 5" xfId="17" xr:uid="{41F4700E-88AC-476B-84CC-7550B2592269}"/>
  </cellStyles>
  <dxfs count="13">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1" defaultTableStyle="TableStyleMedium2" defaultPivotStyle="PivotStyleLight16">
    <tableStyle name="Table Style 1" pivot="0" count="0" xr9:uid="{634D79B5-348D-4B54-B6BC-C4B2EE4B2B9A}"/>
  </tableStyles>
  <colors>
    <mruColors>
      <color rgb="FF1F4E79"/>
      <color rgb="FFFF505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219"/>
        <c:overlap val="-27"/>
        <c:axId val="1098039424"/>
        <c:axId val="1098040864"/>
      </c:barChart>
      <c:catAx>
        <c:axId val="109803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040864"/>
        <c:crosses val="autoZero"/>
        <c:auto val="0"/>
        <c:lblAlgn val="ctr"/>
        <c:lblOffset val="100"/>
        <c:noMultiLvlLbl val="0"/>
      </c:catAx>
      <c:valAx>
        <c:axId val="1098040864"/>
        <c:scaling>
          <c:orientation val="minMax"/>
        </c:scaling>
        <c:delete val="1"/>
        <c:axPos val="l"/>
        <c:numFmt formatCode="General" sourceLinked="1"/>
        <c:majorTickMark val="none"/>
        <c:minorTickMark val="none"/>
        <c:tickLblPos val="nextTo"/>
        <c:crossAx val="10980394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(In Crs)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'DuPont Analysis'!$B$36</c:f>
              <c:strCache>
                <c:ptCount val="1"/>
                <c:pt idx="0">
                  <c:v>Revenue</c:v>
                </c:pt>
              </c:strCache>
            </c:strRef>
          </c:tx>
          <c:spPr>
            <a:solidFill>
              <a:srgbClr val="002060"/>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Analysis'!$C$34:$H$34</c:f>
              <c:numCache>
                <c:formatCode>"FY"\ 0</c:formatCode>
                <c:ptCount val="6"/>
                <c:pt idx="0">
                  <c:v>2020</c:v>
                </c:pt>
                <c:pt idx="1">
                  <c:v>2021</c:v>
                </c:pt>
                <c:pt idx="2">
                  <c:v>2022</c:v>
                </c:pt>
                <c:pt idx="3">
                  <c:v>2023</c:v>
                </c:pt>
                <c:pt idx="4">
                  <c:v>2024</c:v>
                </c:pt>
                <c:pt idx="5">
                  <c:v>2025</c:v>
                </c:pt>
              </c:numCache>
            </c:numRef>
          </c:cat>
          <c:val>
            <c:numRef>
              <c:f>'DuPont Analysis'!$C$36:$H$36</c:f>
              <c:numCache>
                <c:formatCode>"₹"#,##0.00_);[Red]\("₹"#,##0.00\)</c:formatCode>
                <c:ptCount val="6"/>
                <c:pt idx="0">
                  <c:v>39783</c:v>
                </c:pt>
                <c:pt idx="1">
                  <c:v>47028</c:v>
                </c:pt>
                <c:pt idx="2">
                  <c:v>52446</c:v>
                </c:pt>
                <c:pt idx="3">
                  <c:v>60590</c:v>
                </c:pt>
                <c:pt idx="4">
                  <c:v>61836</c:v>
                </c:pt>
                <c:pt idx="5">
                  <c:v>63121</c:v>
                </c:pt>
              </c:numCache>
            </c:numRef>
          </c:val>
          <c:extLst>
            <c:ext xmlns:c16="http://schemas.microsoft.com/office/drawing/2014/chart" uri="{C3380CC4-5D6E-409C-BE32-E72D297353CC}">
              <c16:uniqueId val="{00000000-2AEC-4B36-9814-7FBFF2CB6D70}"/>
            </c:ext>
          </c:extLst>
        </c:ser>
        <c:dLbls>
          <c:dLblPos val="outEnd"/>
          <c:showLegendKey val="0"/>
          <c:showVal val="1"/>
          <c:showCatName val="0"/>
          <c:showSerName val="0"/>
          <c:showPercent val="0"/>
          <c:showBubbleSize val="0"/>
        </c:dLbls>
        <c:gapWidth val="219"/>
        <c:overlap val="-27"/>
        <c:axId val="2122584959"/>
        <c:axId val="2122587359"/>
      </c:barChart>
      <c:catAx>
        <c:axId val="2122584959"/>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587359"/>
        <c:crosses val="autoZero"/>
        <c:auto val="1"/>
        <c:lblAlgn val="ctr"/>
        <c:lblOffset val="100"/>
        <c:noMultiLvlLbl val="0"/>
      </c:catAx>
      <c:valAx>
        <c:axId val="2122587359"/>
        <c:scaling>
          <c:orientation val="minMax"/>
        </c:scaling>
        <c:delete val="0"/>
        <c:axPos val="l"/>
        <c:majorGridlines>
          <c:spPr>
            <a:ln w="9525" cap="flat" cmpd="sng" algn="ctr">
              <a:no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5849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'DuPont Analysis'!$B$35</c:f>
              <c:strCache>
                <c:ptCount val="1"/>
                <c:pt idx="0">
                  <c:v>Net Profit</c:v>
                </c:pt>
              </c:strCache>
            </c:strRef>
          </c:tx>
          <c:spPr>
            <a:solidFill>
              <a:srgbClr val="002060"/>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Analysis'!$C$34:$H$34</c:f>
              <c:numCache>
                <c:formatCode>"FY"\ 0</c:formatCode>
                <c:ptCount val="6"/>
                <c:pt idx="0">
                  <c:v>2020</c:v>
                </c:pt>
                <c:pt idx="1">
                  <c:v>2021</c:v>
                </c:pt>
                <c:pt idx="2">
                  <c:v>2022</c:v>
                </c:pt>
                <c:pt idx="3">
                  <c:v>2023</c:v>
                </c:pt>
                <c:pt idx="4">
                  <c:v>2024</c:v>
                </c:pt>
                <c:pt idx="5">
                  <c:v>2025</c:v>
                </c:pt>
              </c:numCache>
            </c:numRef>
          </c:cat>
          <c:val>
            <c:numRef>
              <c:f>'DuPont Analysis'!$C$35:$H$35</c:f>
              <c:numCache>
                <c:formatCode>"₹"#,##0.00_);[Red]\("₹"#,##0.00\)</c:formatCode>
                <c:ptCount val="6"/>
                <c:pt idx="0">
                  <c:v>6764</c:v>
                </c:pt>
                <c:pt idx="1">
                  <c:v>8000</c:v>
                </c:pt>
                <c:pt idx="2">
                  <c:v>8887</c:v>
                </c:pt>
                <c:pt idx="3">
                  <c:v>10154</c:v>
                </c:pt>
                <c:pt idx="4">
                  <c:v>10222</c:v>
                </c:pt>
                <c:pt idx="5">
                  <c:v>10671</c:v>
                </c:pt>
              </c:numCache>
            </c:numRef>
          </c:val>
          <c:extLst>
            <c:ext xmlns:c16="http://schemas.microsoft.com/office/drawing/2014/chart" uri="{C3380CC4-5D6E-409C-BE32-E72D297353CC}">
              <c16:uniqueId val="{00000000-8B2E-4433-A6C0-563504C2DCA0}"/>
            </c:ext>
          </c:extLst>
        </c:ser>
        <c:dLbls>
          <c:showLegendKey val="0"/>
          <c:showVal val="0"/>
          <c:showCatName val="0"/>
          <c:showSerName val="0"/>
          <c:showPercent val="0"/>
          <c:showBubbleSize val="0"/>
        </c:dLbls>
        <c:gapWidth val="219"/>
        <c:overlap val="-27"/>
        <c:axId val="728164143"/>
        <c:axId val="728167023"/>
      </c:barChart>
      <c:catAx>
        <c:axId val="728164143"/>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67023"/>
        <c:crosses val="autoZero"/>
        <c:auto val="1"/>
        <c:lblAlgn val="ctr"/>
        <c:lblOffset val="100"/>
        <c:noMultiLvlLbl val="0"/>
      </c:catAx>
      <c:valAx>
        <c:axId val="728167023"/>
        <c:scaling>
          <c:orientation val="minMax"/>
        </c:scaling>
        <c:delete val="0"/>
        <c:axPos val="l"/>
        <c:majorGridlines>
          <c:spPr>
            <a:ln w="9525" cap="flat" cmpd="sng" algn="ctr">
              <a:no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641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'DuPont Analysis'!$B$31</c:f>
              <c:strCache>
                <c:ptCount val="1"/>
                <c:pt idx="0">
                  <c:v>Return on Equity (ROE)</c:v>
                </c:pt>
              </c:strCache>
            </c:strRef>
          </c:tx>
          <c:spPr>
            <a:solidFill>
              <a:srgbClr val="002060"/>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Analysis'!$C$28:$H$28</c:f>
              <c:numCache>
                <c:formatCode>"FY"\ 0</c:formatCode>
                <c:ptCount val="6"/>
                <c:pt idx="0">
                  <c:v>2020</c:v>
                </c:pt>
                <c:pt idx="1">
                  <c:v>2021</c:v>
                </c:pt>
                <c:pt idx="2">
                  <c:v>2022</c:v>
                </c:pt>
                <c:pt idx="3">
                  <c:v>2023</c:v>
                </c:pt>
                <c:pt idx="4">
                  <c:v>2024</c:v>
                </c:pt>
                <c:pt idx="5">
                  <c:v>2025</c:v>
                </c:pt>
              </c:numCache>
            </c:numRef>
          </c:cat>
          <c:val>
            <c:numRef>
              <c:f>'DuPont Analysis'!$C$31:$H$31</c:f>
              <c:numCache>
                <c:formatCode>0.00%</c:formatCode>
                <c:ptCount val="6"/>
                <c:pt idx="0">
                  <c:v>0.83863368669022376</c:v>
                </c:pt>
                <c:pt idx="1">
                  <c:v>0.28602073650339649</c:v>
                </c:pt>
                <c:pt idx="2">
                  <c:v>0.18365174982692883</c:v>
                </c:pt>
                <c:pt idx="3">
                  <c:v>0.20387715969440512</c:v>
                </c:pt>
                <c:pt idx="4">
                  <c:v>0.20053950659669428</c:v>
                </c:pt>
                <c:pt idx="5">
                  <c:v>0.21124000316731334</c:v>
                </c:pt>
              </c:numCache>
            </c:numRef>
          </c:val>
          <c:extLst>
            <c:ext xmlns:c16="http://schemas.microsoft.com/office/drawing/2014/chart" uri="{C3380CC4-5D6E-409C-BE32-E72D297353CC}">
              <c16:uniqueId val="{00000000-2A02-4CC3-9AAB-EB54CEB0D4D5}"/>
            </c:ext>
          </c:extLst>
        </c:ser>
        <c:dLbls>
          <c:dLblPos val="outEnd"/>
          <c:showLegendKey val="0"/>
          <c:showVal val="1"/>
          <c:showCatName val="0"/>
          <c:showSerName val="0"/>
          <c:showPercent val="0"/>
          <c:showBubbleSize val="0"/>
        </c:dLbls>
        <c:gapWidth val="219"/>
        <c:overlap val="-27"/>
        <c:axId val="938935167"/>
        <c:axId val="938936127"/>
      </c:barChart>
      <c:catAx>
        <c:axId val="938935167"/>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36127"/>
        <c:crosses val="autoZero"/>
        <c:auto val="1"/>
        <c:lblAlgn val="ctr"/>
        <c:lblOffset val="100"/>
        <c:noMultiLvlLbl val="0"/>
      </c:catAx>
      <c:valAx>
        <c:axId val="938936127"/>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35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'DuPont Analysis'!$B$93</c:f>
              <c:strCache>
                <c:ptCount val="1"/>
                <c:pt idx="0">
                  <c:v>EPS</c:v>
                </c:pt>
              </c:strCache>
            </c:strRef>
          </c:tx>
          <c:spPr>
            <a:solidFill>
              <a:srgbClr val="002060"/>
            </a:solidFill>
            <a:ln>
              <a:noFill/>
            </a:ln>
            <a:effectLst/>
          </c:spPr>
          <c:invertIfNegative val="0"/>
          <c:dLbls>
            <c:numFmt formatCode="&quot;₹&quot;\ #,##0.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Analysis'!$C$86:$H$86</c:f>
              <c:numCache>
                <c:formatCode>"FY"\ 0</c:formatCode>
                <c:ptCount val="6"/>
                <c:pt idx="0">
                  <c:v>2020</c:v>
                </c:pt>
                <c:pt idx="1">
                  <c:v>2021</c:v>
                </c:pt>
                <c:pt idx="2">
                  <c:v>2022</c:v>
                </c:pt>
                <c:pt idx="3">
                  <c:v>2023</c:v>
                </c:pt>
                <c:pt idx="4">
                  <c:v>2024</c:v>
                </c:pt>
                <c:pt idx="5">
                  <c:v>2025</c:v>
                </c:pt>
              </c:numCache>
            </c:numRef>
          </c:cat>
          <c:val>
            <c:numRef>
              <c:f>'DuPont Analysis'!$C$93:$H$93</c:f>
              <c:numCache>
                <c:formatCode>"₹"\ #,##0.00</c:formatCode>
                <c:ptCount val="6"/>
                <c:pt idx="0">
                  <c:v>31.17</c:v>
                </c:pt>
                <c:pt idx="1">
                  <c:v>34.03</c:v>
                </c:pt>
                <c:pt idx="2">
                  <c:v>37.79</c:v>
                </c:pt>
                <c:pt idx="3">
                  <c:v>43.07</c:v>
                </c:pt>
                <c:pt idx="4">
                  <c:v>43.74</c:v>
                </c:pt>
                <c:pt idx="5">
                  <c:v>45.32</c:v>
                </c:pt>
              </c:numCache>
            </c:numRef>
          </c:val>
          <c:extLst>
            <c:ext xmlns:c16="http://schemas.microsoft.com/office/drawing/2014/chart" uri="{C3380CC4-5D6E-409C-BE32-E72D297353CC}">
              <c16:uniqueId val="{00000000-9B9D-48E5-8426-FADCC6B2C733}"/>
            </c:ext>
          </c:extLst>
        </c:ser>
        <c:dLbls>
          <c:showLegendKey val="0"/>
          <c:showVal val="0"/>
          <c:showCatName val="0"/>
          <c:showSerName val="0"/>
          <c:showPercent val="0"/>
          <c:showBubbleSize val="0"/>
        </c:dLbls>
        <c:gapWidth val="219"/>
        <c:overlap val="-27"/>
        <c:axId val="1938690399"/>
        <c:axId val="2049600447"/>
      </c:barChart>
      <c:catAx>
        <c:axId val="1938690399"/>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00447"/>
        <c:crosses val="autoZero"/>
        <c:auto val="1"/>
        <c:lblAlgn val="ctr"/>
        <c:lblOffset val="100"/>
        <c:noMultiLvlLbl val="0"/>
      </c:catAx>
      <c:valAx>
        <c:axId val="2049600447"/>
        <c:scaling>
          <c:orientation val="minMax"/>
        </c:scaling>
        <c:delete val="0"/>
        <c:axPos val="l"/>
        <c:majorGridlines>
          <c:spPr>
            <a:ln w="9525" cap="flat" cmpd="sng" algn="ctr">
              <a:no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903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77128063910043"/>
          <c:y val="0.19908749329039185"/>
          <c:w val="0.79069137874159168"/>
          <c:h val="0.67639147763534391"/>
        </c:manualLayout>
      </c:layout>
      <c:barChart>
        <c:barDir val="col"/>
        <c:grouping val="clustered"/>
        <c:varyColors val="0"/>
        <c:ser>
          <c:idx val="0"/>
          <c:order val="0"/>
          <c:tx>
            <c:strRef>
              <c:f>'DuPont Analysis'!$B$41</c:f>
              <c:strCache>
                <c:ptCount val="1"/>
                <c:pt idx="0">
                  <c:v>Asset Turnover Ratio (B)</c:v>
                </c:pt>
              </c:strCache>
            </c:strRef>
          </c:tx>
          <c:spPr>
            <a:solidFill>
              <a:srgbClr val="002060"/>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Analysis'!$C$34:$H$34</c:f>
              <c:numCache>
                <c:formatCode>"FY"\ 0</c:formatCode>
                <c:ptCount val="6"/>
                <c:pt idx="0">
                  <c:v>2020</c:v>
                </c:pt>
                <c:pt idx="1">
                  <c:v>2021</c:v>
                </c:pt>
                <c:pt idx="2">
                  <c:v>2022</c:v>
                </c:pt>
                <c:pt idx="3">
                  <c:v>2023</c:v>
                </c:pt>
                <c:pt idx="4">
                  <c:v>2024</c:v>
                </c:pt>
                <c:pt idx="5">
                  <c:v>2025</c:v>
                </c:pt>
              </c:numCache>
            </c:numRef>
          </c:cat>
          <c:val>
            <c:numRef>
              <c:f>'DuPont Analysis'!$C$41:$H$41</c:f>
              <c:numCache>
                <c:formatCode>0.00%</c:formatCode>
                <c:ptCount val="6"/>
                <c:pt idx="0">
                  <c:v>2.051621886442164</c:v>
                </c:pt>
                <c:pt idx="1">
                  <c:v>1.0578787537959735</c:v>
                </c:pt>
                <c:pt idx="2">
                  <c:v>0.75313410974051154</c:v>
                </c:pt>
                <c:pt idx="3">
                  <c:v>0.843848360769895</c:v>
                </c:pt>
                <c:pt idx="4">
                  <c:v>0.81585370680669722</c:v>
                </c:pt>
                <c:pt idx="5">
                  <c:v>0.79708799777748307</c:v>
                </c:pt>
              </c:numCache>
            </c:numRef>
          </c:val>
          <c:extLst>
            <c:ext xmlns:c16="http://schemas.microsoft.com/office/drawing/2014/chart" uri="{C3380CC4-5D6E-409C-BE32-E72D297353CC}">
              <c16:uniqueId val="{00000000-E70A-48BC-B7DB-32B4D9E3BF7C}"/>
            </c:ext>
          </c:extLst>
        </c:ser>
        <c:dLbls>
          <c:dLblPos val="outEnd"/>
          <c:showLegendKey val="0"/>
          <c:showVal val="1"/>
          <c:showCatName val="0"/>
          <c:showSerName val="0"/>
          <c:showPercent val="0"/>
          <c:showBubbleSize val="0"/>
        </c:dLbls>
        <c:gapWidth val="219"/>
        <c:overlap val="-27"/>
        <c:axId val="665173663"/>
        <c:axId val="665166463"/>
      </c:barChart>
      <c:catAx>
        <c:axId val="665173663"/>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66463"/>
        <c:crosses val="autoZero"/>
        <c:auto val="1"/>
        <c:lblAlgn val="ctr"/>
        <c:lblOffset val="100"/>
        <c:noMultiLvlLbl val="0"/>
      </c:catAx>
      <c:valAx>
        <c:axId val="665166463"/>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736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'DuPont Analysis'!$B$71</c:f>
              <c:strCache>
                <c:ptCount val="1"/>
                <c:pt idx="0">
                  <c:v>Return on Capital Employed (ROCE)</c:v>
                </c:pt>
              </c:strCache>
            </c:strRef>
          </c:tx>
          <c:spPr>
            <a:solidFill>
              <a:srgbClr val="002060"/>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Analysis'!$C$68:$H$68</c:f>
              <c:numCache>
                <c:formatCode>"FY"\ 0</c:formatCode>
                <c:ptCount val="6"/>
                <c:pt idx="0">
                  <c:v>2020</c:v>
                </c:pt>
                <c:pt idx="1">
                  <c:v>2021</c:v>
                </c:pt>
                <c:pt idx="2">
                  <c:v>2022</c:v>
                </c:pt>
                <c:pt idx="3">
                  <c:v>2023</c:v>
                </c:pt>
                <c:pt idx="4">
                  <c:v>2024</c:v>
                </c:pt>
                <c:pt idx="5">
                  <c:v>2025</c:v>
                </c:pt>
              </c:numCache>
            </c:numRef>
          </c:cat>
          <c:val>
            <c:numRef>
              <c:f>'DuPont Analysis'!$C$71:$H$71</c:f>
              <c:numCache>
                <c:formatCode>0.00%</c:formatCode>
                <c:ptCount val="6"/>
                <c:pt idx="0">
                  <c:v>0.79482439926062842</c:v>
                </c:pt>
                <c:pt idx="1">
                  <c:v>0.28409009653199857</c:v>
                </c:pt>
                <c:pt idx="2">
                  <c:v>0.18004142654990668</c:v>
                </c:pt>
                <c:pt idx="3">
                  <c:v>0.19398548219840994</c:v>
                </c:pt>
                <c:pt idx="4">
                  <c:v>0.18742125056507228</c:v>
                </c:pt>
                <c:pt idx="5">
                  <c:v>0.1886358141109338</c:v>
                </c:pt>
              </c:numCache>
            </c:numRef>
          </c:val>
          <c:extLst>
            <c:ext xmlns:c16="http://schemas.microsoft.com/office/drawing/2014/chart" uri="{C3380CC4-5D6E-409C-BE32-E72D297353CC}">
              <c16:uniqueId val="{00000000-708E-4F8E-8A1D-3FF7B63E6408}"/>
            </c:ext>
          </c:extLst>
        </c:ser>
        <c:dLbls>
          <c:showLegendKey val="0"/>
          <c:showVal val="0"/>
          <c:showCatName val="0"/>
          <c:showSerName val="0"/>
          <c:showPercent val="0"/>
          <c:showBubbleSize val="0"/>
        </c:dLbls>
        <c:gapWidth val="219"/>
        <c:overlap val="-27"/>
        <c:axId val="675482975"/>
        <c:axId val="675487295"/>
      </c:barChart>
      <c:catAx>
        <c:axId val="675482975"/>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487295"/>
        <c:crosses val="autoZero"/>
        <c:auto val="1"/>
        <c:lblAlgn val="ctr"/>
        <c:lblOffset val="100"/>
        <c:noMultiLvlLbl val="0"/>
      </c:catAx>
      <c:valAx>
        <c:axId val="675487295"/>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4829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Net Income vs Capital Employed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'ROIIC Profiling- Saber'!$B$6</c:f>
              <c:strCache>
                <c:ptCount val="1"/>
                <c:pt idx="0">
                  <c:v>Net Income</c:v>
                </c:pt>
              </c:strCache>
            </c:strRef>
          </c:tx>
          <c:spPr>
            <a:ln w="28575" cap="rnd">
              <a:solidFill>
                <a:schemeClr val="bg1">
                  <a:lumMod val="50000"/>
                </a:schemeClr>
              </a:solidFill>
              <a:round/>
            </a:ln>
            <a:effectLst/>
          </c:spPr>
          <c:marker>
            <c:symbol val="circle"/>
            <c:size val="5"/>
            <c:spPr>
              <a:solidFill>
                <a:schemeClr val="bg1">
                  <a:lumMod val="65000"/>
                </a:schemeClr>
              </a:solidFill>
              <a:ln w="9525">
                <a:solidFill>
                  <a:schemeClr val="bg1">
                    <a:lumMod val="85000"/>
                  </a:schemeClr>
                </a:solidFill>
              </a:ln>
              <a:effectLst/>
            </c:spPr>
          </c:marker>
          <c:cat>
            <c:numRef>
              <c:f>'ROIIC Profiling- Saber'!$C$4:$L$4</c:f>
              <c:numCache>
                <c:formatCode>"FY"\ 0</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'ROIIC Profiling- Saber'!$C$6:$L$6</c:f>
              <c:numCache>
                <c:formatCode>_ * #,##0.0_ ;_ * \-#,##0.0_ ;_ * "-"??_ ;_ @_ </c:formatCode>
                <c:ptCount val="10"/>
                <c:pt idx="0">
                  <c:v>4151</c:v>
                </c:pt>
                <c:pt idx="1">
                  <c:v>4490</c:v>
                </c:pt>
                <c:pt idx="2">
                  <c:v>5227</c:v>
                </c:pt>
                <c:pt idx="3">
                  <c:v>6060</c:v>
                </c:pt>
                <c:pt idx="4">
                  <c:v>6764</c:v>
                </c:pt>
                <c:pt idx="5">
                  <c:v>8000</c:v>
                </c:pt>
                <c:pt idx="6">
                  <c:v>8887</c:v>
                </c:pt>
                <c:pt idx="7">
                  <c:v>10154</c:v>
                </c:pt>
                <c:pt idx="8">
                  <c:v>10222</c:v>
                </c:pt>
                <c:pt idx="9">
                  <c:v>10671</c:v>
                </c:pt>
              </c:numCache>
            </c:numRef>
          </c:val>
          <c:smooth val="0"/>
          <c:extLst>
            <c:ext xmlns:c16="http://schemas.microsoft.com/office/drawing/2014/chart" uri="{C3380CC4-5D6E-409C-BE32-E72D297353CC}">
              <c16:uniqueId val="{00000000-2613-4B44-9794-0C050403DDC4}"/>
            </c:ext>
          </c:extLst>
        </c:ser>
        <c:ser>
          <c:idx val="1"/>
          <c:order val="1"/>
          <c:tx>
            <c:strRef>
              <c:f>'ROIIC Profiling- Saber'!$B$7</c:f>
              <c:strCache>
                <c:ptCount val="1"/>
                <c:pt idx="0">
                  <c:v>Capital Employed</c:v>
                </c:pt>
              </c:strCache>
            </c:strRef>
          </c:tx>
          <c:spPr>
            <a:ln w="28575" cap="rnd">
              <a:solidFill>
                <a:srgbClr val="002060"/>
              </a:solidFill>
              <a:round/>
            </a:ln>
            <a:effectLst/>
          </c:spPr>
          <c:marker>
            <c:symbol val="circle"/>
            <c:size val="5"/>
            <c:spPr>
              <a:solidFill>
                <a:srgbClr val="002060"/>
              </a:solidFill>
              <a:ln w="9525">
                <a:solidFill>
                  <a:schemeClr val="bg1"/>
                </a:solidFill>
              </a:ln>
              <a:effectLst/>
            </c:spPr>
          </c:marker>
          <c:cat>
            <c:numRef>
              <c:f>'ROIIC Profiling- Saber'!$C$4:$L$4</c:f>
              <c:numCache>
                <c:formatCode>"FY"\ 0</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'ROIIC Profiling- Saber'!$C$7:$L$7</c:f>
              <c:numCache>
                <c:formatCode>_ * #,##0.0_ ;_ * \-#,##0.0_ ;_ * "-"??_ ;_ @_ </c:formatCode>
                <c:ptCount val="10"/>
                <c:pt idx="0">
                  <c:v>6750</c:v>
                </c:pt>
                <c:pt idx="1">
                  <c:v>7021</c:v>
                </c:pt>
                <c:pt idx="2">
                  <c:v>7281</c:v>
                </c:pt>
                <c:pt idx="3">
                  <c:v>7984</c:v>
                </c:pt>
                <c:pt idx="4">
                  <c:v>8246</c:v>
                </c:pt>
                <c:pt idx="5">
                  <c:v>47694</c:v>
                </c:pt>
                <c:pt idx="6">
                  <c:v>49828</c:v>
                </c:pt>
                <c:pt idx="7">
                  <c:v>51427</c:v>
                </c:pt>
                <c:pt idx="8">
                  <c:v>52542</c:v>
                </c:pt>
                <c:pt idx="9">
                  <c:v>50853</c:v>
                </c:pt>
              </c:numCache>
            </c:numRef>
          </c:val>
          <c:smooth val="0"/>
          <c:extLst>
            <c:ext xmlns:c16="http://schemas.microsoft.com/office/drawing/2014/chart" uri="{C3380CC4-5D6E-409C-BE32-E72D297353CC}">
              <c16:uniqueId val="{00000001-2613-4B44-9794-0C050403DDC4}"/>
            </c:ext>
          </c:extLst>
        </c:ser>
        <c:dLbls>
          <c:showLegendKey val="0"/>
          <c:showVal val="0"/>
          <c:showCatName val="0"/>
          <c:showSerName val="0"/>
          <c:showPercent val="0"/>
          <c:showBubbleSize val="0"/>
        </c:dLbls>
        <c:marker val="1"/>
        <c:smooth val="0"/>
        <c:axId val="1223889416"/>
        <c:axId val="1223889776"/>
      </c:lineChart>
      <c:catAx>
        <c:axId val="1223889416"/>
        <c:scaling>
          <c:orientation val="minMax"/>
        </c:scaling>
        <c:delete val="0"/>
        <c:axPos val="b"/>
        <c:numFmt formatCode="&quot;FY&quot;\ 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889776"/>
        <c:crosses val="autoZero"/>
        <c:auto val="1"/>
        <c:lblAlgn val="ctr"/>
        <c:lblOffset val="100"/>
        <c:noMultiLvlLbl val="0"/>
      </c:catAx>
      <c:valAx>
        <c:axId val="1223889776"/>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889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Revenue-Inventory Analysis</a:t>
            </a:r>
          </a:p>
        </c:rich>
      </c:tx>
      <c:layout>
        <c:manualLayout>
          <c:xMode val="edge"/>
          <c:yMode val="edge"/>
          <c:x val="0.21672736220472441"/>
          <c:y val="3.1201248049921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Working'!$D$704</c:f>
              <c:strCache>
                <c:ptCount val="1"/>
                <c:pt idx="0">
                  <c:v>Revenue Yoy% Growth</c:v>
                </c:pt>
              </c:strCache>
            </c:strRef>
          </c:tx>
          <c:spPr>
            <a:ln w="28575" cap="rnd">
              <a:solidFill>
                <a:schemeClr val="accent1"/>
              </a:solidFill>
              <a:round/>
            </a:ln>
            <a:effectLst/>
          </c:spPr>
          <c:marker>
            <c:symbol val="none"/>
          </c:marker>
          <c:val>
            <c:numRef>
              <c:f>'Assumptions Working'!$E$704:$N$704</c:f>
              <c:numCache>
                <c:formatCode>0.0%</c:formatCode>
                <c:ptCount val="10"/>
                <c:pt idx="1">
                  <c:v>3.03237432424035E-2</c:v>
                </c:pt>
                <c:pt idx="2">
                  <c:v>7.1859357095470644E-2</c:v>
                </c:pt>
                <c:pt idx="3">
                  <c:v>0.1059220706147137</c:v>
                </c:pt>
                <c:pt idx="4">
                  <c:v>1.2032561689137689E-2</c:v>
                </c:pt>
                <c:pt idx="5">
                  <c:v>0.18211296282331646</c:v>
                </c:pt>
                <c:pt idx="6">
                  <c:v>0.11520796121459553</c:v>
                </c:pt>
                <c:pt idx="7">
                  <c:v>0.15509285741524614</c:v>
                </c:pt>
                <c:pt idx="8">
                  <c:v>2.1723341036645749E-2</c:v>
                </c:pt>
                <c:pt idx="9">
                  <c:v>1.9791262763344974E-2</c:v>
                </c:pt>
              </c:numCache>
            </c:numRef>
          </c:val>
          <c:smooth val="0"/>
          <c:extLst>
            <c:ext xmlns:c16="http://schemas.microsoft.com/office/drawing/2014/chart" uri="{C3380CC4-5D6E-409C-BE32-E72D297353CC}">
              <c16:uniqueId val="{00000000-3542-4009-9159-02840B398728}"/>
            </c:ext>
          </c:extLst>
        </c:ser>
        <c:ser>
          <c:idx val="1"/>
          <c:order val="1"/>
          <c:tx>
            <c:strRef>
              <c:f>'Assumptions Working'!$D$707</c:f>
              <c:strCache>
                <c:ptCount val="1"/>
                <c:pt idx="0">
                  <c:v>Inventory Yoy% Growth</c:v>
                </c:pt>
              </c:strCache>
            </c:strRef>
          </c:tx>
          <c:spPr>
            <a:ln w="28575" cap="rnd">
              <a:solidFill>
                <a:schemeClr val="accent2"/>
              </a:solidFill>
              <a:round/>
            </a:ln>
            <a:effectLst/>
          </c:spPr>
          <c:marker>
            <c:symbol val="none"/>
          </c:marker>
          <c:val>
            <c:numRef>
              <c:f>'Assumptions Working'!$E$707:$N$707</c:f>
              <c:numCache>
                <c:formatCode>0.0%</c:formatCode>
                <c:ptCount val="10"/>
                <c:pt idx="1">
                  <c:v>-6.7865003668378554E-2</c:v>
                </c:pt>
                <c:pt idx="2">
                  <c:v>-1.1019283746556474E-2</c:v>
                </c:pt>
                <c:pt idx="3">
                  <c:v>2.4273776362912836E-2</c:v>
                </c:pt>
                <c:pt idx="4">
                  <c:v>7.4980574980574977E-2</c:v>
                </c:pt>
                <c:pt idx="5">
                  <c:v>0.29345861944344054</c:v>
                </c:pt>
                <c:pt idx="6">
                  <c:v>0.14445375803297011</c:v>
                </c:pt>
                <c:pt idx="7">
                  <c:v>3.7841796875E-2</c:v>
                </c:pt>
                <c:pt idx="8">
                  <c:v>-5.3869677722888754E-2</c:v>
                </c:pt>
                <c:pt idx="9">
                  <c:v>9.7712580805569438E-2</c:v>
                </c:pt>
              </c:numCache>
            </c:numRef>
          </c:val>
          <c:smooth val="0"/>
          <c:extLst>
            <c:ext xmlns:c16="http://schemas.microsoft.com/office/drawing/2014/chart" uri="{C3380CC4-5D6E-409C-BE32-E72D297353CC}">
              <c16:uniqueId val="{00000001-3542-4009-9159-02840B398728}"/>
            </c:ext>
          </c:extLst>
        </c:ser>
        <c:dLbls>
          <c:showLegendKey val="0"/>
          <c:showVal val="0"/>
          <c:showCatName val="0"/>
          <c:showSerName val="0"/>
          <c:showPercent val="0"/>
          <c:showBubbleSize val="0"/>
        </c:dLbls>
        <c:smooth val="0"/>
        <c:axId val="1397844832"/>
        <c:axId val="1397841952"/>
      </c:lineChart>
      <c:catAx>
        <c:axId val="13978448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41952"/>
        <c:crosses val="autoZero"/>
        <c:auto val="1"/>
        <c:lblAlgn val="ctr"/>
        <c:lblOffset val="100"/>
        <c:noMultiLvlLbl val="0"/>
      </c:catAx>
      <c:valAx>
        <c:axId val="1397841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4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Revenue-Receivables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Working'!$D$774</c:f>
              <c:strCache>
                <c:ptCount val="1"/>
                <c:pt idx="0">
                  <c:v>Revenue Yoy% Growth</c:v>
                </c:pt>
              </c:strCache>
            </c:strRef>
          </c:tx>
          <c:spPr>
            <a:ln w="28575" cap="rnd">
              <a:solidFill>
                <a:schemeClr val="accent1"/>
              </a:solidFill>
              <a:round/>
            </a:ln>
            <a:effectLst/>
          </c:spPr>
          <c:marker>
            <c:symbol val="none"/>
          </c:marker>
          <c:val>
            <c:numRef>
              <c:f>'Assumptions Working'!$E$774:$N$774</c:f>
              <c:numCache>
                <c:formatCode>0.0%</c:formatCode>
                <c:ptCount val="10"/>
                <c:pt idx="1">
                  <c:v>3.03237432424035E-2</c:v>
                </c:pt>
                <c:pt idx="2">
                  <c:v>7.1859357095470644E-2</c:v>
                </c:pt>
                <c:pt idx="3">
                  <c:v>0.1059220706147137</c:v>
                </c:pt>
                <c:pt idx="4">
                  <c:v>1.2032561689137689E-2</c:v>
                </c:pt>
                <c:pt idx="5">
                  <c:v>0.18211296282331646</c:v>
                </c:pt>
                <c:pt idx="6">
                  <c:v>0.11520796121459553</c:v>
                </c:pt>
                <c:pt idx="7">
                  <c:v>0.15509285741524614</c:v>
                </c:pt>
                <c:pt idx="8">
                  <c:v>2.1723341036645749E-2</c:v>
                </c:pt>
                <c:pt idx="9">
                  <c:v>1.9791262763344974E-2</c:v>
                </c:pt>
              </c:numCache>
            </c:numRef>
          </c:val>
          <c:smooth val="0"/>
          <c:extLst>
            <c:ext xmlns:c16="http://schemas.microsoft.com/office/drawing/2014/chart" uri="{C3380CC4-5D6E-409C-BE32-E72D297353CC}">
              <c16:uniqueId val="{00000000-5904-4A04-A58D-2739422C4604}"/>
            </c:ext>
          </c:extLst>
        </c:ser>
        <c:ser>
          <c:idx val="1"/>
          <c:order val="1"/>
          <c:tx>
            <c:strRef>
              <c:f>'Assumptions Working'!$D$777</c:f>
              <c:strCache>
                <c:ptCount val="1"/>
                <c:pt idx="0">
                  <c:v>Trade Receivables Yoy% Growth</c:v>
                </c:pt>
              </c:strCache>
            </c:strRef>
          </c:tx>
          <c:spPr>
            <a:ln w="28575" cap="rnd">
              <a:solidFill>
                <a:schemeClr val="accent2"/>
              </a:solidFill>
              <a:round/>
            </a:ln>
            <a:effectLst/>
          </c:spPr>
          <c:marker>
            <c:symbol val="none"/>
          </c:marker>
          <c:val>
            <c:numRef>
              <c:f>'Assumptions Working'!$E$777:$N$777</c:f>
              <c:numCache>
                <c:formatCode>0.0%</c:formatCode>
                <c:ptCount val="10"/>
                <c:pt idx="1">
                  <c:v>-0.14161392405063289</c:v>
                </c:pt>
                <c:pt idx="2">
                  <c:v>0.20737327188940102</c:v>
                </c:pt>
                <c:pt idx="3">
                  <c:v>0.38625954198473278</c:v>
                </c:pt>
                <c:pt idx="4">
                  <c:v>-0.36729074889867841</c:v>
                </c:pt>
                <c:pt idx="5">
                  <c:v>0.53002610966057451</c:v>
                </c:pt>
                <c:pt idx="6">
                  <c:v>0.27189988623435712</c:v>
                </c:pt>
                <c:pt idx="7">
                  <c:v>0.37701252236135963</c:v>
                </c:pt>
                <c:pt idx="8">
                  <c:v>-2.6632023384215664E-2</c:v>
                </c:pt>
                <c:pt idx="9">
                  <c:v>0.27427427427427431</c:v>
                </c:pt>
              </c:numCache>
            </c:numRef>
          </c:val>
          <c:smooth val="0"/>
          <c:extLst>
            <c:ext xmlns:c16="http://schemas.microsoft.com/office/drawing/2014/chart" uri="{C3380CC4-5D6E-409C-BE32-E72D297353CC}">
              <c16:uniqueId val="{00000001-5904-4A04-A58D-2739422C4604}"/>
            </c:ext>
          </c:extLst>
        </c:ser>
        <c:dLbls>
          <c:showLegendKey val="0"/>
          <c:showVal val="0"/>
          <c:showCatName val="0"/>
          <c:showSerName val="0"/>
          <c:showPercent val="0"/>
          <c:showBubbleSize val="0"/>
        </c:dLbls>
        <c:smooth val="0"/>
        <c:axId val="1492278352"/>
        <c:axId val="1492280272"/>
      </c:lineChart>
      <c:catAx>
        <c:axId val="14922783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80272"/>
        <c:crosses val="autoZero"/>
        <c:auto val="1"/>
        <c:lblAlgn val="ctr"/>
        <c:lblOffset val="100"/>
        <c:noMultiLvlLbl val="0"/>
      </c:catAx>
      <c:valAx>
        <c:axId val="1492280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7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TP</a:t>
            </a:r>
            <a:r>
              <a:rPr lang="en-IN" baseline="0"/>
              <a:t> VS TR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'Assumptions Working'!$D$1087</c:f>
              <c:strCache>
                <c:ptCount val="1"/>
                <c:pt idx="0">
                  <c:v>Trade Payables % Revenue</c:v>
                </c:pt>
              </c:strCache>
            </c:strRef>
          </c:tx>
          <c:spPr>
            <a:solidFill>
              <a:schemeClr val="accent1"/>
            </a:solidFill>
            <a:ln>
              <a:noFill/>
            </a:ln>
            <a:effectLst/>
          </c:spPr>
          <c:invertIfNegative val="0"/>
          <c:val>
            <c:numRef>
              <c:f>'Assumptions Working'!$E$1087:$N$1087</c:f>
              <c:numCache>
                <c:formatCode>0.0%</c:formatCode>
                <c:ptCount val="10"/>
                <c:pt idx="0">
                  <c:v>0.17662959050518859</c:v>
                </c:pt>
                <c:pt idx="1">
                  <c:v>0.18653880948073095</c:v>
                </c:pt>
                <c:pt idx="2">
                  <c:v>0.20171613447742298</c:v>
                </c:pt>
                <c:pt idx="3">
                  <c:v>0.18331213431696769</c:v>
                </c:pt>
                <c:pt idx="4">
                  <c:v>0.18940250860920493</c:v>
                </c:pt>
                <c:pt idx="5">
                  <c:v>0.18716509313600407</c:v>
                </c:pt>
                <c:pt idx="6">
                  <c:v>0.17290165122220952</c:v>
                </c:pt>
                <c:pt idx="7">
                  <c:v>0.15803895675140311</c:v>
                </c:pt>
                <c:pt idx="8">
                  <c:v>0.16941320925423289</c:v>
                </c:pt>
                <c:pt idx="9">
                  <c:v>0.17925888373124635</c:v>
                </c:pt>
              </c:numCache>
            </c:numRef>
          </c:val>
          <c:extLst>
            <c:ext xmlns:c16="http://schemas.microsoft.com/office/drawing/2014/chart" uri="{C3380CC4-5D6E-409C-BE32-E72D297353CC}">
              <c16:uniqueId val="{00000000-B5B9-4FB2-9DD7-3A1DD16BA038}"/>
            </c:ext>
          </c:extLst>
        </c:ser>
        <c:ser>
          <c:idx val="1"/>
          <c:order val="1"/>
          <c:tx>
            <c:strRef>
              <c:f>'Assumptions Working'!$D$1088</c:f>
              <c:strCache>
                <c:ptCount val="1"/>
                <c:pt idx="0">
                  <c:v>Trade Receivables % Revenue</c:v>
                </c:pt>
              </c:strCache>
            </c:strRef>
          </c:tx>
          <c:spPr>
            <a:solidFill>
              <a:schemeClr val="accent2"/>
            </a:solidFill>
            <a:ln>
              <a:noFill/>
            </a:ln>
            <a:effectLst/>
          </c:spPr>
          <c:invertIfNegative val="0"/>
          <c:val>
            <c:numRef>
              <c:f>'Assumptions Working'!$E$1088:$N$1088</c:f>
              <c:numCache>
                <c:formatCode>0.0%</c:formatCode>
                <c:ptCount val="10"/>
                <c:pt idx="0">
                  <c:v>3.9271733051637357E-2</c:v>
                </c:pt>
                <c:pt idx="1">
                  <c:v>3.2718171401001146E-2</c:v>
                </c:pt>
                <c:pt idx="2">
                  <c:v>3.6854691236460825E-2</c:v>
                </c:pt>
                <c:pt idx="3">
                  <c:v>4.6196896464004072E-2</c:v>
                </c:pt>
                <c:pt idx="4">
                  <c:v>2.8881683130985596E-2</c:v>
                </c:pt>
                <c:pt idx="5">
                  <c:v>3.7381985200306202E-2</c:v>
                </c:pt>
                <c:pt idx="6">
                  <c:v>4.263432864279449E-2</c:v>
                </c:pt>
                <c:pt idx="7">
                  <c:v>5.0825354902608123E-2</c:v>
                </c:pt>
                <c:pt idx="8">
                  <c:v>4.8419930205506008E-2</c:v>
                </c:pt>
                <c:pt idx="9">
                  <c:v>6.0502843744554113E-2</c:v>
                </c:pt>
              </c:numCache>
            </c:numRef>
          </c:val>
          <c:extLst>
            <c:ext xmlns:c16="http://schemas.microsoft.com/office/drawing/2014/chart" uri="{C3380CC4-5D6E-409C-BE32-E72D297353CC}">
              <c16:uniqueId val="{00000001-B5B9-4FB2-9DD7-3A1DD16BA038}"/>
            </c:ext>
          </c:extLst>
        </c:ser>
        <c:dLbls>
          <c:showLegendKey val="0"/>
          <c:showVal val="0"/>
          <c:showCatName val="0"/>
          <c:showSerName val="0"/>
          <c:showPercent val="0"/>
          <c:showBubbleSize val="0"/>
        </c:dLbls>
        <c:gapWidth val="219"/>
        <c:overlap val="-27"/>
        <c:axId val="1716539472"/>
        <c:axId val="1716552912"/>
      </c:barChart>
      <c:catAx>
        <c:axId val="171653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52912"/>
        <c:crosses val="autoZero"/>
        <c:auto val="1"/>
        <c:lblAlgn val="ctr"/>
        <c:lblOffset val="100"/>
        <c:noMultiLvlLbl val="0"/>
      </c:catAx>
      <c:valAx>
        <c:axId val="1716552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39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Revenue by Segment (FY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6-47FE-8A34-3529A6B25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EC6-47FE-8A34-3529A6B25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EC6-47FE-8A34-3529A6B25F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EC6-47FE-8A34-3529A6B25F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8EC6-47FE-8A34-3529A6B25FFB}"/>
              </c:ext>
            </c:extLst>
          </c:dPt>
          <c:dLbls>
            <c:dLbl>
              <c:idx val="0"/>
              <c:tx>
                <c:rich>
                  <a:bodyPr rot="0" spcFirstLastPara="1" vertOverflow="ellipsis" vert="horz" wrap="square" anchor="ctr" anchorCtr="1"/>
                  <a:lstStyle/>
                  <a:p>
                    <a:pPr algn="ctr" rtl="0">
                      <a:defRPr sz="900" b="0" i="0" u="none" strike="noStrike" kern="1200" baseline="0">
                        <a:solidFill>
                          <a:schemeClr val="tx1"/>
                        </a:solidFill>
                        <a:latin typeface="+mn-lt"/>
                        <a:ea typeface="+mn-ea"/>
                        <a:cs typeface="+mn-cs"/>
                      </a:defRPr>
                    </a:pPr>
                    <a:fld id="{B3FF55B8-2617-4D56-8B45-345B4E4FD77A}" type="PERCENTAGE">
                      <a:rPr lang="en-US"/>
                      <a:pPr algn="ctr" rtl="0">
                        <a:defRPr/>
                      </a:pPr>
                      <a:t>[PERCENTAGE]</a:t>
                    </a:fld>
                    <a:endParaRPr lang="en-IN"/>
                  </a:p>
                </c:rich>
              </c:tx>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EC6-47FE-8A34-3529A6B25FFB}"/>
                </c:ext>
              </c:extLst>
            </c:dLbl>
            <c:dLbl>
              <c:idx val="1"/>
              <c:tx>
                <c:rich>
                  <a:bodyPr/>
                  <a:lstStyle/>
                  <a:p>
                    <a:fld id="{A4EF7669-B980-4897-8375-9D7F728789E5}"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EC6-47FE-8A34-3529A6B25FFB}"/>
                </c:ext>
              </c:extLst>
            </c:dLbl>
            <c:dLbl>
              <c:idx val="2"/>
              <c:tx>
                <c:rich>
                  <a:bodyPr/>
                  <a:lstStyle/>
                  <a:p>
                    <a:fld id="{C533C0D8-5D0F-4436-9052-3C32482FE5A9}"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EC6-47FE-8A34-3529A6B25FFB}"/>
                </c:ext>
              </c:extLst>
            </c:dLbl>
            <c:dLbl>
              <c:idx val="3"/>
              <c:tx>
                <c:rich>
                  <a:bodyPr/>
                  <a:lstStyle/>
                  <a:p>
                    <a:fld id="{7721D74D-3644-4112-AD0D-C6D24C6A6B64}"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EC6-47FE-8A34-3529A6B25FFB}"/>
                </c:ext>
              </c:extLst>
            </c:dLbl>
            <c:dLbl>
              <c:idx val="4"/>
              <c:tx>
                <c:rich>
                  <a:bodyPr rot="0" spcFirstLastPara="1" vertOverflow="ellipsis" vert="horz" wrap="square" anchor="ctr" anchorCtr="1"/>
                  <a:lstStyle/>
                  <a:p>
                    <a:pPr algn="ctr" rtl="0">
                      <a:defRPr sz="900" b="0" i="0" u="none" strike="noStrike" kern="1200" baseline="0">
                        <a:solidFill>
                          <a:schemeClr val="tx1"/>
                        </a:solidFill>
                        <a:latin typeface="+mn-lt"/>
                        <a:ea typeface="+mn-ea"/>
                        <a:cs typeface="+mn-cs"/>
                      </a:defRPr>
                    </a:pPr>
                    <a:fld id="{509AF0A4-A935-4C44-855F-D7981833F358}" type="PERCENTAGE">
                      <a:rPr lang="en-US"/>
                      <a:pPr algn="ctr" rtl="0">
                        <a:defRPr/>
                      </a:pPr>
                      <a:t>[PERCENTAGE]</a:t>
                    </a:fld>
                    <a:endParaRPr lang="en-IN"/>
                  </a:p>
                </c:rich>
              </c:tx>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EC6-47FE-8A34-3529A6B25FFB}"/>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Report!$D$5:$D$9</c:f>
              <c:strCache>
                <c:ptCount val="5"/>
                <c:pt idx="0">
                  <c:v>Home Care</c:v>
                </c:pt>
                <c:pt idx="1">
                  <c:v>Foods &amp; Refreshment</c:v>
                </c:pt>
                <c:pt idx="2">
                  <c:v>Beauty &amp; Wellbeing</c:v>
                </c:pt>
                <c:pt idx="3">
                  <c:v>Personal Care</c:v>
                </c:pt>
                <c:pt idx="4">
                  <c:v>Others</c:v>
                </c:pt>
              </c:strCache>
            </c:strRef>
          </c:cat>
          <c:val>
            <c:numRef>
              <c:f>Report!$E$5:$E$9</c:f>
              <c:numCache>
                <c:formatCode>General</c:formatCode>
                <c:ptCount val="5"/>
                <c:pt idx="0">
                  <c:v>22958</c:v>
                </c:pt>
                <c:pt idx="1">
                  <c:v>15294</c:v>
                </c:pt>
                <c:pt idx="2">
                  <c:v>13523</c:v>
                </c:pt>
                <c:pt idx="3">
                  <c:v>9166</c:v>
                </c:pt>
                <c:pt idx="4">
                  <c:v>2180</c:v>
                </c:pt>
              </c:numCache>
            </c:numRef>
          </c:val>
          <c:extLst>
            <c:ext xmlns:c16="http://schemas.microsoft.com/office/drawing/2014/chart" uri="{C3380CC4-5D6E-409C-BE32-E72D297353CC}">
              <c16:uniqueId val="{00000000-8EC6-47FE-8A34-3529A6B25F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Report!$C$26</c:f>
              <c:strCache>
                <c:ptCount val="1"/>
                <c:pt idx="0">
                  <c:v>Price</c:v>
                </c:pt>
              </c:strCache>
            </c:strRef>
          </c:tx>
          <c:spPr>
            <a:ln w="28575" cap="rnd">
              <a:solidFill>
                <a:srgbClr val="1F4E79"/>
              </a:solidFill>
              <a:round/>
            </a:ln>
            <a:effectLst/>
          </c:spPr>
          <c:marker>
            <c:symbol val="none"/>
          </c:marker>
          <c:cat>
            <c:numRef>
              <c:f>Report!$B$27:$B$275</c:f>
              <c:numCache>
                <c:formatCode>d\-mmm\-yy</c:formatCode>
                <c:ptCount val="249"/>
                <c:pt idx="0">
                  <c:v>45736</c:v>
                </c:pt>
                <c:pt idx="1">
                  <c:v>45737</c:v>
                </c:pt>
                <c:pt idx="2">
                  <c:v>45740</c:v>
                </c:pt>
                <c:pt idx="3">
                  <c:v>45741</c:v>
                </c:pt>
                <c:pt idx="4">
                  <c:v>45742</c:v>
                </c:pt>
                <c:pt idx="5">
                  <c:v>45743</c:v>
                </c:pt>
                <c:pt idx="6">
                  <c:v>45744</c:v>
                </c:pt>
                <c:pt idx="7">
                  <c:v>45748</c:v>
                </c:pt>
                <c:pt idx="8">
                  <c:v>45749</c:v>
                </c:pt>
                <c:pt idx="9">
                  <c:v>45750</c:v>
                </c:pt>
                <c:pt idx="10">
                  <c:v>45751</c:v>
                </c:pt>
                <c:pt idx="11">
                  <c:v>45754</c:v>
                </c:pt>
                <c:pt idx="12">
                  <c:v>45755</c:v>
                </c:pt>
                <c:pt idx="13">
                  <c:v>45756</c:v>
                </c:pt>
                <c:pt idx="14">
                  <c:v>45758</c:v>
                </c:pt>
                <c:pt idx="15">
                  <c:v>45762</c:v>
                </c:pt>
                <c:pt idx="16">
                  <c:v>45763</c:v>
                </c:pt>
                <c:pt idx="17">
                  <c:v>45764</c:v>
                </c:pt>
                <c:pt idx="18">
                  <c:v>45768</c:v>
                </c:pt>
                <c:pt idx="19">
                  <c:v>45769</c:v>
                </c:pt>
                <c:pt idx="20">
                  <c:v>45770</c:v>
                </c:pt>
                <c:pt idx="21">
                  <c:v>45771</c:v>
                </c:pt>
                <c:pt idx="22">
                  <c:v>45772</c:v>
                </c:pt>
                <c:pt idx="23">
                  <c:v>45775</c:v>
                </c:pt>
                <c:pt idx="24">
                  <c:v>45776</c:v>
                </c:pt>
                <c:pt idx="25">
                  <c:v>45777</c:v>
                </c:pt>
                <c:pt idx="26">
                  <c:v>45779</c:v>
                </c:pt>
                <c:pt idx="27">
                  <c:v>45782</c:v>
                </c:pt>
                <c:pt idx="28">
                  <c:v>45783</c:v>
                </c:pt>
                <c:pt idx="29">
                  <c:v>45784</c:v>
                </c:pt>
                <c:pt idx="30">
                  <c:v>45785</c:v>
                </c:pt>
                <c:pt idx="31">
                  <c:v>45786</c:v>
                </c:pt>
                <c:pt idx="32">
                  <c:v>45789</c:v>
                </c:pt>
                <c:pt idx="33">
                  <c:v>45790</c:v>
                </c:pt>
                <c:pt idx="34">
                  <c:v>45791</c:v>
                </c:pt>
                <c:pt idx="35">
                  <c:v>45792</c:v>
                </c:pt>
                <c:pt idx="36">
                  <c:v>45793</c:v>
                </c:pt>
                <c:pt idx="37">
                  <c:v>45796</c:v>
                </c:pt>
                <c:pt idx="38">
                  <c:v>45797</c:v>
                </c:pt>
                <c:pt idx="39">
                  <c:v>45798</c:v>
                </c:pt>
                <c:pt idx="40">
                  <c:v>45799</c:v>
                </c:pt>
                <c:pt idx="41">
                  <c:v>45800</c:v>
                </c:pt>
                <c:pt idx="42">
                  <c:v>45803</c:v>
                </c:pt>
                <c:pt idx="43">
                  <c:v>45804</c:v>
                </c:pt>
                <c:pt idx="44">
                  <c:v>45805</c:v>
                </c:pt>
                <c:pt idx="45">
                  <c:v>45806</c:v>
                </c:pt>
                <c:pt idx="46">
                  <c:v>45807</c:v>
                </c:pt>
                <c:pt idx="47">
                  <c:v>45810</c:v>
                </c:pt>
                <c:pt idx="48">
                  <c:v>45811</c:v>
                </c:pt>
                <c:pt idx="49">
                  <c:v>45812</c:v>
                </c:pt>
                <c:pt idx="50">
                  <c:v>45813</c:v>
                </c:pt>
                <c:pt idx="51">
                  <c:v>45814</c:v>
                </c:pt>
                <c:pt idx="52">
                  <c:v>45817</c:v>
                </c:pt>
                <c:pt idx="53">
                  <c:v>45818</c:v>
                </c:pt>
                <c:pt idx="54">
                  <c:v>45819</c:v>
                </c:pt>
                <c:pt idx="55">
                  <c:v>45820</c:v>
                </c:pt>
                <c:pt idx="56">
                  <c:v>45821</c:v>
                </c:pt>
                <c:pt idx="57">
                  <c:v>45824</c:v>
                </c:pt>
                <c:pt idx="58">
                  <c:v>45825</c:v>
                </c:pt>
                <c:pt idx="59">
                  <c:v>45826</c:v>
                </c:pt>
                <c:pt idx="60">
                  <c:v>45827</c:v>
                </c:pt>
                <c:pt idx="61">
                  <c:v>45828</c:v>
                </c:pt>
                <c:pt idx="62">
                  <c:v>45831</c:v>
                </c:pt>
                <c:pt idx="63">
                  <c:v>45832</c:v>
                </c:pt>
                <c:pt idx="64">
                  <c:v>45833</c:v>
                </c:pt>
                <c:pt idx="65">
                  <c:v>45834</c:v>
                </c:pt>
                <c:pt idx="66">
                  <c:v>45835</c:v>
                </c:pt>
                <c:pt idx="67">
                  <c:v>45838</c:v>
                </c:pt>
                <c:pt idx="68">
                  <c:v>45839</c:v>
                </c:pt>
                <c:pt idx="69">
                  <c:v>45840</c:v>
                </c:pt>
                <c:pt idx="70">
                  <c:v>45841</c:v>
                </c:pt>
                <c:pt idx="71">
                  <c:v>45842</c:v>
                </c:pt>
                <c:pt idx="72">
                  <c:v>45845</c:v>
                </c:pt>
                <c:pt idx="73">
                  <c:v>45846</c:v>
                </c:pt>
                <c:pt idx="74">
                  <c:v>45847</c:v>
                </c:pt>
                <c:pt idx="75">
                  <c:v>45848</c:v>
                </c:pt>
                <c:pt idx="76">
                  <c:v>45849</c:v>
                </c:pt>
                <c:pt idx="77">
                  <c:v>45852</c:v>
                </c:pt>
                <c:pt idx="78">
                  <c:v>45853</c:v>
                </c:pt>
                <c:pt idx="79">
                  <c:v>45854</c:v>
                </c:pt>
                <c:pt idx="80">
                  <c:v>45855</c:v>
                </c:pt>
                <c:pt idx="81">
                  <c:v>45856</c:v>
                </c:pt>
                <c:pt idx="82">
                  <c:v>45859</c:v>
                </c:pt>
                <c:pt idx="83">
                  <c:v>45860</c:v>
                </c:pt>
                <c:pt idx="84">
                  <c:v>45861</c:v>
                </c:pt>
                <c:pt idx="85">
                  <c:v>45862</c:v>
                </c:pt>
                <c:pt idx="86">
                  <c:v>45863</c:v>
                </c:pt>
                <c:pt idx="87">
                  <c:v>45866</c:v>
                </c:pt>
                <c:pt idx="88">
                  <c:v>45867</c:v>
                </c:pt>
                <c:pt idx="89">
                  <c:v>45868</c:v>
                </c:pt>
                <c:pt idx="90">
                  <c:v>45869</c:v>
                </c:pt>
                <c:pt idx="91">
                  <c:v>45870</c:v>
                </c:pt>
                <c:pt idx="92">
                  <c:v>45873</c:v>
                </c:pt>
                <c:pt idx="93">
                  <c:v>45874</c:v>
                </c:pt>
                <c:pt idx="94">
                  <c:v>45875</c:v>
                </c:pt>
                <c:pt idx="95">
                  <c:v>45876</c:v>
                </c:pt>
                <c:pt idx="96">
                  <c:v>45877</c:v>
                </c:pt>
                <c:pt idx="97">
                  <c:v>45880</c:v>
                </c:pt>
                <c:pt idx="98">
                  <c:v>45881</c:v>
                </c:pt>
                <c:pt idx="99">
                  <c:v>45882</c:v>
                </c:pt>
                <c:pt idx="100">
                  <c:v>45883</c:v>
                </c:pt>
                <c:pt idx="101">
                  <c:v>45887</c:v>
                </c:pt>
                <c:pt idx="102">
                  <c:v>45888</c:v>
                </c:pt>
                <c:pt idx="103">
                  <c:v>45889</c:v>
                </c:pt>
                <c:pt idx="104">
                  <c:v>45890</c:v>
                </c:pt>
                <c:pt idx="105">
                  <c:v>45891</c:v>
                </c:pt>
                <c:pt idx="106">
                  <c:v>45894</c:v>
                </c:pt>
                <c:pt idx="107">
                  <c:v>45895</c:v>
                </c:pt>
                <c:pt idx="108">
                  <c:v>45897</c:v>
                </c:pt>
                <c:pt idx="109">
                  <c:v>45898</c:v>
                </c:pt>
                <c:pt idx="110">
                  <c:v>45901</c:v>
                </c:pt>
                <c:pt idx="111">
                  <c:v>45902</c:v>
                </c:pt>
                <c:pt idx="112">
                  <c:v>45903</c:v>
                </c:pt>
                <c:pt idx="113">
                  <c:v>45904</c:v>
                </c:pt>
                <c:pt idx="114">
                  <c:v>45905</c:v>
                </c:pt>
                <c:pt idx="115">
                  <c:v>45908</c:v>
                </c:pt>
                <c:pt idx="116">
                  <c:v>45909</c:v>
                </c:pt>
                <c:pt idx="117">
                  <c:v>45910</c:v>
                </c:pt>
                <c:pt idx="118">
                  <c:v>45911</c:v>
                </c:pt>
                <c:pt idx="119">
                  <c:v>45912</c:v>
                </c:pt>
                <c:pt idx="120">
                  <c:v>45915</c:v>
                </c:pt>
                <c:pt idx="121">
                  <c:v>45916</c:v>
                </c:pt>
                <c:pt idx="122">
                  <c:v>45917</c:v>
                </c:pt>
                <c:pt idx="123">
                  <c:v>45918</c:v>
                </c:pt>
                <c:pt idx="124">
                  <c:v>45919</c:v>
                </c:pt>
                <c:pt idx="125">
                  <c:v>45922</c:v>
                </c:pt>
                <c:pt idx="126">
                  <c:v>45923</c:v>
                </c:pt>
                <c:pt idx="127">
                  <c:v>45924</c:v>
                </c:pt>
                <c:pt idx="128">
                  <c:v>45925</c:v>
                </c:pt>
                <c:pt idx="129">
                  <c:v>45926</c:v>
                </c:pt>
                <c:pt idx="130">
                  <c:v>45929</c:v>
                </c:pt>
                <c:pt idx="131">
                  <c:v>45930</c:v>
                </c:pt>
                <c:pt idx="132">
                  <c:v>45931</c:v>
                </c:pt>
                <c:pt idx="133">
                  <c:v>45933</c:v>
                </c:pt>
                <c:pt idx="134">
                  <c:v>45936</c:v>
                </c:pt>
                <c:pt idx="135">
                  <c:v>45937</c:v>
                </c:pt>
                <c:pt idx="136">
                  <c:v>45938</c:v>
                </c:pt>
                <c:pt idx="137">
                  <c:v>45939</c:v>
                </c:pt>
                <c:pt idx="138">
                  <c:v>45940</c:v>
                </c:pt>
                <c:pt idx="139">
                  <c:v>45943</c:v>
                </c:pt>
                <c:pt idx="140">
                  <c:v>45944</c:v>
                </c:pt>
                <c:pt idx="141">
                  <c:v>45945</c:v>
                </c:pt>
                <c:pt idx="142">
                  <c:v>45946</c:v>
                </c:pt>
                <c:pt idx="143">
                  <c:v>45947</c:v>
                </c:pt>
                <c:pt idx="144">
                  <c:v>45950</c:v>
                </c:pt>
                <c:pt idx="145">
                  <c:v>45951</c:v>
                </c:pt>
                <c:pt idx="146">
                  <c:v>45953</c:v>
                </c:pt>
                <c:pt idx="147">
                  <c:v>45954</c:v>
                </c:pt>
                <c:pt idx="148">
                  <c:v>45957</c:v>
                </c:pt>
                <c:pt idx="149">
                  <c:v>45958</c:v>
                </c:pt>
                <c:pt idx="150">
                  <c:v>45959</c:v>
                </c:pt>
                <c:pt idx="151">
                  <c:v>45960</c:v>
                </c:pt>
                <c:pt idx="152">
                  <c:v>45961</c:v>
                </c:pt>
                <c:pt idx="153">
                  <c:v>45964</c:v>
                </c:pt>
                <c:pt idx="154">
                  <c:v>45965</c:v>
                </c:pt>
                <c:pt idx="155">
                  <c:v>45967</c:v>
                </c:pt>
                <c:pt idx="156">
                  <c:v>45968</c:v>
                </c:pt>
                <c:pt idx="157">
                  <c:v>45971</c:v>
                </c:pt>
                <c:pt idx="158">
                  <c:v>45972</c:v>
                </c:pt>
                <c:pt idx="159">
                  <c:v>45973</c:v>
                </c:pt>
                <c:pt idx="160">
                  <c:v>45974</c:v>
                </c:pt>
                <c:pt idx="161">
                  <c:v>45975</c:v>
                </c:pt>
                <c:pt idx="162">
                  <c:v>45978</c:v>
                </c:pt>
                <c:pt idx="163">
                  <c:v>45979</c:v>
                </c:pt>
                <c:pt idx="164">
                  <c:v>45980</c:v>
                </c:pt>
                <c:pt idx="165">
                  <c:v>45981</c:v>
                </c:pt>
                <c:pt idx="166">
                  <c:v>45982</c:v>
                </c:pt>
                <c:pt idx="167">
                  <c:v>45985</c:v>
                </c:pt>
                <c:pt idx="168">
                  <c:v>45986</c:v>
                </c:pt>
                <c:pt idx="169">
                  <c:v>45987</c:v>
                </c:pt>
                <c:pt idx="170">
                  <c:v>45988</c:v>
                </c:pt>
                <c:pt idx="171">
                  <c:v>45989</c:v>
                </c:pt>
                <c:pt idx="172">
                  <c:v>45992</c:v>
                </c:pt>
                <c:pt idx="173">
                  <c:v>45993</c:v>
                </c:pt>
                <c:pt idx="174">
                  <c:v>45994</c:v>
                </c:pt>
                <c:pt idx="175">
                  <c:v>45995</c:v>
                </c:pt>
                <c:pt idx="176">
                  <c:v>45996</c:v>
                </c:pt>
                <c:pt idx="177">
                  <c:v>45999</c:v>
                </c:pt>
                <c:pt idx="178">
                  <c:v>46000</c:v>
                </c:pt>
                <c:pt idx="179">
                  <c:v>46001</c:v>
                </c:pt>
                <c:pt idx="180">
                  <c:v>46002</c:v>
                </c:pt>
                <c:pt idx="181">
                  <c:v>46003</c:v>
                </c:pt>
                <c:pt idx="182">
                  <c:v>46006</c:v>
                </c:pt>
                <c:pt idx="183">
                  <c:v>46007</c:v>
                </c:pt>
                <c:pt idx="184">
                  <c:v>46008</c:v>
                </c:pt>
                <c:pt idx="185">
                  <c:v>46009</c:v>
                </c:pt>
                <c:pt idx="186">
                  <c:v>46010</c:v>
                </c:pt>
                <c:pt idx="187">
                  <c:v>46013</c:v>
                </c:pt>
                <c:pt idx="188">
                  <c:v>46014</c:v>
                </c:pt>
                <c:pt idx="189">
                  <c:v>46015</c:v>
                </c:pt>
                <c:pt idx="190">
                  <c:v>46017</c:v>
                </c:pt>
                <c:pt idx="191">
                  <c:v>46020</c:v>
                </c:pt>
                <c:pt idx="192">
                  <c:v>46021</c:v>
                </c:pt>
                <c:pt idx="193">
                  <c:v>46022</c:v>
                </c:pt>
                <c:pt idx="194">
                  <c:v>46023</c:v>
                </c:pt>
                <c:pt idx="195">
                  <c:v>46024</c:v>
                </c:pt>
                <c:pt idx="196">
                  <c:v>46027</c:v>
                </c:pt>
                <c:pt idx="197">
                  <c:v>46028</c:v>
                </c:pt>
                <c:pt idx="198">
                  <c:v>46029</c:v>
                </c:pt>
                <c:pt idx="199">
                  <c:v>46030</c:v>
                </c:pt>
                <c:pt idx="200">
                  <c:v>46031</c:v>
                </c:pt>
                <c:pt idx="201">
                  <c:v>46034</c:v>
                </c:pt>
                <c:pt idx="202">
                  <c:v>46035</c:v>
                </c:pt>
                <c:pt idx="203">
                  <c:v>46036</c:v>
                </c:pt>
                <c:pt idx="204">
                  <c:v>46038</c:v>
                </c:pt>
                <c:pt idx="205">
                  <c:v>46041</c:v>
                </c:pt>
                <c:pt idx="206">
                  <c:v>46042</c:v>
                </c:pt>
                <c:pt idx="207">
                  <c:v>46043</c:v>
                </c:pt>
                <c:pt idx="208">
                  <c:v>46044</c:v>
                </c:pt>
                <c:pt idx="209">
                  <c:v>46045</c:v>
                </c:pt>
                <c:pt idx="210">
                  <c:v>46049</c:v>
                </c:pt>
                <c:pt idx="211">
                  <c:v>46050</c:v>
                </c:pt>
                <c:pt idx="212">
                  <c:v>46051</c:v>
                </c:pt>
                <c:pt idx="213">
                  <c:v>46052</c:v>
                </c:pt>
                <c:pt idx="214">
                  <c:v>46054</c:v>
                </c:pt>
                <c:pt idx="215">
                  <c:v>46055</c:v>
                </c:pt>
                <c:pt idx="216">
                  <c:v>46056</c:v>
                </c:pt>
                <c:pt idx="217">
                  <c:v>46057</c:v>
                </c:pt>
                <c:pt idx="218">
                  <c:v>46058</c:v>
                </c:pt>
                <c:pt idx="219">
                  <c:v>46059</c:v>
                </c:pt>
                <c:pt idx="220">
                  <c:v>46062</c:v>
                </c:pt>
                <c:pt idx="221">
                  <c:v>46063</c:v>
                </c:pt>
                <c:pt idx="222">
                  <c:v>46064</c:v>
                </c:pt>
                <c:pt idx="223">
                  <c:v>46065</c:v>
                </c:pt>
                <c:pt idx="224">
                  <c:v>46066</c:v>
                </c:pt>
                <c:pt idx="225">
                  <c:v>46069</c:v>
                </c:pt>
                <c:pt idx="226">
                  <c:v>46070</c:v>
                </c:pt>
                <c:pt idx="227">
                  <c:v>46071</c:v>
                </c:pt>
                <c:pt idx="228">
                  <c:v>46072</c:v>
                </c:pt>
                <c:pt idx="229">
                  <c:v>46073</c:v>
                </c:pt>
                <c:pt idx="230">
                  <c:v>46076</c:v>
                </c:pt>
                <c:pt idx="231">
                  <c:v>46077</c:v>
                </c:pt>
                <c:pt idx="232">
                  <c:v>46078</c:v>
                </c:pt>
                <c:pt idx="233">
                  <c:v>46079</c:v>
                </c:pt>
                <c:pt idx="234">
                  <c:v>46080</c:v>
                </c:pt>
                <c:pt idx="235">
                  <c:v>46083</c:v>
                </c:pt>
                <c:pt idx="236">
                  <c:v>46085</c:v>
                </c:pt>
                <c:pt idx="237">
                  <c:v>46086</c:v>
                </c:pt>
                <c:pt idx="238">
                  <c:v>46087</c:v>
                </c:pt>
                <c:pt idx="239">
                  <c:v>46090</c:v>
                </c:pt>
                <c:pt idx="240">
                  <c:v>46091</c:v>
                </c:pt>
                <c:pt idx="241">
                  <c:v>46092</c:v>
                </c:pt>
                <c:pt idx="242">
                  <c:v>46093</c:v>
                </c:pt>
                <c:pt idx="243">
                  <c:v>46094</c:v>
                </c:pt>
                <c:pt idx="244">
                  <c:v>46097</c:v>
                </c:pt>
                <c:pt idx="245">
                  <c:v>46098</c:v>
                </c:pt>
                <c:pt idx="246">
                  <c:v>46099</c:v>
                </c:pt>
                <c:pt idx="247">
                  <c:v>46100</c:v>
                </c:pt>
                <c:pt idx="248">
                  <c:v>46101</c:v>
                </c:pt>
              </c:numCache>
            </c:numRef>
          </c:cat>
          <c:val>
            <c:numRef>
              <c:f>Report!$C$27:$C$275</c:f>
              <c:numCache>
                <c:formatCode>#,##0.00</c:formatCode>
                <c:ptCount val="249"/>
                <c:pt idx="0">
                  <c:v>2242.4</c:v>
                </c:pt>
                <c:pt idx="1">
                  <c:v>2246.1999999999998</c:v>
                </c:pt>
                <c:pt idx="2">
                  <c:v>2256.1999999999998</c:v>
                </c:pt>
                <c:pt idx="3">
                  <c:v>2271.3000000000002</c:v>
                </c:pt>
                <c:pt idx="4">
                  <c:v>2245.9499999999998</c:v>
                </c:pt>
                <c:pt idx="5">
                  <c:v>2244.65</c:v>
                </c:pt>
                <c:pt idx="6">
                  <c:v>2258.85</c:v>
                </c:pt>
                <c:pt idx="7">
                  <c:v>2233.85</c:v>
                </c:pt>
                <c:pt idx="8">
                  <c:v>2237.9</c:v>
                </c:pt>
                <c:pt idx="9">
                  <c:v>2244.5500000000002</c:v>
                </c:pt>
                <c:pt idx="10">
                  <c:v>2244.5500000000002</c:v>
                </c:pt>
                <c:pt idx="11">
                  <c:v>2249.4</c:v>
                </c:pt>
                <c:pt idx="12">
                  <c:v>2289.25</c:v>
                </c:pt>
                <c:pt idx="13">
                  <c:v>2350</c:v>
                </c:pt>
                <c:pt idx="14">
                  <c:v>2366.15</c:v>
                </c:pt>
                <c:pt idx="15">
                  <c:v>2361.5</c:v>
                </c:pt>
                <c:pt idx="16">
                  <c:v>2366.6</c:v>
                </c:pt>
                <c:pt idx="17">
                  <c:v>2375</c:v>
                </c:pt>
                <c:pt idx="18">
                  <c:v>2351</c:v>
                </c:pt>
                <c:pt idx="19">
                  <c:v>2398.6999999999998</c:v>
                </c:pt>
                <c:pt idx="20">
                  <c:v>2423.8000000000002</c:v>
                </c:pt>
                <c:pt idx="21">
                  <c:v>2325.3000000000002</c:v>
                </c:pt>
                <c:pt idx="22">
                  <c:v>2332.1999999999998</c:v>
                </c:pt>
                <c:pt idx="23">
                  <c:v>2318.6</c:v>
                </c:pt>
                <c:pt idx="24">
                  <c:v>2321.6999999999998</c:v>
                </c:pt>
                <c:pt idx="25">
                  <c:v>2342.1</c:v>
                </c:pt>
                <c:pt idx="26">
                  <c:v>2323.9</c:v>
                </c:pt>
                <c:pt idx="27">
                  <c:v>2348.6</c:v>
                </c:pt>
                <c:pt idx="28">
                  <c:v>2381.8000000000002</c:v>
                </c:pt>
                <c:pt idx="29">
                  <c:v>2370.8000000000002</c:v>
                </c:pt>
                <c:pt idx="30">
                  <c:v>2354.9</c:v>
                </c:pt>
                <c:pt idx="31">
                  <c:v>2332.9</c:v>
                </c:pt>
                <c:pt idx="32">
                  <c:v>2382.5</c:v>
                </c:pt>
                <c:pt idx="33">
                  <c:v>2360</c:v>
                </c:pt>
                <c:pt idx="34">
                  <c:v>2350.5</c:v>
                </c:pt>
                <c:pt idx="35">
                  <c:v>2355.1999999999998</c:v>
                </c:pt>
                <c:pt idx="36">
                  <c:v>2381.4</c:v>
                </c:pt>
                <c:pt idx="37">
                  <c:v>2382.6999999999998</c:v>
                </c:pt>
                <c:pt idx="38">
                  <c:v>2341.1</c:v>
                </c:pt>
                <c:pt idx="39">
                  <c:v>2363.9</c:v>
                </c:pt>
                <c:pt idx="40">
                  <c:v>2330.6999999999998</c:v>
                </c:pt>
                <c:pt idx="41">
                  <c:v>2359.1999999999998</c:v>
                </c:pt>
                <c:pt idx="42">
                  <c:v>2394.1</c:v>
                </c:pt>
                <c:pt idx="43">
                  <c:v>2380.1999999999998</c:v>
                </c:pt>
                <c:pt idx="44">
                  <c:v>2362</c:v>
                </c:pt>
                <c:pt idx="45">
                  <c:v>2366.6999999999998</c:v>
                </c:pt>
                <c:pt idx="46">
                  <c:v>2348.3000000000002</c:v>
                </c:pt>
                <c:pt idx="47">
                  <c:v>2371.6</c:v>
                </c:pt>
                <c:pt idx="48">
                  <c:v>2352.3000000000002</c:v>
                </c:pt>
                <c:pt idx="49">
                  <c:v>2364.5</c:v>
                </c:pt>
                <c:pt idx="50">
                  <c:v>2376.4</c:v>
                </c:pt>
                <c:pt idx="51">
                  <c:v>2389.8000000000002</c:v>
                </c:pt>
                <c:pt idx="52">
                  <c:v>2393.1999999999998</c:v>
                </c:pt>
                <c:pt idx="53">
                  <c:v>2395.1999999999998</c:v>
                </c:pt>
                <c:pt idx="54">
                  <c:v>2376.4</c:v>
                </c:pt>
                <c:pt idx="55">
                  <c:v>2332.6999999999998</c:v>
                </c:pt>
                <c:pt idx="56">
                  <c:v>2319</c:v>
                </c:pt>
                <c:pt idx="57">
                  <c:v>2327.4</c:v>
                </c:pt>
                <c:pt idx="58">
                  <c:v>2328.6</c:v>
                </c:pt>
                <c:pt idx="59">
                  <c:v>2297.3000000000002</c:v>
                </c:pt>
                <c:pt idx="60">
                  <c:v>2294.1999999999998</c:v>
                </c:pt>
                <c:pt idx="61">
                  <c:v>2306.1999999999998</c:v>
                </c:pt>
                <c:pt idx="62">
                  <c:v>2275.1</c:v>
                </c:pt>
                <c:pt idx="63">
                  <c:v>2263.1</c:v>
                </c:pt>
                <c:pt idx="64">
                  <c:v>2278.6999999999998</c:v>
                </c:pt>
                <c:pt idx="65">
                  <c:v>2280.8000000000002</c:v>
                </c:pt>
                <c:pt idx="66">
                  <c:v>2306.9</c:v>
                </c:pt>
                <c:pt idx="67">
                  <c:v>2294.6</c:v>
                </c:pt>
                <c:pt idx="68">
                  <c:v>2295.5</c:v>
                </c:pt>
                <c:pt idx="69">
                  <c:v>2307.1</c:v>
                </c:pt>
                <c:pt idx="70">
                  <c:v>2313.4</c:v>
                </c:pt>
                <c:pt idx="71">
                  <c:v>2339.3000000000002</c:v>
                </c:pt>
                <c:pt idx="72">
                  <c:v>2410.4</c:v>
                </c:pt>
                <c:pt idx="73">
                  <c:v>2392.6999999999998</c:v>
                </c:pt>
                <c:pt idx="74">
                  <c:v>2423.4</c:v>
                </c:pt>
                <c:pt idx="75">
                  <c:v>2408.4</c:v>
                </c:pt>
                <c:pt idx="76">
                  <c:v>2519.6</c:v>
                </c:pt>
                <c:pt idx="77">
                  <c:v>2516.6</c:v>
                </c:pt>
                <c:pt idx="78">
                  <c:v>2526.9</c:v>
                </c:pt>
                <c:pt idx="79">
                  <c:v>2517.6</c:v>
                </c:pt>
                <c:pt idx="80">
                  <c:v>2509.8000000000002</c:v>
                </c:pt>
                <c:pt idx="81">
                  <c:v>2489.6</c:v>
                </c:pt>
                <c:pt idx="82">
                  <c:v>2464.9</c:v>
                </c:pt>
                <c:pt idx="83">
                  <c:v>2479.6999999999998</c:v>
                </c:pt>
                <c:pt idx="84">
                  <c:v>2450.4</c:v>
                </c:pt>
                <c:pt idx="85">
                  <c:v>2437.8000000000002</c:v>
                </c:pt>
                <c:pt idx="86">
                  <c:v>2415.4</c:v>
                </c:pt>
                <c:pt idx="87">
                  <c:v>2441.6</c:v>
                </c:pt>
                <c:pt idx="88">
                  <c:v>2453.6</c:v>
                </c:pt>
                <c:pt idx="89">
                  <c:v>2437.4</c:v>
                </c:pt>
                <c:pt idx="90">
                  <c:v>2521.1999999999998</c:v>
                </c:pt>
                <c:pt idx="91">
                  <c:v>2553.6999999999998</c:v>
                </c:pt>
                <c:pt idx="92">
                  <c:v>2543.6999999999998</c:v>
                </c:pt>
                <c:pt idx="93">
                  <c:v>2534.6999999999998</c:v>
                </c:pt>
                <c:pt idx="94">
                  <c:v>2535.6</c:v>
                </c:pt>
                <c:pt idx="95">
                  <c:v>2517.5</c:v>
                </c:pt>
                <c:pt idx="96">
                  <c:v>2498.6</c:v>
                </c:pt>
                <c:pt idx="97">
                  <c:v>2518.4</c:v>
                </c:pt>
                <c:pt idx="98">
                  <c:v>2483.8000000000002</c:v>
                </c:pt>
                <c:pt idx="99">
                  <c:v>2495.1</c:v>
                </c:pt>
                <c:pt idx="100">
                  <c:v>2480.6</c:v>
                </c:pt>
                <c:pt idx="101">
                  <c:v>2568.1</c:v>
                </c:pt>
                <c:pt idx="102">
                  <c:v>2604.8000000000002</c:v>
                </c:pt>
                <c:pt idx="103">
                  <c:v>2669.8</c:v>
                </c:pt>
                <c:pt idx="104">
                  <c:v>2648</c:v>
                </c:pt>
                <c:pt idx="105">
                  <c:v>2629.9</c:v>
                </c:pt>
                <c:pt idx="106">
                  <c:v>2631.6</c:v>
                </c:pt>
                <c:pt idx="107">
                  <c:v>2692.6</c:v>
                </c:pt>
                <c:pt idx="108">
                  <c:v>2654.4</c:v>
                </c:pt>
                <c:pt idx="109">
                  <c:v>2659.8</c:v>
                </c:pt>
                <c:pt idx="110">
                  <c:v>2649.5</c:v>
                </c:pt>
                <c:pt idx="111">
                  <c:v>2677</c:v>
                </c:pt>
                <c:pt idx="112">
                  <c:v>2664.7</c:v>
                </c:pt>
                <c:pt idx="113">
                  <c:v>2666.6</c:v>
                </c:pt>
                <c:pt idx="114">
                  <c:v>2633.4</c:v>
                </c:pt>
                <c:pt idx="115">
                  <c:v>2623.9</c:v>
                </c:pt>
                <c:pt idx="116">
                  <c:v>2642</c:v>
                </c:pt>
                <c:pt idx="117">
                  <c:v>2643.5</c:v>
                </c:pt>
                <c:pt idx="118">
                  <c:v>2622</c:v>
                </c:pt>
                <c:pt idx="119">
                  <c:v>2580.5</c:v>
                </c:pt>
                <c:pt idx="120">
                  <c:v>2581</c:v>
                </c:pt>
                <c:pt idx="121">
                  <c:v>2580.9</c:v>
                </c:pt>
                <c:pt idx="122">
                  <c:v>2569.6999999999998</c:v>
                </c:pt>
                <c:pt idx="123">
                  <c:v>2586.8000000000002</c:v>
                </c:pt>
                <c:pt idx="124">
                  <c:v>2559.6</c:v>
                </c:pt>
                <c:pt idx="125">
                  <c:v>2572.1999999999998</c:v>
                </c:pt>
                <c:pt idx="126">
                  <c:v>2522.1999999999998</c:v>
                </c:pt>
                <c:pt idx="127">
                  <c:v>2549.5</c:v>
                </c:pt>
                <c:pt idx="128">
                  <c:v>2538.3000000000002</c:v>
                </c:pt>
                <c:pt idx="129">
                  <c:v>2511.8000000000002</c:v>
                </c:pt>
                <c:pt idx="130">
                  <c:v>2497.9</c:v>
                </c:pt>
                <c:pt idx="131">
                  <c:v>2514.4</c:v>
                </c:pt>
                <c:pt idx="132">
                  <c:v>2536.1999999999998</c:v>
                </c:pt>
                <c:pt idx="133">
                  <c:v>2544.9</c:v>
                </c:pt>
                <c:pt idx="134">
                  <c:v>2541.8000000000002</c:v>
                </c:pt>
                <c:pt idx="135">
                  <c:v>2517.1999999999998</c:v>
                </c:pt>
                <c:pt idx="136">
                  <c:v>2500.1</c:v>
                </c:pt>
                <c:pt idx="137">
                  <c:v>2517.6</c:v>
                </c:pt>
                <c:pt idx="138">
                  <c:v>2528.9</c:v>
                </c:pt>
                <c:pt idx="139">
                  <c:v>2492.8000000000002</c:v>
                </c:pt>
                <c:pt idx="140">
                  <c:v>2502.3000000000002</c:v>
                </c:pt>
                <c:pt idx="141">
                  <c:v>2519</c:v>
                </c:pt>
                <c:pt idx="142">
                  <c:v>2561.5</c:v>
                </c:pt>
                <c:pt idx="143">
                  <c:v>2603.6999999999998</c:v>
                </c:pt>
                <c:pt idx="144">
                  <c:v>2594.4</c:v>
                </c:pt>
                <c:pt idx="145">
                  <c:v>2591.6999999999998</c:v>
                </c:pt>
                <c:pt idx="146">
                  <c:v>2601.6</c:v>
                </c:pt>
                <c:pt idx="147">
                  <c:v>2516.4</c:v>
                </c:pt>
                <c:pt idx="148">
                  <c:v>2511.8000000000002</c:v>
                </c:pt>
                <c:pt idx="149">
                  <c:v>2497.1</c:v>
                </c:pt>
                <c:pt idx="150">
                  <c:v>2488.1</c:v>
                </c:pt>
                <c:pt idx="151">
                  <c:v>2469.6</c:v>
                </c:pt>
                <c:pt idx="152">
                  <c:v>2465.5</c:v>
                </c:pt>
                <c:pt idx="153">
                  <c:v>2460</c:v>
                </c:pt>
                <c:pt idx="154">
                  <c:v>2445.6999999999998</c:v>
                </c:pt>
                <c:pt idx="155">
                  <c:v>2436</c:v>
                </c:pt>
                <c:pt idx="156">
                  <c:v>2414</c:v>
                </c:pt>
                <c:pt idx="157">
                  <c:v>2408.8000000000002</c:v>
                </c:pt>
                <c:pt idx="158">
                  <c:v>2427.5</c:v>
                </c:pt>
                <c:pt idx="159">
                  <c:v>2424.5</c:v>
                </c:pt>
                <c:pt idx="160">
                  <c:v>2407.6</c:v>
                </c:pt>
                <c:pt idx="161">
                  <c:v>2427.6999999999998</c:v>
                </c:pt>
                <c:pt idx="162">
                  <c:v>2425</c:v>
                </c:pt>
                <c:pt idx="163">
                  <c:v>2404</c:v>
                </c:pt>
                <c:pt idx="164">
                  <c:v>2441.6</c:v>
                </c:pt>
                <c:pt idx="165">
                  <c:v>2428.4</c:v>
                </c:pt>
                <c:pt idx="166">
                  <c:v>2433.6999999999998</c:v>
                </c:pt>
                <c:pt idx="167">
                  <c:v>2424.1999999999998</c:v>
                </c:pt>
                <c:pt idx="168">
                  <c:v>2414.1</c:v>
                </c:pt>
                <c:pt idx="169">
                  <c:v>2425.1999999999998</c:v>
                </c:pt>
                <c:pt idx="170">
                  <c:v>2451.6999999999998</c:v>
                </c:pt>
                <c:pt idx="171">
                  <c:v>2426.33</c:v>
                </c:pt>
                <c:pt idx="172">
                  <c:v>2424.2600000000002</c:v>
                </c:pt>
                <c:pt idx="173">
                  <c:v>2437.34</c:v>
                </c:pt>
                <c:pt idx="174">
                  <c:v>2408.0300000000002</c:v>
                </c:pt>
                <c:pt idx="175">
                  <c:v>2422</c:v>
                </c:pt>
                <c:pt idx="176">
                  <c:v>2338.6</c:v>
                </c:pt>
                <c:pt idx="177">
                  <c:v>2314</c:v>
                </c:pt>
                <c:pt idx="178">
                  <c:v>2306.5</c:v>
                </c:pt>
                <c:pt idx="179">
                  <c:v>2301.6999999999998</c:v>
                </c:pt>
                <c:pt idx="180">
                  <c:v>2305.6</c:v>
                </c:pt>
                <c:pt idx="181">
                  <c:v>2260.6</c:v>
                </c:pt>
                <c:pt idx="182">
                  <c:v>2293.5</c:v>
                </c:pt>
                <c:pt idx="183">
                  <c:v>2281.1</c:v>
                </c:pt>
                <c:pt idx="184">
                  <c:v>2275.6</c:v>
                </c:pt>
                <c:pt idx="185">
                  <c:v>2265.5</c:v>
                </c:pt>
                <c:pt idx="186">
                  <c:v>2280</c:v>
                </c:pt>
                <c:pt idx="187">
                  <c:v>2289.5</c:v>
                </c:pt>
                <c:pt idx="188">
                  <c:v>2302.6</c:v>
                </c:pt>
                <c:pt idx="189">
                  <c:v>2282.1999999999998</c:v>
                </c:pt>
                <c:pt idx="190">
                  <c:v>2285.4</c:v>
                </c:pt>
                <c:pt idx="191">
                  <c:v>2293.3000000000002</c:v>
                </c:pt>
                <c:pt idx="192">
                  <c:v>2290.1999999999998</c:v>
                </c:pt>
                <c:pt idx="193">
                  <c:v>2315.9</c:v>
                </c:pt>
                <c:pt idx="194">
                  <c:v>2323</c:v>
                </c:pt>
                <c:pt idx="195">
                  <c:v>2348</c:v>
                </c:pt>
                <c:pt idx="196">
                  <c:v>2384.1</c:v>
                </c:pt>
                <c:pt idx="197">
                  <c:v>2424.6999999999998</c:v>
                </c:pt>
                <c:pt idx="198">
                  <c:v>2399.4</c:v>
                </c:pt>
                <c:pt idx="199">
                  <c:v>2386.6999999999998</c:v>
                </c:pt>
                <c:pt idx="200">
                  <c:v>2372.6</c:v>
                </c:pt>
                <c:pt idx="201">
                  <c:v>2406.1999999999998</c:v>
                </c:pt>
                <c:pt idx="202">
                  <c:v>2389.5</c:v>
                </c:pt>
                <c:pt idx="203">
                  <c:v>2353.5</c:v>
                </c:pt>
                <c:pt idx="204">
                  <c:v>2360.4</c:v>
                </c:pt>
                <c:pt idx="205">
                  <c:v>2413.9</c:v>
                </c:pt>
                <c:pt idx="206">
                  <c:v>2379.1</c:v>
                </c:pt>
                <c:pt idx="207">
                  <c:v>2368</c:v>
                </c:pt>
                <c:pt idx="208">
                  <c:v>2390.6</c:v>
                </c:pt>
                <c:pt idx="209">
                  <c:v>2409.5</c:v>
                </c:pt>
                <c:pt idx="210">
                  <c:v>2400.9</c:v>
                </c:pt>
                <c:pt idx="211">
                  <c:v>2378.4</c:v>
                </c:pt>
                <c:pt idx="212">
                  <c:v>2352.6</c:v>
                </c:pt>
                <c:pt idx="213">
                  <c:v>2373</c:v>
                </c:pt>
                <c:pt idx="214">
                  <c:v>2350.6999999999998</c:v>
                </c:pt>
                <c:pt idx="215">
                  <c:v>2357.3000000000002</c:v>
                </c:pt>
                <c:pt idx="216">
                  <c:v>2368.6</c:v>
                </c:pt>
                <c:pt idx="217">
                  <c:v>2371</c:v>
                </c:pt>
                <c:pt idx="218">
                  <c:v>2354.4</c:v>
                </c:pt>
                <c:pt idx="219">
                  <c:v>2424.1999999999998</c:v>
                </c:pt>
                <c:pt idx="220">
                  <c:v>2435</c:v>
                </c:pt>
                <c:pt idx="221">
                  <c:v>2453.6</c:v>
                </c:pt>
                <c:pt idx="222">
                  <c:v>2462.9</c:v>
                </c:pt>
                <c:pt idx="223">
                  <c:v>2409.6999999999998</c:v>
                </c:pt>
                <c:pt idx="224">
                  <c:v>2305.1999999999998</c:v>
                </c:pt>
                <c:pt idx="225">
                  <c:v>2319</c:v>
                </c:pt>
                <c:pt idx="226">
                  <c:v>2312.3000000000002</c:v>
                </c:pt>
                <c:pt idx="227">
                  <c:v>2323.5</c:v>
                </c:pt>
                <c:pt idx="228">
                  <c:v>2279.3000000000002</c:v>
                </c:pt>
                <c:pt idx="229">
                  <c:v>2314.5</c:v>
                </c:pt>
                <c:pt idx="230">
                  <c:v>2345.4</c:v>
                </c:pt>
                <c:pt idx="231">
                  <c:v>2358.6</c:v>
                </c:pt>
                <c:pt idx="232">
                  <c:v>2374.9</c:v>
                </c:pt>
                <c:pt idx="233">
                  <c:v>2383.3000000000002</c:v>
                </c:pt>
                <c:pt idx="234">
                  <c:v>2338.1</c:v>
                </c:pt>
                <c:pt idx="235">
                  <c:v>2320.6</c:v>
                </c:pt>
                <c:pt idx="236">
                  <c:v>2261.3000000000002</c:v>
                </c:pt>
                <c:pt idx="237">
                  <c:v>2255</c:v>
                </c:pt>
                <c:pt idx="238">
                  <c:v>2225.6999999999998</c:v>
                </c:pt>
                <c:pt idx="239">
                  <c:v>2194.6</c:v>
                </c:pt>
                <c:pt idx="240">
                  <c:v>2190.1999999999998</c:v>
                </c:pt>
                <c:pt idx="241">
                  <c:v>2161.4</c:v>
                </c:pt>
                <c:pt idx="242">
                  <c:v>2136.9</c:v>
                </c:pt>
                <c:pt idx="243">
                  <c:v>2160</c:v>
                </c:pt>
                <c:pt idx="244">
                  <c:v>2175.6999999999998</c:v>
                </c:pt>
                <c:pt idx="245">
                  <c:v>2158.1999999999998</c:v>
                </c:pt>
                <c:pt idx="246">
                  <c:v>2135.3000000000002</c:v>
                </c:pt>
                <c:pt idx="247">
                  <c:v>2077.3000000000002</c:v>
                </c:pt>
                <c:pt idx="248">
                  <c:v>2078.1</c:v>
                </c:pt>
              </c:numCache>
            </c:numRef>
          </c:val>
          <c:smooth val="0"/>
          <c:extLst>
            <c:ext xmlns:c16="http://schemas.microsoft.com/office/drawing/2014/chart" uri="{C3380CC4-5D6E-409C-BE32-E72D297353CC}">
              <c16:uniqueId val="{00000000-F073-4835-B998-721E87A351DF}"/>
            </c:ext>
          </c:extLst>
        </c:ser>
        <c:dLbls>
          <c:showLegendKey val="0"/>
          <c:showVal val="0"/>
          <c:showCatName val="0"/>
          <c:showSerName val="0"/>
          <c:showPercent val="0"/>
          <c:showBubbleSize val="0"/>
        </c:dLbls>
        <c:smooth val="0"/>
        <c:axId val="1005969584"/>
        <c:axId val="1005979664"/>
      </c:lineChart>
      <c:dateAx>
        <c:axId val="1005969584"/>
        <c:scaling>
          <c:orientation val="minMax"/>
        </c:scaling>
        <c:delete val="0"/>
        <c:axPos val="b"/>
        <c:numFmt formatCode="mm/yy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005979664"/>
        <c:crosses val="autoZero"/>
        <c:auto val="0"/>
        <c:lblOffset val="100"/>
        <c:baseTimeUnit val="days"/>
      </c:dateAx>
      <c:valAx>
        <c:axId val="1005979664"/>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5969584"/>
        <c:crosses val="autoZero"/>
        <c:crossBetween val="between"/>
        <c:majorUnit val="500"/>
        <c:minorUnit val="10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Location</a:t>
            </a:r>
            <a:r>
              <a:rPr lang="en-IN" baseline="0">
                <a:solidFill>
                  <a:schemeClr val="tx1"/>
                </a:solidFill>
              </a:rPr>
              <a:t> - Wise Break up </a:t>
            </a:r>
            <a:endParaRPr lang="en-IN">
              <a:solidFill>
                <a:schemeClr val="tx1"/>
              </a:solidFill>
            </a:endParaRPr>
          </a:p>
        </c:rich>
      </c:tx>
      <c:overlay val="0"/>
      <c:spPr>
        <a:noFill/>
        <a:ln>
          <a:noFill/>
        </a:ln>
        <a:effectLst/>
      </c:spPr>
    </c:title>
    <c:autoTitleDeleted val="0"/>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CF14-44A4-867D-249764F9D88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CF14-44A4-867D-249764F9D88A}"/>
              </c:ext>
            </c:extLst>
          </c:dPt>
          <c:dLbls>
            <c:dLbl>
              <c:idx val="0"/>
              <c:layout>
                <c:manualLayout>
                  <c:x val="5.5555555555555558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14-44A4-867D-249764F9D88A}"/>
                </c:ext>
              </c:extLst>
            </c:dLbl>
            <c:dLbl>
              <c:idx val="1"/>
              <c:layout>
                <c:manualLayout>
                  <c:x val="2.7777777777778286E-3"/>
                  <c:y val="-7.4074074074074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14-44A4-867D-249764F9D8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Report!$B$283:$B$284</c:f>
              <c:strCache>
                <c:ptCount val="2"/>
                <c:pt idx="0">
                  <c:v>India </c:v>
                </c:pt>
                <c:pt idx="1">
                  <c:v>Rest of the World</c:v>
                </c:pt>
              </c:strCache>
            </c:strRef>
          </c:cat>
          <c:val>
            <c:numRef>
              <c:f>Report!$C$283:$C$284</c:f>
              <c:numCache>
                <c:formatCode>0.0%</c:formatCode>
                <c:ptCount val="2"/>
                <c:pt idx="0">
                  <c:v>0.95899999999999996</c:v>
                </c:pt>
                <c:pt idx="1">
                  <c:v>4.1000000000000002E-2</c:v>
                </c:pt>
              </c:numCache>
            </c:numRef>
          </c:val>
          <c:extLst>
            <c:ext xmlns:c16="http://schemas.microsoft.com/office/drawing/2014/chart" uri="{C3380CC4-5D6E-409C-BE32-E72D297353CC}">
              <c16:uniqueId val="{00000000-CF14-44A4-867D-249764F9D88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Report!$B$304</c:f>
              <c:strCache>
                <c:ptCount val="1"/>
                <c:pt idx="0">
                  <c:v>World</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Report!$C$303:$E$303</c:f>
              <c:numCache>
                <c:formatCode>General</c:formatCode>
                <c:ptCount val="3"/>
                <c:pt idx="0">
                  <c:v>2025</c:v>
                </c:pt>
                <c:pt idx="1">
                  <c:v>2026</c:v>
                </c:pt>
                <c:pt idx="2">
                  <c:v>2027</c:v>
                </c:pt>
              </c:numCache>
            </c:numRef>
          </c:cat>
          <c:val>
            <c:numRef>
              <c:f>Report!$C$304:$E$304</c:f>
              <c:numCache>
                <c:formatCode>0.0%</c:formatCode>
                <c:ptCount val="3"/>
                <c:pt idx="0">
                  <c:v>2.8000000000000001E-2</c:v>
                </c:pt>
                <c:pt idx="1">
                  <c:v>3.3000000000000002E-2</c:v>
                </c:pt>
                <c:pt idx="2">
                  <c:v>3.2000000000000001E-2</c:v>
                </c:pt>
              </c:numCache>
            </c:numRef>
          </c:val>
          <c:extLst>
            <c:ext xmlns:c16="http://schemas.microsoft.com/office/drawing/2014/chart" uri="{C3380CC4-5D6E-409C-BE32-E72D297353CC}">
              <c16:uniqueId val="{00000000-0692-4815-AD86-639839E2E848}"/>
            </c:ext>
          </c:extLst>
        </c:ser>
        <c:ser>
          <c:idx val="1"/>
          <c:order val="1"/>
          <c:tx>
            <c:strRef>
              <c:f>Report!$B$305</c:f>
              <c:strCache>
                <c:ptCount val="1"/>
                <c:pt idx="0">
                  <c:v>United States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Report!$C$303:$E$303</c:f>
              <c:numCache>
                <c:formatCode>General</c:formatCode>
                <c:ptCount val="3"/>
                <c:pt idx="0">
                  <c:v>2025</c:v>
                </c:pt>
                <c:pt idx="1">
                  <c:v>2026</c:v>
                </c:pt>
                <c:pt idx="2">
                  <c:v>2027</c:v>
                </c:pt>
              </c:numCache>
            </c:numRef>
          </c:cat>
          <c:val>
            <c:numRef>
              <c:f>Report!$C$305:$E$305</c:f>
              <c:numCache>
                <c:formatCode>0.0%</c:formatCode>
                <c:ptCount val="3"/>
                <c:pt idx="0">
                  <c:v>2.1000000000000001E-2</c:v>
                </c:pt>
                <c:pt idx="1">
                  <c:v>2.4E-2</c:v>
                </c:pt>
                <c:pt idx="2">
                  <c:v>0.02</c:v>
                </c:pt>
              </c:numCache>
            </c:numRef>
          </c:val>
          <c:extLst>
            <c:ext xmlns:c16="http://schemas.microsoft.com/office/drawing/2014/chart" uri="{C3380CC4-5D6E-409C-BE32-E72D297353CC}">
              <c16:uniqueId val="{00000001-0692-4815-AD86-639839E2E848}"/>
            </c:ext>
          </c:extLst>
        </c:ser>
        <c:ser>
          <c:idx val="2"/>
          <c:order val="2"/>
          <c:tx>
            <c:strRef>
              <c:f>Report!$B$306</c:f>
              <c:strCache>
                <c:ptCount val="1"/>
                <c:pt idx="0">
                  <c:v>India</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Report!$C$303:$E$303</c:f>
              <c:numCache>
                <c:formatCode>General</c:formatCode>
                <c:ptCount val="3"/>
                <c:pt idx="0">
                  <c:v>2025</c:v>
                </c:pt>
                <c:pt idx="1">
                  <c:v>2026</c:v>
                </c:pt>
                <c:pt idx="2">
                  <c:v>2027</c:v>
                </c:pt>
              </c:numCache>
            </c:numRef>
          </c:cat>
          <c:val>
            <c:numRef>
              <c:f>Report!$C$306:$E$306</c:f>
              <c:numCache>
                <c:formatCode>0.0%</c:formatCode>
                <c:ptCount val="3"/>
                <c:pt idx="0">
                  <c:v>7.4999999999999997E-2</c:v>
                </c:pt>
                <c:pt idx="1">
                  <c:v>6.4000000000000001E-2</c:v>
                </c:pt>
                <c:pt idx="2">
                  <c:v>6.4000000000000001E-2</c:v>
                </c:pt>
              </c:numCache>
            </c:numRef>
          </c:val>
          <c:extLst>
            <c:ext xmlns:c16="http://schemas.microsoft.com/office/drawing/2014/chart" uri="{C3380CC4-5D6E-409C-BE32-E72D297353CC}">
              <c16:uniqueId val="{00000002-0692-4815-AD86-639839E2E848}"/>
            </c:ext>
          </c:extLst>
        </c:ser>
        <c:dLbls>
          <c:dLblPos val="outEnd"/>
          <c:showLegendKey val="0"/>
          <c:showVal val="1"/>
          <c:showCatName val="0"/>
          <c:showSerName val="0"/>
          <c:showPercent val="0"/>
          <c:showBubbleSize val="0"/>
        </c:dLbls>
        <c:gapWidth val="182"/>
        <c:axId val="131649392"/>
        <c:axId val="131649872"/>
      </c:barChart>
      <c:catAx>
        <c:axId val="13164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9872"/>
        <c:crosses val="autoZero"/>
        <c:auto val="1"/>
        <c:lblAlgn val="ctr"/>
        <c:lblOffset val="100"/>
        <c:noMultiLvlLbl val="0"/>
      </c:catAx>
      <c:valAx>
        <c:axId val="131649872"/>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Report!$B$328</c:f>
              <c:strCache>
                <c:ptCount val="1"/>
                <c:pt idx="0">
                  <c:v>Revenue From Operations</c:v>
                </c:pt>
              </c:strCache>
            </c:strRef>
          </c:tx>
          <c:spPr>
            <a:solidFill>
              <a:schemeClr val="accent1">
                <a:shade val="76000"/>
              </a:schemeClr>
            </a:solidFill>
            <a:ln>
              <a:noFill/>
            </a:ln>
            <a:effectLst/>
          </c:spPr>
          <c:invertIfNegative val="0"/>
          <c:cat>
            <c:numRef>
              <c:f>Report!$C$327:$R$327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Report!$C$328:$R$328</c:f>
              <c:numCache>
                <c:formatCode>0</c:formatCode>
                <c:ptCount val="16"/>
                <c:pt idx="0">
                  <c:v>39783</c:v>
                </c:pt>
                <c:pt idx="1">
                  <c:v>47028</c:v>
                </c:pt>
                <c:pt idx="2">
                  <c:v>52446</c:v>
                </c:pt>
                <c:pt idx="3">
                  <c:v>60590</c:v>
                </c:pt>
                <c:pt idx="4">
                  <c:v>61836</c:v>
                </c:pt>
                <c:pt idx="5">
                  <c:v>63121</c:v>
                </c:pt>
                <c:pt idx="6">
                  <c:v>68610.580000000016</c:v>
                </c:pt>
                <c:pt idx="7">
                  <c:v>74637.470400000006</c:v>
                </c:pt>
                <c:pt idx="8">
                  <c:v>81258.607912000007</c:v>
                </c:pt>
                <c:pt idx="9">
                  <c:v>88537.282247160038</c:v>
                </c:pt>
                <c:pt idx="10">
                  <c:v>96543.868598924819</c:v>
                </c:pt>
                <c:pt idx="11">
                  <c:v>105356.64638480304</c:v>
                </c:pt>
                <c:pt idx="12">
                  <c:v>114845.76623983758</c:v>
                </c:pt>
                <c:pt idx="13">
                  <c:v>124596.8134866242</c:v>
                </c:pt>
                <c:pt idx="14">
                  <c:v>134538.36988544796</c:v>
                </c:pt>
                <c:pt idx="15">
                  <c:v>144600.84860186314</c:v>
                </c:pt>
              </c:numCache>
            </c:numRef>
          </c:val>
          <c:extLst>
            <c:ext xmlns:c16="http://schemas.microsoft.com/office/drawing/2014/chart" uri="{C3380CC4-5D6E-409C-BE32-E72D297353CC}">
              <c16:uniqueId val="{00000000-2818-47CA-A99F-6DE5E7F9D08E}"/>
            </c:ext>
          </c:extLst>
        </c:ser>
        <c:dLbls>
          <c:showLegendKey val="0"/>
          <c:showVal val="0"/>
          <c:showCatName val="0"/>
          <c:showSerName val="0"/>
          <c:showPercent val="0"/>
          <c:showBubbleSize val="0"/>
        </c:dLbls>
        <c:gapWidth val="219"/>
        <c:overlap val="-27"/>
        <c:axId val="742811119"/>
        <c:axId val="742815439"/>
      </c:barChart>
      <c:lineChart>
        <c:grouping val="standard"/>
        <c:varyColors val="0"/>
        <c:ser>
          <c:idx val="1"/>
          <c:order val="1"/>
          <c:tx>
            <c:strRef>
              <c:f>Report!$B$329</c:f>
              <c:strCache>
                <c:ptCount val="1"/>
                <c:pt idx="0">
                  <c:v>Revenue Yoy% Growth</c:v>
                </c:pt>
              </c:strCache>
            </c:strRef>
          </c:tx>
          <c:spPr>
            <a:ln w="28575" cap="rnd">
              <a:solidFill>
                <a:schemeClr val="bg1">
                  <a:lumMod val="65000"/>
                </a:schemeClr>
              </a:solidFill>
              <a:round/>
            </a:ln>
            <a:effectLst/>
          </c:spPr>
          <c:marker>
            <c:symbol val="circle"/>
            <c:size val="5"/>
            <c:spPr>
              <a:solidFill>
                <a:schemeClr val="bg1"/>
              </a:solidFill>
              <a:ln w="9525">
                <a:solidFill>
                  <a:schemeClr val="bg1">
                    <a:lumMod val="65000"/>
                  </a:schemeClr>
                </a:solidFill>
              </a:ln>
              <a:effectLst/>
            </c:spPr>
          </c:marker>
          <c:dLbls>
            <c:dLbl>
              <c:idx val="6"/>
              <c:layout>
                <c:manualLayout>
                  <c:x val="-5.0089439558660763E-2"/>
                  <c:y val="-4.9382716049382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18-47CA-A99F-6DE5E7F9D08E}"/>
                </c:ext>
              </c:extLst>
            </c:dLbl>
            <c:dLbl>
              <c:idx val="7"/>
              <c:layout>
                <c:manualLayout>
                  <c:x val="-3.339295970577391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18-47CA-A99F-6DE5E7F9D08E}"/>
                </c:ext>
              </c:extLst>
            </c:dLbl>
            <c:dLbl>
              <c:idx val="8"/>
              <c:layout>
                <c:manualLayout>
                  <c:x val="-2.7131779760941249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18-47CA-A99F-6DE5E7F9D08E}"/>
                </c:ext>
              </c:extLst>
            </c:dLbl>
            <c:dLbl>
              <c:idx val="9"/>
              <c:layout>
                <c:manualLayout>
                  <c:x val="-8.3482399264434605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18-47CA-A99F-6DE5E7F9D08E}"/>
                </c:ext>
              </c:extLst>
            </c:dLbl>
            <c:dLbl>
              <c:idx val="10"/>
              <c:layout>
                <c:manualLayout>
                  <c:x val="-1.0435299908054326E-2"/>
                  <c:y val="4.93827160493827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18-47CA-A99F-6DE5E7F9D08E}"/>
                </c:ext>
              </c:extLst>
            </c:dLbl>
            <c:dLbl>
              <c:idx val="11"/>
              <c:layout>
                <c:manualLayout>
                  <c:x val="-2.0870599816108651E-3"/>
                  <c:y val="5.2469135802469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18-47CA-A99F-6DE5E7F9D08E}"/>
                </c:ext>
              </c:extLst>
            </c:dLbl>
            <c:dLbl>
              <c:idx val="12"/>
              <c:layout>
                <c:manualLayout>
                  <c:x val="-2.0870599816108651E-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18-47CA-A99F-6DE5E7F9D08E}"/>
                </c:ext>
              </c:extLst>
            </c:dLbl>
            <c:dLbl>
              <c:idx val="13"/>
              <c:layout>
                <c:manualLayout>
                  <c:x val="-2.0870599816110182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18-47CA-A99F-6DE5E7F9D08E}"/>
                </c:ext>
              </c:extLst>
            </c:dLbl>
            <c:dLbl>
              <c:idx val="14"/>
              <c:layout>
                <c:manualLayout>
                  <c:x val="-2.0870599816108651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818-47CA-A99F-6DE5E7F9D0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Report!$C$327:$R$327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Report!$C$329:$R$329</c:f>
              <c:numCache>
                <c:formatCode>0.0%</c:formatCode>
                <c:ptCount val="16"/>
                <c:pt idx="0">
                  <c:v>1.2032561689137689E-2</c:v>
                </c:pt>
                <c:pt idx="1">
                  <c:v>0.18211296282331646</c:v>
                </c:pt>
                <c:pt idx="2">
                  <c:v>0.11520796121459553</c:v>
                </c:pt>
                <c:pt idx="3">
                  <c:v>0.15509285741524614</c:v>
                </c:pt>
                <c:pt idx="4">
                  <c:v>2.1723341036645749E-2</c:v>
                </c:pt>
                <c:pt idx="5">
                  <c:v>1.9791262763344974E-2</c:v>
                </c:pt>
                <c:pt idx="6">
                  <c:v>8.6969154481076227E-2</c:v>
                </c:pt>
                <c:pt idx="7">
                  <c:v>8.7841997546150852E-2</c:v>
                </c:pt>
                <c:pt idx="8">
                  <c:v>8.8710636581273983E-2</c:v>
                </c:pt>
                <c:pt idx="9">
                  <c:v>8.9574194318496891E-2</c:v>
                </c:pt>
                <c:pt idx="10">
                  <c:v>9.0431806223887135E-2</c:v>
                </c:pt>
                <c:pt idx="11">
                  <c:v>9.1282625336772227E-2</c:v>
                </c:pt>
                <c:pt idx="12">
                  <c:v>9.0066646772113623E-2</c:v>
                </c:pt>
                <c:pt idx="13">
                  <c:v>8.4905587433001806E-2</c:v>
                </c:pt>
                <c:pt idx="14">
                  <c:v>7.9789812601355203E-2</c:v>
                </c:pt>
                <c:pt idx="15">
                  <c:v>7.479263146255466E-2</c:v>
                </c:pt>
              </c:numCache>
            </c:numRef>
          </c:val>
          <c:smooth val="1"/>
          <c:extLst>
            <c:ext xmlns:c16="http://schemas.microsoft.com/office/drawing/2014/chart" uri="{C3380CC4-5D6E-409C-BE32-E72D297353CC}">
              <c16:uniqueId val="{00000001-2818-47CA-A99F-6DE5E7F9D08E}"/>
            </c:ext>
          </c:extLst>
        </c:ser>
        <c:dLbls>
          <c:showLegendKey val="0"/>
          <c:showVal val="0"/>
          <c:showCatName val="0"/>
          <c:showSerName val="0"/>
          <c:showPercent val="0"/>
          <c:showBubbleSize val="0"/>
        </c:dLbls>
        <c:marker val="1"/>
        <c:smooth val="0"/>
        <c:axId val="742803919"/>
        <c:axId val="742807759"/>
      </c:lineChart>
      <c:catAx>
        <c:axId val="742811119"/>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15439"/>
        <c:crosses val="autoZero"/>
        <c:auto val="1"/>
        <c:lblAlgn val="ctr"/>
        <c:lblOffset val="100"/>
        <c:noMultiLvlLbl val="0"/>
      </c:catAx>
      <c:valAx>
        <c:axId val="74281543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11119"/>
        <c:crosses val="autoZero"/>
        <c:crossBetween val="between"/>
      </c:valAx>
      <c:valAx>
        <c:axId val="742807759"/>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803919"/>
        <c:crosses val="max"/>
        <c:crossBetween val="between"/>
      </c:valAx>
      <c:catAx>
        <c:axId val="742803919"/>
        <c:scaling>
          <c:orientation val="minMax"/>
        </c:scaling>
        <c:delete val="1"/>
        <c:axPos val="b"/>
        <c:numFmt formatCode="&quot;FY&quot;0" sourceLinked="1"/>
        <c:majorTickMark val="none"/>
        <c:minorTickMark val="none"/>
        <c:tickLblPos val="nextTo"/>
        <c:crossAx val="742807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Profit</a:t>
            </a:r>
            <a:r>
              <a:rPr lang="en-US" baseline="0"/>
              <a:t> (FY 25</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Report!$Q$460</c:f>
              <c:strCache>
                <c:ptCount val="1"/>
                <c:pt idx="0">
                  <c:v>FY 2024-25 (Full Year)</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55D6-4D93-A525-14EE610A64D4}"/>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5D6-4D93-A525-14EE610A64D4}"/>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5D6-4D93-A525-14EE610A64D4}"/>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55D6-4D93-A525-14EE610A64D4}"/>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55D6-4D93-A525-14EE610A64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Report!$P$461:$P$465</c:f>
              <c:strCache>
                <c:ptCount val="5"/>
                <c:pt idx="0">
                  <c:v>Home Care</c:v>
                </c:pt>
                <c:pt idx="1">
                  <c:v>Beauty &amp; Well-being</c:v>
                </c:pt>
                <c:pt idx="2">
                  <c:v>Foods (Food &amp; Beverages)</c:v>
                </c:pt>
                <c:pt idx="3">
                  <c:v>Personal Care</c:v>
                </c:pt>
                <c:pt idx="4">
                  <c:v>Others</c:v>
                </c:pt>
              </c:strCache>
            </c:strRef>
          </c:cat>
          <c:val>
            <c:numRef>
              <c:f>Report!$Q$461:$Q$465</c:f>
              <c:numCache>
                <c:formatCode>0.00%</c:formatCode>
                <c:ptCount val="5"/>
                <c:pt idx="0">
                  <c:v>0.33</c:v>
                </c:pt>
                <c:pt idx="1">
                  <c:v>0.32</c:v>
                </c:pt>
                <c:pt idx="2">
                  <c:v>0.215</c:v>
                </c:pt>
                <c:pt idx="3">
                  <c:v>0.123</c:v>
                </c:pt>
                <c:pt idx="4">
                  <c:v>1.2E-2</c:v>
                </c:pt>
              </c:numCache>
            </c:numRef>
          </c:val>
          <c:extLst>
            <c:ext xmlns:c16="http://schemas.microsoft.com/office/drawing/2014/chart" uri="{C3380CC4-5D6E-409C-BE32-E72D297353CC}">
              <c16:uniqueId val="{00000000-E93B-49F0-8EB9-C67558FEF2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Gross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Report!$B$332</c:f>
              <c:strCache>
                <c:ptCount val="1"/>
                <c:pt idx="0">
                  <c:v>Revenue From Operations</c:v>
                </c:pt>
              </c:strCache>
            </c:strRef>
          </c:tx>
          <c:spPr>
            <a:solidFill>
              <a:schemeClr val="accent1">
                <a:shade val="76000"/>
              </a:schemeClr>
            </a:solidFill>
            <a:ln>
              <a:noFill/>
            </a:ln>
            <a:effectLst/>
          </c:spPr>
          <c:invertIfNegative val="0"/>
          <c:cat>
            <c:numRef>
              <c:f>Report!$C$331:$R$331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Report!$C$332:$R$332</c:f>
              <c:numCache>
                <c:formatCode>0</c:formatCode>
                <c:ptCount val="16"/>
                <c:pt idx="0">
                  <c:v>39783</c:v>
                </c:pt>
                <c:pt idx="1">
                  <c:v>47028</c:v>
                </c:pt>
                <c:pt idx="2">
                  <c:v>52446</c:v>
                </c:pt>
                <c:pt idx="3">
                  <c:v>60590</c:v>
                </c:pt>
                <c:pt idx="4">
                  <c:v>61836</c:v>
                </c:pt>
                <c:pt idx="5">
                  <c:v>63121</c:v>
                </c:pt>
                <c:pt idx="6">
                  <c:v>68610.580000000016</c:v>
                </c:pt>
                <c:pt idx="7">
                  <c:v>74637.470400000006</c:v>
                </c:pt>
                <c:pt idx="8">
                  <c:v>81258.607912000007</c:v>
                </c:pt>
                <c:pt idx="9">
                  <c:v>88537.282247160038</c:v>
                </c:pt>
                <c:pt idx="10">
                  <c:v>96543.868598924819</c:v>
                </c:pt>
                <c:pt idx="11">
                  <c:v>105356.64638480304</c:v>
                </c:pt>
                <c:pt idx="12">
                  <c:v>114845.76623983758</c:v>
                </c:pt>
                <c:pt idx="13">
                  <c:v>124596.8134866242</c:v>
                </c:pt>
                <c:pt idx="14">
                  <c:v>134538.36988544796</c:v>
                </c:pt>
                <c:pt idx="15">
                  <c:v>144600.84860186314</c:v>
                </c:pt>
              </c:numCache>
            </c:numRef>
          </c:val>
          <c:extLst>
            <c:ext xmlns:c16="http://schemas.microsoft.com/office/drawing/2014/chart" uri="{C3380CC4-5D6E-409C-BE32-E72D297353CC}">
              <c16:uniqueId val="{00000000-A051-4C6A-BBE1-A95EEACED929}"/>
            </c:ext>
          </c:extLst>
        </c:ser>
        <c:dLbls>
          <c:showLegendKey val="0"/>
          <c:showVal val="0"/>
          <c:showCatName val="0"/>
          <c:showSerName val="0"/>
          <c:showPercent val="0"/>
          <c:showBubbleSize val="0"/>
        </c:dLbls>
        <c:gapWidth val="219"/>
        <c:overlap val="-27"/>
        <c:axId val="1947056111"/>
        <c:axId val="931551135"/>
      </c:barChart>
      <c:lineChart>
        <c:grouping val="standard"/>
        <c:varyColors val="0"/>
        <c:ser>
          <c:idx val="1"/>
          <c:order val="1"/>
          <c:tx>
            <c:strRef>
              <c:f>Report!$B$333</c:f>
              <c:strCache>
                <c:ptCount val="1"/>
                <c:pt idx="0">
                  <c:v>Gross Profit</c:v>
                </c:pt>
              </c:strCache>
            </c:strRef>
          </c:tx>
          <c:spPr>
            <a:ln w="28575" cap="rnd">
              <a:solidFill>
                <a:schemeClr val="bg1">
                  <a:lumMod val="65000"/>
                </a:schemeClr>
              </a:solidFill>
              <a:round/>
            </a:ln>
            <a:effectLst/>
          </c:spPr>
          <c:marker>
            <c:symbol val="circle"/>
            <c:size val="5"/>
            <c:spPr>
              <a:solidFill>
                <a:schemeClr val="bg1"/>
              </a:solidFill>
              <a:ln w="9525">
                <a:solidFill>
                  <a:schemeClr val="bg1">
                    <a:lumMod val="65000"/>
                  </a:schemeClr>
                </a:solidFill>
              </a:ln>
              <a:effectLst/>
            </c:spPr>
          </c:marker>
          <c:cat>
            <c:numRef>
              <c:f>Report!$C$331:$R$331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Report!$C$333:$R$333</c:f>
              <c:numCache>
                <c:formatCode>0.0%</c:formatCode>
                <c:ptCount val="16"/>
                <c:pt idx="0">
                  <c:v>0.54103511550159611</c:v>
                </c:pt>
                <c:pt idx="1">
                  <c:v>0.52904652547418562</c:v>
                </c:pt>
                <c:pt idx="2">
                  <c:v>0.50930480875567252</c:v>
                </c:pt>
                <c:pt idx="3">
                  <c:v>0.47654728503053312</c:v>
                </c:pt>
                <c:pt idx="4">
                  <c:v>0.51872695517174461</c:v>
                </c:pt>
                <c:pt idx="5">
                  <c:v>0.51556534275439236</c:v>
                </c:pt>
                <c:pt idx="6">
                  <c:v>0.51</c:v>
                </c:pt>
                <c:pt idx="7">
                  <c:v>0.51224999999999998</c:v>
                </c:pt>
                <c:pt idx="8">
                  <c:v>0.51449999999999996</c:v>
                </c:pt>
                <c:pt idx="9">
                  <c:v>0.51674999999999993</c:v>
                </c:pt>
                <c:pt idx="10">
                  <c:v>0.51900000000000002</c:v>
                </c:pt>
                <c:pt idx="11">
                  <c:v>0.51900000000000002</c:v>
                </c:pt>
                <c:pt idx="12">
                  <c:v>0.51900000000000002</c:v>
                </c:pt>
                <c:pt idx="13">
                  <c:v>0.51900000000000002</c:v>
                </c:pt>
                <c:pt idx="14">
                  <c:v>0.51900000000000002</c:v>
                </c:pt>
                <c:pt idx="15">
                  <c:v>0.51900000000000002</c:v>
                </c:pt>
              </c:numCache>
            </c:numRef>
          </c:val>
          <c:smooth val="1"/>
          <c:extLst>
            <c:ext xmlns:c16="http://schemas.microsoft.com/office/drawing/2014/chart" uri="{C3380CC4-5D6E-409C-BE32-E72D297353CC}">
              <c16:uniqueId val="{00000001-A051-4C6A-BBE1-A95EEACED929}"/>
            </c:ext>
          </c:extLst>
        </c:ser>
        <c:dLbls>
          <c:showLegendKey val="0"/>
          <c:showVal val="0"/>
          <c:showCatName val="0"/>
          <c:showSerName val="0"/>
          <c:showPercent val="0"/>
          <c:showBubbleSize val="0"/>
        </c:dLbls>
        <c:marker val="1"/>
        <c:smooth val="0"/>
        <c:axId val="931549695"/>
        <c:axId val="931545855"/>
      </c:lineChart>
      <c:catAx>
        <c:axId val="1947056111"/>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551135"/>
        <c:crosses val="autoZero"/>
        <c:auto val="1"/>
        <c:lblAlgn val="ctr"/>
        <c:lblOffset val="100"/>
        <c:noMultiLvlLbl val="0"/>
      </c:catAx>
      <c:valAx>
        <c:axId val="93155113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56111"/>
        <c:crosses val="autoZero"/>
        <c:crossBetween val="between"/>
      </c:valAx>
      <c:valAx>
        <c:axId val="931545855"/>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549695"/>
        <c:crosses val="max"/>
        <c:crossBetween val="between"/>
      </c:valAx>
      <c:catAx>
        <c:axId val="931549695"/>
        <c:scaling>
          <c:orientation val="minMax"/>
        </c:scaling>
        <c:delete val="1"/>
        <c:axPos val="b"/>
        <c:numFmt formatCode="&quot;FY&quot;0" sourceLinked="1"/>
        <c:majorTickMark val="none"/>
        <c:minorTickMark val="none"/>
        <c:tickLblPos val="nextTo"/>
        <c:crossAx val="931545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India GDP Quarterly</a:t>
            </a:r>
            <a:r>
              <a:rPr lang="en-IN" b="1" baseline="0">
                <a:solidFill>
                  <a:schemeClr val="tx1"/>
                </a:solidFill>
              </a:rPr>
              <a:t> Growth - Actual Vs Projected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col"/>
        <c:grouping val="clustered"/>
        <c:varyColors val="0"/>
        <c:ser>
          <c:idx val="0"/>
          <c:order val="0"/>
          <c:tx>
            <c:strRef>
              <c:f>Report!$C$545</c:f>
              <c:strCache>
                <c:ptCount val="1"/>
                <c:pt idx="0">
                  <c:v>Actual </c:v>
                </c:pt>
              </c:strCache>
            </c:strRef>
          </c:tx>
          <c:spPr>
            <a:solidFill>
              <a:schemeClr val="accent1">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Report!$B$546:$B$552</c:f>
              <c:strCache>
                <c:ptCount val="7"/>
                <c:pt idx="0">
                  <c:v>Q1 FY 2025</c:v>
                </c:pt>
                <c:pt idx="1">
                  <c:v>Q2 FY 2025</c:v>
                </c:pt>
                <c:pt idx="2">
                  <c:v>Q3 FY 2025</c:v>
                </c:pt>
                <c:pt idx="3">
                  <c:v>Q4 FY 2025</c:v>
                </c:pt>
                <c:pt idx="4">
                  <c:v>Q1 FY 2026</c:v>
                </c:pt>
                <c:pt idx="5">
                  <c:v>Q2 FY 2026</c:v>
                </c:pt>
                <c:pt idx="6">
                  <c:v>Q3 FY 2026</c:v>
                </c:pt>
              </c:strCache>
            </c:strRef>
          </c:cat>
          <c:val>
            <c:numRef>
              <c:f>Report!$C$546:$C$552</c:f>
              <c:numCache>
                <c:formatCode>0.0%</c:formatCode>
                <c:ptCount val="7"/>
                <c:pt idx="0">
                  <c:v>6.7000000000000004E-2</c:v>
                </c:pt>
                <c:pt idx="1">
                  <c:v>5.3999999999999999E-2</c:v>
                </c:pt>
                <c:pt idx="2">
                  <c:v>6.2E-2</c:v>
                </c:pt>
                <c:pt idx="3">
                  <c:v>7.3999999999999996E-2</c:v>
                </c:pt>
                <c:pt idx="4">
                  <c:v>7.8E-2</c:v>
                </c:pt>
                <c:pt idx="5">
                  <c:v>8.2000000000000003E-2</c:v>
                </c:pt>
                <c:pt idx="6">
                  <c:v>7.8E-2</c:v>
                </c:pt>
              </c:numCache>
            </c:numRef>
          </c:val>
          <c:extLst>
            <c:ext xmlns:c16="http://schemas.microsoft.com/office/drawing/2014/chart" uri="{C3380CC4-5D6E-409C-BE32-E72D297353CC}">
              <c16:uniqueId val="{00000000-8817-4F96-97FC-53EE9890E9A0}"/>
            </c:ext>
          </c:extLst>
        </c:ser>
        <c:ser>
          <c:idx val="1"/>
          <c:order val="1"/>
          <c:tx>
            <c:strRef>
              <c:f>Report!$D$545</c:f>
              <c:strCache>
                <c:ptCount val="1"/>
                <c:pt idx="0">
                  <c:v>Projected</c:v>
                </c:pt>
              </c:strCache>
            </c:strRef>
          </c:tx>
          <c:spPr>
            <a:solidFill>
              <a:schemeClr val="accent1">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Report!$B$546:$B$552</c:f>
              <c:strCache>
                <c:ptCount val="7"/>
                <c:pt idx="0">
                  <c:v>Q1 FY 2025</c:v>
                </c:pt>
                <c:pt idx="1">
                  <c:v>Q2 FY 2025</c:v>
                </c:pt>
                <c:pt idx="2">
                  <c:v>Q3 FY 2025</c:v>
                </c:pt>
                <c:pt idx="3">
                  <c:v>Q4 FY 2025</c:v>
                </c:pt>
                <c:pt idx="4">
                  <c:v>Q1 FY 2026</c:v>
                </c:pt>
                <c:pt idx="5">
                  <c:v>Q2 FY 2026</c:v>
                </c:pt>
                <c:pt idx="6">
                  <c:v>Q3 FY 2026</c:v>
                </c:pt>
              </c:strCache>
            </c:strRef>
          </c:cat>
          <c:val>
            <c:numRef>
              <c:f>Report!$D$546:$D$552</c:f>
              <c:numCache>
                <c:formatCode>0.0%</c:formatCode>
                <c:ptCount val="7"/>
                <c:pt idx="0">
                  <c:v>6.9000000000000006E-2</c:v>
                </c:pt>
                <c:pt idx="1">
                  <c:v>6.5000000000000002E-2</c:v>
                </c:pt>
                <c:pt idx="2">
                  <c:v>6.3E-2</c:v>
                </c:pt>
                <c:pt idx="3">
                  <c:v>6.7000000000000004E-2</c:v>
                </c:pt>
                <c:pt idx="4">
                  <c:v>6.6000000000000003E-2</c:v>
                </c:pt>
                <c:pt idx="5">
                  <c:v>7.2999999999999995E-2</c:v>
                </c:pt>
                <c:pt idx="6">
                  <c:v>7.1999999999999995E-2</c:v>
                </c:pt>
              </c:numCache>
            </c:numRef>
          </c:val>
          <c:extLst>
            <c:ext xmlns:c16="http://schemas.microsoft.com/office/drawing/2014/chart" uri="{C3380CC4-5D6E-409C-BE32-E72D297353CC}">
              <c16:uniqueId val="{00000001-8817-4F96-97FC-53EE9890E9A0}"/>
            </c:ext>
          </c:extLst>
        </c:ser>
        <c:dLbls>
          <c:showLegendKey val="0"/>
          <c:showVal val="0"/>
          <c:showCatName val="0"/>
          <c:showSerName val="0"/>
          <c:showPercent val="0"/>
          <c:showBubbleSize val="0"/>
        </c:dLbls>
        <c:gapWidth val="219"/>
        <c:overlap val="-27"/>
        <c:axId val="1053243071"/>
        <c:axId val="1053240671"/>
      </c:barChart>
      <c:catAx>
        <c:axId val="105324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40671"/>
        <c:crosses val="autoZero"/>
        <c:auto val="1"/>
        <c:lblAlgn val="ctr"/>
        <c:lblOffset val="100"/>
        <c:noMultiLvlLbl val="0"/>
      </c:catAx>
      <c:valAx>
        <c:axId val="1053240671"/>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43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r>
              <a:rPr lang="en-IN" b="1">
                <a:solidFill>
                  <a:srgbClr val="1F4E79"/>
                </a:solidFill>
              </a:rPr>
              <a:t>Growth in In</a:t>
            </a:r>
            <a:r>
              <a:rPr lang="en-IN" b="1" baseline="0">
                <a:solidFill>
                  <a:srgbClr val="1F4E79"/>
                </a:solidFill>
              </a:rPr>
              <a:t> Online Users to drive Online FMCG Market</a:t>
            </a:r>
            <a:endParaRPr lang="en-IN" b="1">
              <a:solidFill>
                <a:srgbClr val="1F4E79"/>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IN"/>
        </a:p>
      </c:txPr>
    </c:title>
    <c:autoTitleDeleted val="0"/>
    <c:plotArea>
      <c:layout>
        <c:manualLayout>
          <c:layoutTarget val="inner"/>
          <c:xMode val="edge"/>
          <c:yMode val="edge"/>
          <c:x val="0.13371692077912148"/>
          <c:y val="0.17560557736825183"/>
          <c:w val="0.7861483905881268"/>
          <c:h val="0.60740284119188603"/>
        </c:manualLayout>
      </c:layout>
      <c:barChart>
        <c:barDir val="col"/>
        <c:grouping val="clustered"/>
        <c:varyColors val="0"/>
        <c:ser>
          <c:idx val="0"/>
          <c:order val="0"/>
          <c:tx>
            <c:strRef>
              <c:f>Report!$B$565</c:f>
              <c:strCache>
                <c:ptCount val="1"/>
                <c:pt idx="0">
                  <c:v>Online Users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Report!$C$564:$D$564</c:f>
              <c:numCache>
                <c:formatCode>General</c:formatCode>
                <c:ptCount val="2"/>
                <c:pt idx="0">
                  <c:v>2020</c:v>
                </c:pt>
                <c:pt idx="1">
                  <c:v>2030</c:v>
                </c:pt>
              </c:numCache>
            </c:numRef>
          </c:cat>
          <c:val>
            <c:numRef>
              <c:f>Report!$C$565:$D$565</c:f>
              <c:numCache>
                <c:formatCode>General</c:formatCode>
                <c:ptCount val="2"/>
                <c:pt idx="0">
                  <c:v>620000000</c:v>
                </c:pt>
                <c:pt idx="1">
                  <c:v>900000000</c:v>
                </c:pt>
              </c:numCache>
            </c:numRef>
          </c:val>
          <c:extLst>
            <c:ext xmlns:c16="http://schemas.microsoft.com/office/drawing/2014/chart" uri="{C3380CC4-5D6E-409C-BE32-E72D297353CC}">
              <c16:uniqueId val="{00000000-5E60-43EA-878E-57A6255E30CC}"/>
            </c:ext>
          </c:extLst>
        </c:ser>
        <c:ser>
          <c:idx val="1"/>
          <c:order val="1"/>
          <c:tx>
            <c:strRef>
              <c:f>Report!$B$566</c:f>
              <c:strCache>
                <c:ptCount val="1"/>
                <c:pt idx="0">
                  <c:v>E-Commerce Market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Report!$C$564:$D$564</c:f>
              <c:numCache>
                <c:formatCode>General</c:formatCode>
                <c:ptCount val="2"/>
                <c:pt idx="0">
                  <c:v>2020</c:v>
                </c:pt>
                <c:pt idx="1">
                  <c:v>2030</c:v>
                </c:pt>
              </c:numCache>
            </c:numRef>
          </c:cat>
          <c:val>
            <c:numRef>
              <c:f>Report!$C$566:$D$566</c:f>
              <c:numCache>
                <c:formatCode>General</c:formatCode>
                <c:ptCount val="2"/>
                <c:pt idx="0">
                  <c:v>30000000</c:v>
                </c:pt>
                <c:pt idx="1">
                  <c:v>300000000</c:v>
                </c:pt>
              </c:numCache>
            </c:numRef>
          </c:val>
          <c:extLst>
            <c:ext xmlns:c16="http://schemas.microsoft.com/office/drawing/2014/chart" uri="{C3380CC4-5D6E-409C-BE32-E72D297353CC}">
              <c16:uniqueId val="{00000001-5E60-43EA-878E-57A6255E30CC}"/>
            </c:ext>
          </c:extLst>
        </c:ser>
        <c:dLbls>
          <c:showLegendKey val="0"/>
          <c:showVal val="0"/>
          <c:showCatName val="0"/>
          <c:showSerName val="0"/>
          <c:showPercent val="0"/>
          <c:showBubbleSize val="0"/>
        </c:dLbls>
        <c:gapWidth val="219"/>
        <c:overlap val="-27"/>
        <c:axId val="1095827135"/>
        <c:axId val="1095823295"/>
      </c:barChart>
      <c:catAx>
        <c:axId val="109582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95823295"/>
        <c:crosses val="autoZero"/>
        <c:auto val="1"/>
        <c:lblAlgn val="ctr"/>
        <c:lblOffset val="100"/>
        <c:noMultiLvlLbl val="0"/>
      </c:catAx>
      <c:valAx>
        <c:axId val="1095823295"/>
        <c:scaling>
          <c:orientation val="minMax"/>
          <c:max val="90000000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95827135"/>
        <c:crosses val="autoZero"/>
        <c:crossBetween val="between"/>
        <c:dispUnits>
          <c:builtInUnit val="millions"/>
          <c:dispUnitsLbl>
            <c:layout>
              <c:manualLayout>
                <c:xMode val="edge"/>
                <c:yMode val="edge"/>
                <c:x val="3.4040674341616318E-2"/>
                <c:y val="0.3572745281907533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FMCG</a:t>
            </a:r>
            <a:r>
              <a:rPr lang="en-IN" b="1" baseline="0"/>
              <a:t> Segment - Actual Vs Projected Market Size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Report!$C$587</c:f>
              <c:strCache>
                <c:ptCount val="1"/>
                <c:pt idx="0">
                  <c:v>Market Size (2025)</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Report!$B$588:$B$590</c:f>
              <c:strCache>
                <c:ptCount val="3"/>
                <c:pt idx="0">
                  <c:v>BPC</c:v>
                </c:pt>
                <c:pt idx="1">
                  <c:v>Home Care</c:v>
                </c:pt>
                <c:pt idx="2">
                  <c:v>F&amp;R</c:v>
                </c:pt>
              </c:strCache>
            </c:strRef>
          </c:cat>
          <c:val>
            <c:numRef>
              <c:f>Report!$C$588:$C$590</c:f>
              <c:numCache>
                <c:formatCode>[$$-409]#,##0.0"B"</c:formatCode>
                <c:ptCount val="3"/>
                <c:pt idx="0">
                  <c:v>31</c:v>
                </c:pt>
                <c:pt idx="1">
                  <c:v>11.9</c:v>
                </c:pt>
                <c:pt idx="2">
                  <c:v>129</c:v>
                </c:pt>
              </c:numCache>
            </c:numRef>
          </c:val>
          <c:extLst>
            <c:ext xmlns:c16="http://schemas.microsoft.com/office/drawing/2014/chart" uri="{C3380CC4-5D6E-409C-BE32-E72D297353CC}">
              <c16:uniqueId val="{00000000-FF62-4B4E-881B-281C40B742FB}"/>
            </c:ext>
          </c:extLst>
        </c:ser>
        <c:ser>
          <c:idx val="1"/>
          <c:order val="1"/>
          <c:tx>
            <c:strRef>
              <c:f>Report!$D$587</c:f>
              <c:strCache>
                <c:ptCount val="1"/>
                <c:pt idx="0">
                  <c:v>Projected Size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Report!$B$588:$B$590</c:f>
              <c:strCache>
                <c:ptCount val="3"/>
                <c:pt idx="0">
                  <c:v>BPC</c:v>
                </c:pt>
                <c:pt idx="1">
                  <c:v>Home Care</c:v>
                </c:pt>
                <c:pt idx="2">
                  <c:v>F&amp;R</c:v>
                </c:pt>
              </c:strCache>
            </c:strRef>
          </c:cat>
          <c:val>
            <c:numRef>
              <c:f>Report!$D$588:$D$590</c:f>
              <c:numCache>
                <c:formatCode>[$$-409]#,##0.0"B"</c:formatCode>
                <c:ptCount val="3"/>
                <c:pt idx="0">
                  <c:v>49</c:v>
                </c:pt>
                <c:pt idx="1">
                  <c:v>39.799999999999997</c:v>
                </c:pt>
                <c:pt idx="2">
                  <c:v>238.8</c:v>
                </c:pt>
              </c:numCache>
            </c:numRef>
          </c:val>
          <c:extLst>
            <c:ext xmlns:c16="http://schemas.microsoft.com/office/drawing/2014/chart" uri="{C3380CC4-5D6E-409C-BE32-E72D297353CC}">
              <c16:uniqueId val="{00000001-FF62-4B4E-881B-281C40B742FB}"/>
            </c:ext>
          </c:extLst>
        </c:ser>
        <c:dLbls>
          <c:showLegendKey val="0"/>
          <c:showVal val="0"/>
          <c:showCatName val="0"/>
          <c:showSerName val="0"/>
          <c:showPercent val="0"/>
          <c:showBubbleSize val="0"/>
        </c:dLbls>
        <c:gapWidth val="182"/>
        <c:axId val="1093683263"/>
        <c:axId val="1093672703"/>
      </c:barChart>
      <c:catAx>
        <c:axId val="109368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100" b="1" i="0" u="none" strike="noStrike" kern="1200" baseline="0">
                <a:solidFill>
                  <a:schemeClr val="tx1">
                    <a:lumMod val="65000"/>
                    <a:lumOff val="35000"/>
                  </a:schemeClr>
                </a:solidFill>
                <a:latin typeface="+mn-lt"/>
                <a:ea typeface="+mn-ea"/>
                <a:cs typeface="+mn-cs"/>
              </a:defRPr>
            </a:pPr>
            <a:endParaRPr lang="en-US"/>
          </a:p>
        </c:txPr>
        <c:crossAx val="1093672703"/>
        <c:crosses val="autoZero"/>
        <c:auto val="1"/>
        <c:lblAlgn val="ctr"/>
        <c:lblOffset val="100"/>
        <c:noMultiLvlLbl val="0"/>
      </c:catAx>
      <c:valAx>
        <c:axId val="1093672703"/>
        <c:scaling>
          <c:orientation val="minMax"/>
        </c:scaling>
        <c:delete val="0"/>
        <c:axPos val="b"/>
        <c:majorGridlines>
          <c:spPr>
            <a:ln w="9525" cap="flat" cmpd="sng" algn="ctr">
              <a:noFill/>
              <a:round/>
            </a:ln>
            <a:effectLst/>
          </c:spPr>
        </c:majorGridlines>
        <c:numFmt formatCode="[$$-409]#,##0.0&quot;B&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93683263"/>
        <c:crosses val="autoZero"/>
        <c:crossBetween val="between"/>
      </c:valAx>
      <c:spPr>
        <a:noFill/>
        <a:ln>
          <a:noFill/>
        </a:ln>
        <a:effectLst/>
      </c:spPr>
    </c:plotArea>
    <c:legend>
      <c:legendPos val="b"/>
      <c:layout>
        <c:manualLayout>
          <c:xMode val="edge"/>
          <c:yMode val="edge"/>
          <c:x val="0.31349040905122899"/>
          <c:y val="0.92883296836979989"/>
          <c:w val="0.44306279552953809"/>
          <c:h val="5.2500365616785102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r>
              <a:rPr lang="en-IN" b="1">
                <a:solidFill>
                  <a:srgbClr val="1F4E79"/>
                </a:solidFill>
              </a:rPr>
              <a:t>Per-</a:t>
            </a:r>
            <a:r>
              <a:rPr lang="en-IN" b="1" baseline="0">
                <a:solidFill>
                  <a:srgbClr val="1F4E79"/>
                </a:solidFill>
              </a:rPr>
              <a:t> Capital Beaty Spend Multiplier</a:t>
            </a:r>
            <a:endParaRPr lang="en-IN" b="1">
              <a:solidFill>
                <a:srgbClr val="1F4E79"/>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IN"/>
        </a:p>
      </c:txPr>
    </c:title>
    <c:autoTitleDeleted val="0"/>
    <c:plotArea>
      <c:layout/>
      <c:barChart>
        <c:barDir val="col"/>
        <c:grouping val="clustered"/>
        <c:varyColors val="0"/>
        <c:ser>
          <c:idx val="0"/>
          <c:order val="0"/>
          <c:tx>
            <c:strRef>
              <c:f>Report!$C$599</c:f>
              <c:strCache>
                <c:ptCount val="1"/>
                <c:pt idx="0">
                  <c:v>Multiplier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Report!$B$600:$B$604</c:f>
              <c:strCache>
                <c:ptCount val="5"/>
                <c:pt idx="0">
                  <c:v>United States</c:v>
                </c:pt>
                <c:pt idx="1">
                  <c:v>Thailand</c:v>
                </c:pt>
                <c:pt idx="2">
                  <c:v>China</c:v>
                </c:pt>
                <c:pt idx="3">
                  <c:v>Indonesia</c:v>
                </c:pt>
                <c:pt idx="4">
                  <c:v>India</c:v>
                </c:pt>
              </c:strCache>
            </c:strRef>
          </c:cat>
          <c:val>
            <c:numRef>
              <c:f>Report!$C$600:$C$604</c:f>
              <c:numCache>
                <c:formatCode>0"x"</c:formatCode>
                <c:ptCount val="5"/>
                <c:pt idx="0">
                  <c:v>36</c:v>
                </c:pt>
                <c:pt idx="1">
                  <c:v>19</c:v>
                </c:pt>
                <c:pt idx="2">
                  <c:v>15</c:v>
                </c:pt>
                <c:pt idx="3">
                  <c:v>4</c:v>
                </c:pt>
                <c:pt idx="4">
                  <c:v>1</c:v>
                </c:pt>
              </c:numCache>
            </c:numRef>
          </c:val>
          <c:extLst>
            <c:ext xmlns:c16="http://schemas.microsoft.com/office/drawing/2014/chart" uri="{C3380CC4-5D6E-409C-BE32-E72D297353CC}">
              <c16:uniqueId val="{00000000-506F-4022-8354-4208B267951E}"/>
            </c:ext>
          </c:extLst>
        </c:ser>
        <c:dLbls>
          <c:dLblPos val="outEnd"/>
          <c:showLegendKey val="0"/>
          <c:showVal val="1"/>
          <c:showCatName val="0"/>
          <c:showSerName val="0"/>
          <c:showPercent val="0"/>
          <c:showBubbleSize val="0"/>
        </c:dLbls>
        <c:gapWidth val="219"/>
        <c:overlap val="-27"/>
        <c:axId val="844882543"/>
        <c:axId val="844883023"/>
      </c:barChart>
      <c:catAx>
        <c:axId val="8448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3023"/>
        <c:crosses val="autoZero"/>
        <c:auto val="1"/>
        <c:lblAlgn val="ctr"/>
        <c:lblOffset val="100"/>
        <c:noMultiLvlLbl val="0"/>
      </c:catAx>
      <c:valAx>
        <c:axId val="844883023"/>
        <c:scaling>
          <c:orientation val="minMax"/>
        </c:scaling>
        <c:delete val="0"/>
        <c:axPos val="l"/>
        <c:majorGridlines>
          <c:spPr>
            <a:ln w="9525" cap="flat" cmpd="sng" algn="ctr">
              <a:noFill/>
              <a:round/>
            </a:ln>
            <a:effectLst/>
          </c:spPr>
        </c:majorGridlines>
        <c:numFmt formatCode="0&quot;x&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25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SG&amp;A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Report!$B$336</c:f>
              <c:strCache>
                <c:ptCount val="1"/>
                <c:pt idx="0">
                  <c:v>Revenue From Operations</c:v>
                </c:pt>
              </c:strCache>
            </c:strRef>
          </c:tx>
          <c:spPr>
            <a:solidFill>
              <a:schemeClr val="accent1">
                <a:shade val="58000"/>
              </a:schemeClr>
            </a:solidFill>
            <a:ln>
              <a:noFill/>
            </a:ln>
            <a:effectLst/>
          </c:spPr>
          <c:invertIfNegative val="0"/>
          <c:cat>
            <c:numRef>
              <c:f>Report!$C$335:$R$335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Report!$C$336:$R$336</c:f>
              <c:numCache>
                <c:formatCode>0</c:formatCode>
                <c:ptCount val="16"/>
                <c:pt idx="0">
                  <c:v>39783</c:v>
                </c:pt>
                <c:pt idx="1">
                  <c:v>47028</c:v>
                </c:pt>
                <c:pt idx="2">
                  <c:v>52446</c:v>
                </c:pt>
                <c:pt idx="3">
                  <c:v>60590</c:v>
                </c:pt>
                <c:pt idx="4">
                  <c:v>61836</c:v>
                </c:pt>
                <c:pt idx="5">
                  <c:v>63121</c:v>
                </c:pt>
                <c:pt idx="6">
                  <c:v>68610.580000000016</c:v>
                </c:pt>
                <c:pt idx="7">
                  <c:v>74637.470400000006</c:v>
                </c:pt>
                <c:pt idx="8">
                  <c:v>81258.607912000007</c:v>
                </c:pt>
                <c:pt idx="9">
                  <c:v>88537.282247160038</c:v>
                </c:pt>
                <c:pt idx="10">
                  <c:v>96543.868598924819</c:v>
                </c:pt>
                <c:pt idx="11">
                  <c:v>105356.64638480304</c:v>
                </c:pt>
                <c:pt idx="12">
                  <c:v>114845.76623983758</c:v>
                </c:pt>
                <c:pt idx="13">
                  <c:v>124596.8134866242</c:v>
                </c:pt>
                <c:pt idx="14">
                  <c:v>134538.36988544796</c:v>
                </c:pt>
                <c:pt idx="15">
                  <c:v>144600.84860186314</c:v>
                </c:pt>
              </c:numCache>
            </c:numRef>
          </c:val>
          <c:extLst>
            <c:ext xmlns:c16="http://schemas.microsoft.com/office/drawing/2014/chart" uri="{C3380CC4-5D6E-409C-BE32-E72D297353CC}">
              <c16:uniqueId val="{00000000-92A9-46F8-82FE-FD9BD3802C47}"/>
            </c:ext>
          </c:extLst>
        </c:ser>
        <c:ser>
          <c:idx val="1"/>
          <c:order val="1"/>
          <c:tx>
            <c:strRef>
              <c:f>Report!$B$337</c:f>
              <c:strCache>
                <c:ptCount val="1"/>
                <c:pt idx="0">
                  <c:v>SG&amp;A</c:v>
                </c:pt>
              </c:strCache>
            </c:strRef>
          </c:tx>
          <c:spPr>
            <a:solidFill>
              <a:schemeClr val="accent1">
                <a:shade val="86000"/>
              </a:schemeClr>
            </a:solidFill>
            <a:ln>
              <a:noFill/>
            </a:ln>
            <a:effectLst/>
          </c:spPr>
          <c:invertIfNegative val="0"/>
          <c:cat>
            <c:numRef>
              <c:f>Report!$C$335:$R$335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Report!$C$337:$R$337</c:f>
              <c:numCache>
                <c:formatCode>0</c:formatCode>
                <c:ptCount val="16"/>
                <c:pt idx="0">
                  <c:v>11663</c:v>
                </c:pt>
                <c:pt idx="1">
                  <c:v>13254</c:v>
                </c:pt>
                <c:pt idx="2">
                  <c:v>13854</c:v>
                </c:pt>
                <c:pt idx="3">
                  <c:v>14715</c:v>
                </c:pt>
                <c:pt idx="4">
                  <c:v>17473</c:v>
                </c:pt>
                <c:pt idx="5">
                  <c:v>17692</c:v>
                </c:pt>
                <c:pt idx="6">
                  <c:v>19210.962400000004</c:v>
                </c:pt>
                <c:pt idx="7">
                  <c:v>20898.491712000003</c:v>
                </c:pt>
                <c:pt idx="8">
                  <c:v>22752.410215360003</c:v>
                </c:pt>
                <c:pt idx="9">
                  <c:v>24790.439029204812</c:v>
                </c:pt>
                <c:pt idx="10">
                  <c:v>27032.283207698951</c:v>
                </c:pt>
                <c:pt idx="11">
                  <c:v>29499.860987744854</c:v>
                </c:pt>
                <c:pt idx="12">
                  <c:v>32156.814547154525</c:v>
                </c:pt>
                <c:pt idx="13">
                  <c:v>34887.107776254779</c:v>
                </c:pt>
                <c:pt idx="14">
                  <c:v>37670.743567925427</c:v>
                </c:pt>
                <c:pt idx="15">
                  <c:v>40488.237608521682</c:v>
                </c:pt>
              </c:numCache>
            </c:numRef>
          </c:val>
          <c:extLst>
            <c:ext xmlns:c16="http://schemas.microsoft.com/office/drawing/2014/chart" uri="{C3380CC4-5D6E-409C-BE32-E72D297353CC}">
              <c16:uniqueId val="{00000001-92A9-46F8-82FE-FD9BD3802C47}"/>
            </c:ext>
          </c:extLst>
        </c:ser>
        <c:dLbls>
          <c:showLegendKey val="0"/>
          <c:showVal val="0"/>
          <c:showCatName val="0"/>
          <c:showSerName val="0"/>
          <c:showPercent val="0"/>
          <c:showBubbleSize val="0"/>
        </c:dLbls>
        <c:gapWidth val="219"/>
        <c:overlap val="-27"/>
        <c:axId val="1081204831"/>
        <c:axId val="1081200031"/>
      </c:barChart>
      <c:lineChart>
        <c:grouping val="standard"/>
        <c:varyColors val="0"/>
        <c:ser>
          <c:idx val="2"/>
          <c:order val="2"/>
          <c:tx>
            <c:strRef>
              <c:f>Report!$B$338</c:f>
              <c:strCache>
                <c:ptCount val="1"/>
                <c:pt idx="0">
                  <c:v>SG&amp;A YoY % Growth</c:v>
                </c:pt>
              </c:strCache>
            </c:strRef>
          </c:tx>
          <c:spPr>
            <a:ln w="28575" cap="rnd">
              <a:solidFill>
                <a:schemeClr val="accent1">
                  <a:tint val="86000"/>
                </a:schemeClr>
              </a:solidFill>
              <a:round/>
            </a:ln>
            <a:effectLst/>
          </c:spPr>
          <c:marker>
            <c:symbol val="circle"/>
            <c:size val="5"/>
            <c:spPr>
              <a:solidFill>
                <a:schemeClr val="accent1">
                  <a:tint val="86000"/>
                </a:schemeClr>
              </a:solidFill>
              <a:ln w="9525">
                <a:solidFill>
                  <a:schemeClr val="accent1">
                    <a:tint val="86000"/>
                  </a:schemeClr>
                </a:solidFill>
              </a:ln>
              <a:effectLst/>
            </c:spPr>
          </c:marker>
          <c:cat>
            <c:numRef>
              <c:f>Report!$C$335:$R$335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Report!$C$338:$R$338</c:f>
              <c:numCache>
                <c:formatCode>0.0%</c:formatCode>
                <c:ptCount val="16"/>
                <c:pt idx="1">
                  <c:v>0.13641430163765755</c:v>
                </c:pt>
                <c:pt idx="2">
                  <c:v>4.5269352648257044E-2</c:v>
                </c:pt>
                <c:pt idx="3">
                  <c:v>6.2148116067561654E-2</c:v>
                </c:pt>
                <c:pt idx="4">
                  <c:v>0.18742779476724425</c:v>
                </c:pt>
                <c:pt idx="5">
                  <c:v>1.2533623304527008E-2</c:v>
                </c:pt>
                <c:pt idx="6">
                  <c:v>8.5855889667646679E-2</c:v>
                </c:pt>
                <c:pt idx="7">
                  <c:v>8.7841997546150852E-2</c:v>
                </c:pt>
                <c:pt idx="8">
                  <c:v>8.8710636581273983E-2</c:v>
                </c:pt>
                <c:pt idx="9">
                  <c:v>8.9574194318496891E-2</c:v>
                </c:pt>
                <c:pt idx="10">
                  <c:v>9.0431806223887135E-2</c:v>
                </c:pt>
                <c:pt idx="11">
                  <c:v>9.1282625336772227E-2</c:v>
                </c:pt>
                <c:pt idx="12">
                  <c:v>9.0066646772113623E-2</c:v>
                </c:pt>
                <c:pt idx="13">
                  <c:v>8.4905587433001806E-2</c:v>
                </c:pt>
                <c:pt idx="14">
                  <c:v>7.9789812601355203E-2</c:v>
                </c:pt>
                <c:pt idx="15">
                  <c:v>7.4792631462554882E-2</c:v>
                </c:pt>
              </c:numCache>
            </c:numRef>
          </c:val>
          <c:smooth val="0"/>
          <c:extLst>
            <c:ext xmlns:c16="http://schemas.microsoft.com/office/drawing/2014/chart" uri="{C3380CC4-5D6E-409C-BE32-E72D297353CC}">
              <c16:uniqueId val="{00000002-92A9-46F8-82FE-FD9BD3802C47}"/>
            </c:ext>
          </c:extLst>
        </c:ser>
        <c:ser>
          <c:idx val="3"/>
          <c:order val="3"/>
          <c:tx>
            <c:strRef>
              <c:f>Report!$B$339</c:f>
              <c:strCache>
                <c:ptCount val="1"/>
                <c:pt idx="0">
                  <c:v>SG&amp;A % Revenue</c:v>
                </c:pt>
              </c:strCache>
            </c:strRef>
          </c:tx>
          <c:spPr>
            <a:ln w="28575" cap="rnd">
              <a:solidFill>
                <a:schemeClr val="bg1">
                  <a:lumMod val="50000"/>
                </a:schemeClr>
              </a:solidFill>
              <a:round/>
            </a:ln>
            <a:effectLst/>
          </c:spPr>
          <c:marker>
            <c:symbol val="circle"/>
            <c:size val="5"/>
            <c:spPr>
              <a:solidFill>
                <a:schemeClr val="accent1">
                  <a:tint val="58000"/>
                </a:schemeClr>
              </a:solidFill>
              <a:ln w="9525">
                <a:solidFill>
                  <a:schemeClr val="accent1">
                    <a:tint val="58000"/>
                  </a:schemeClr>
                </a:solidFill>
              </a:ln>
              <a:effectLst/>
            </c:spPr>
          </c:marker>
          <c:cat>
            <c:numRef>
              <c:f>Report!$C$335:$R$335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Report!$C$339:$R$339</c:f>
              <c:numCache>
                <c:formatCode>0%</c:formatCode>
                <c:ptCount val="16"/>
                <c:pt idx="0">
                  <c:v>0.29316542241661009</c:v>
                </c:pt>
                <c:pt idx="1">
                  <c:v>0.28183210002551673</c:v>
                </c:pt>
                <c:pt idx="2">
                  <c:v>0.26415741905960416</c:v>
                </c:pt>
                <c:pt idx="3">
                  <c:v>0.24286185839247401</c:v>
                </c:pt>
                <c:pt idx="4">
                  <c:v>0.28257002393427777</c:v>
                </c:pt>
                <c:pt idx="5">
                  <c:v>0.2802870676953787</c:v>
                </c:pt>
                <c:pt idx="6">
                  <c:v>0.27999999999999997</c:v>
                </c:pt>
                <c:pt idx="7">
                  <c:v>0.28000000000000003</c:v>
                </c:pt>
                <c:pt idx="8">
                  <c:v>0.28000000000000003</c:v>
                </c:pt>
                <c:pt idx="9">
                  <c:v>0.28000000000000003</c:v>
                </c:pt>
                <c:pt idx="10">
                  <c:v>0.28000000000000003</c:v>
                </c:pt>
                <c:pt idx="11">
                  <c:v>0.28000000000000003</c:v>
                </c:pt>
                <c:pt idx="12">
                  <c:v>0.28000000000000003</c:v>
                </c:pt>
                <c:pt idx="13">
                  <c:v>0.28000000000000003</c:v>
                </c:pt>
                <c:pt idx="14">
                  <c:v>0.27999999999999997</c:v>
                </c:pt>
                <c:pt idx="15">
                  <c:v>0.28000000000000003</c:v>
                </c:pt>
              </c:numCache>
            </c:numRef>
          </c:val>
          <c:smooth val="0"/>
          <c:extLst>
            <c:ext xmlns:c16="http://schemas.microsoft.com/office/drawing/2014/chart" uri="{C3380CC4-5D6E-409C-BE32-E72D297353CC}">
              <c16:uniqueId val="{00000003-92A9-46F8-82FE-FD9BD3802C47}"/>
            </c:ext>
          </c:extLst>
        </c:ser>
        <c:dLbls>
          <c:showLegendKey val="0"/>
          <c:showVal val="0"/>
          <c:showCatName val="0"/>
          <c:showSerName val="0"/>
          <c:showPercent val="0"/>
          <c:showBubbleSize val="0"/>
        </c:dLbls>
        <c:marker val="1"/>
        <c:smooth val="0"/>
        <c:axId val="1081195711"/>
        <c:axId val="1081212031"/>
      </c:lineChart>
      <c:catAx>
        <c:axId val="1081204831"/>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200031"/>
        <c:crosses val="autoZero"/>
        <c:auto val="1"/>
        <c:lblAlgn val="ctr"/>
        <c:lblOffset val="100"/>
        <c:noMultiLvlLbl val="0"/>
      </c:catAx>
      <c:valAx>
        <c:axId val="1081200031"/>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204831"/>
        <c:crosses val="autoZero"/>
        <c:crossBetween val="between"/>
      </c:valAx>
      <c:valAx>
        <c:axId val="108121203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95711"/>
        <c:crosses val="max"/>
        <c:crossBetween val="between"/>
      </c:valAx>
      <c:catAx>
        <c:axId val="1081195711"/>
        <c:scaling>
          <c:orientation val="minMax"/>
        </c:scaling>
        <c:delete val="1"/>
        <c:axPos val="b"/>
        <c:numFmt formatCode="&quot;FY&quot;0" sourceLinked="1"/>
        <c:majorTickMark val="out"/>
        <c:minorTickMark val="none"/>
        <c:tickLblPos val="nextTo"/>
        <c:crossAx val="10812120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SG&amp;A</a:t>
            </a:r>
            <a:r>
              <a:rPr lang="en-IN" baseline="0"/>
              <a:t> Breakup % Total SG&amp;A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8270949826923814E-2"/>
          <c:y val="0.16771959558699173"/>
          <c:w val="0.89998991973829356"/>
          <c:h val="0.55441256322291321"/>
        </c:manualLayout>
      </c:layout>
      <c:lineChart>
        <c:grouping val="standard"/>
        <c:varyColors val="0"/>
        <c:ser>
          <c:idx val="0"/>
          <c:order val="0"/>
          <c:tx>
            <c:strRef>
              <c:f>Report!$B$344</c:f>
              <c:strCache>
                <c:ptCount val="1"/>
                <c:pt idx="0">
                  <c:v>Employee Cost % SG&amp;A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Report!$C$343:$H$343</c:f>
              <c:numCache>
                <c:formatCode>"FY"0</c:formatCode>
                <c:ptCount val="6"/>
                <c:pt idx="0">
                  <c:v>2020</c:v>
                </c:pt>
                <c:pt idx="1">
                  <c:v>2021</c:v>
                </c:pt>
                <c:pt idx="2">
                  <c:v>2022</c:v>
                </c:pt>
                <c:pt idx="3">
                  <c:v>2023</c:v>
                </c:pt>
                <c:pt idx="4">
                  <c:v>2024</c:v>
                </c:pt>
                <c:pt idx="5">
                  <c:v>2025</c:v>
                </c:pt>
              </c:numCache>
            </c:numRef>
          </c:cat>
          <c:val>
            <c:numRef>
              <c:f>Report!$C$344:$H$344</c:f>
              <c:numCache>
                <c:formatCode>0%</c:formatCode>
                <c:ptCount val="6"/>
                <c:pt idx="0">
                  <c:v>0.15604904398525252</c:v>
                </c:pt>
                <c:pt idx="1">
                  <c:v>0.17790855590765053</c:v>
                </c:pt>
                <c:pt idx="2">
                  <c:v>0.18370145806265339</c:v>
                </c:pt>
                <c:pt idx="3">
                  <c:v>0.19395174991505268</c:v>
                </c:pt>
                <c:pt idx="4">
                  <c:v>0.17220855033480226</c:v>
                </c:pt>
                <c:pt idx="5">
                  <c:v>0.1739204160072349</c:v>
                </c:pt>
              </c:numCache>
            </c:numRef>
          </c:val>
          <c:smooth val="0"/>
          <c:extLst>
            <c:ext xmlns:c16="http://schemas.microsoft.com/office/drawing/2014/chart" uri="{C3380CC4-5D6E-409C-BE32-E72D297353CC}">
              <c16:uniqueId val="{00000000-6E42-4385-8A8D-FD737B0CA304}"/>
            </c:ext>
          </c:extLst>
        </c:ser>
        <c:ser>
          <c:idx val="1"/>
          <c:order val="1"/>
          <c:tx>
            <c:strRef>
              <c:f>Report!$B$345</c:f>
              <c:strCache>
                <c:ptCount val="1"/>
                <c:pt idx="0">
                  <c:v>Advertisement &amp; Sales Promotion % SG&amp;A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5"/>
              <c:layout>
                <c:manualLayout>
                  <c:x val="-7.9330440712388275E-3"/>
                  <c:y val="1.75877081137878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42-4385-8A8D-FD737B0CA3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Report!$C$343:$H$343</c:f>
              <c:numCache>
                <c:formatCode>"FY"0</c:formatCode>
                <c:ptCount val="6"/>
                <c:pt idx="0">
                  <c:v>2020</c:v>
                </c:pt>
                <c:pt idx="1">
                  <c:v>2021</c:v>
                </c:pt>
                <c:pt idx="2">
                  <c:v>2022</c:v>
                </c:pt>
                <c:pt idx="3">
                  <c:v>2023</c:v>
                </c:pt>
                <c:pt idx="4">
                  <c:v>2024</c:v>
                </c:pt>
                <c:pt idx="5">
                  <c:v>2025</c:v>
                </c:pt>
              </c:numCache>
            </c:numRef>
          </c:cat>
          <c:val>
            <c:numRef>
              <c:f>Report!$C$345:$H$345</c:f>
              <c:numCache>
                <c:formatCode>0%</c:formatCode>
                <c:ptCount val="6"/>
                <c:pt idx="0">
                  <c:v>0.40409843093543685</c:v>
                </c:pt>
                <c:pt idx="1">
                  <c:v>0.35868417081635734</c:v>
                </c:pt>
                <c:pt idx="2">
                  <c:v>0.34242817958712285</c:v>
                </c:pt>
                <c:pt idx="3">
                  <c:v>0.33346924906557934</c:v>
                </c:pt>
                <c:pt idx="4">
                  <c:v>0.36513477937389116</c:v>
                </c:pt>
                <c:pt idx="5">
                  <c:v>0.34071896902554827</c:v>
                </c:pt>
              </c:numCache>
            </c:numRef>
          </c:val>
          <c:smooth val="0"/>
          <c:extLst>
            <c:ext xmlns:c16="http://schemas.microsoft.com/office/drawing/2014/chart" uri="{C3380CC4-5D6E-409C-BE32-E72D297353CC}">
              <c16:uniqueId val="{00000001-6E42-4385-8A8D-FD737B0CA304}"/>
            </c:ext>
          </c:extLst>
        </c:ser>
        <c:ser>
          <c:idx val="2"/>
          <c:order val="2"/>
          <c:tx>
            <c:strRef>
              <c:f>Report!$B$346</c:f>
              <c:strCache>
                <c:ptCount val="1"/>
                <c:pt idx="0">
                  <c:v>Other Expenses % SG&amp;A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5"/>
              <c:layout>
                <c:manualLayout>
                  <c:x val="-3.092103282043502E-3"/>
                  <c:y val="-1.75877081137878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42-4385-8A8D-FD737B0CA3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1F4E79"/>
                      </a:solidFill>
                      <a:round/>
                    </a:ln>
                    <a:effectLst/>
                  </c:spPr>
                </c15:leaderLines>
              </c:ext>
            </c:extLst>
          </c:dLbls>
          <c:cat>
            <c:numRef>
              <c:f>Report!$C$343:$H$343</c:f>
              <c:numCache>
                <c:formatCode>"FY"0</c:formatCode>
                <c:ptCount val="6"/>
                <c:pt idx="0">
                  <c:v>2020</c:v>
                </c:pt>
                <c:pt idx="1">
                  <c:v>2021</c:v>
                </c:pt>
                <c:pt idx="2">
                  <c:v>2022</c:v>
                </c:pt>
                <c:pt idx="3">
                  <c:v>2023</c:v>
                </c:pt>
                <c:pt idx="4">
                  <c:v>2024</c:v>
                </c:pt>
                <c:pt idx="5">
                  <c:v>2025</c:v>
                </c:pt>
              </c:numCache>
            </c:numRef>
          </c:cat>
          <c:val>
            <c:numRef>
              <c:f>Report!$C$346:$H$346</c:f>
              <c:numCache>
                <c:formatCode>0%</c:formatCode>
                <c:ptCount val="6"/>
                <c:pt idx="0">
                  <c:v>0.31064048701020319</c:v>
                </c:pt>
                <c:pt idx="1">
                  <c:v>0.33189980383280521</c:v>
                </c:pt>
                <c:pt idx="2">
                  <c:v>0.33860256965497332</c:v>
                </c:pt>
                <c:pt idx="3">
                  <c:v>0.33856608902480462</c:v>
                </c:pt>
                <c:pt idx="4">
                  <c:v>0.35294454300921424</c:v>
                </c:pt>
                <c:pt idx="5">
                  <c:v>0.37468912502826135</c:v>
                </c:pt>
              </c:numCache>
            </c:numRef>
          </c:val>
          <c:smooth val="0"/>
          <c:extLst>
            <c:ext xmlns:c16="http://schemas.microsoft.com/office/drawing/2014/chart" uri="{C3380CC4-5D6E-409C-BE32-E72D297353CC}">
              <c16:uniqueId val="{00000002-6E42-4385-8A8D-FD737B0CA304}"/>
            </c:ext>
          </c:extLst>
        </c:ser>
        <c:ser>
          <c:idx val="3"/>
          <c:order val="3"/>
          <c:tx>
            <c:strRef>
              <c:f>Report!$B$347</c:f>
              <c:strCache>
                <c:ptCount val="1"/>
                <c:pt idx="0">
                  <c:v>Other Selling &amp; Distribution Cost % SG&amp;A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Report!$C$343:$H$343</c:f>
              <c:numCache>
                <c:formatCode>"FY"0</c:formatCode>
                <c:ptCount val="6"/>
                <c:pt idx="0">
                  <c:v>2020</c:v>
                </c:pt>
                <c:pt idx="1">
                  <c:v>2021</c:v>
                </c:pt>
                <c:pt idx="2">
                  <c:v>2022</c:v>
                </c:pt>
                <c:pt idx="3">
                  <c:v>2023</c:v>
                </c:pt>
                <c:pt idx="4">
                  <c:v>2024</c:v>
                </c:pt>
                <c:pt idx="5">
                  <c:v>2025</c:v>
                </c:pt>
              </c:numCache>
            </c:numRef>
          </c:cat>
          <c:val>
            <c:numRef>
              <c:f>Report!$C$347:$H$347</c:f>
              <c:numCache>
                <c:formatCode>0%</c:formatCode>
                <c:ptCount val="6"/>
                <c:pt idx="0">
                  <c:v>0.12921203806910744</c:v>
                </c:pt>
                <c:pt idx="1">
                  <c:v>0.13150746944318698</c:v>
                </c:pt>
                <c:pt idx="2">
                  <c:v>0.13526779269525047</c:v>
                </c:pt>
                <c:pt idx="3">
                  <c:v>0.13401291199456336</c:v>
                </c:pt>
                <c:pt idx="4">
                  <c:v>0.10971212728209237</c:v>
                </c:pt>
                <c:pt idx="5">
                  <c:v>0.11067148993895547</c:v>
                </c:pt>
              </c:numCache>
            </c:numRef>
          </c:val>
          <c:smooth val="0"/>
          <c:extLst>
            <c:ext xmlns:c16="http://schemas.microsoft.com/office/drawing/2014/chart" uri="{C3380CC4-5D6E-409C-BE32-E72D297353CC}">
              <c16:uniqueId val="{00000003-6E42-4385-8A8D-FD737B0CA304}"/>
            </c:ext>
          </c:extLst>
        </c:ser>
        <c:dLbls>
          <c:showLegendKey val="0"/>
          <c:showVal val="0"/>
          <c:showCatName val="0"/>
          <c:showSerName val="0"/>
          <c:showPercent val="0"/>
          <c:showBubbleSize val="0"/>
        </c:dLbls>
        <c:marker val="1"/>
        <c:smooth val="0"/>
        <c:axId val="1512417295"/>
        <c:axId val="1512427855"/>
      </c:lineChart>
      <c:catAx>
        <c:axId val="1512417295"/>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7855"/>
        <c:crosses val="autoZero"/>
        <c:auto val="1"/>
        <c:lblAlgn val="ctr"/>
        <c:lblOffset val="100"/>
        <c:noMultiLvlLbl val="0"/>
      </c:catAx>
      <c:valAx>
        <c:axId val="151242785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17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Report!$B$352</c:f>
              <c:strCache>
                <c:ptCount val="1"/>
                <c:pt idx="0">
                  <c:v>Revenue</c:v>
                </c:pt>
              </c:strCache>
            </c:strRef>
          </c:tx>
          <c:spPr>
            <a:solidFill>
              <a:schemeClr val="accent1"/>
            </a:solidFill>
            <a:ln>
              <a:noFill/>
            </a:ln>
            <a:effectLst/>
          </c:spPr>
          <c:invertIfNegative val="0"/>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Report!$C$352:$R$352</c:f>
              <c:numCache>
                <c:formatCode>0</c:formatCode>
                <c:ptCount val="16"/>
                <c:pt idx="0">
                  <c:v>39783</c:v>
                </c:pt>
                <c:pt idx="1">
                  <c:v>47028</c:v>
                </c:pt>
                <c:pt idx="2">
                  <c:v>52446</c:v>
                </c:pt>
                <c:pt idx="3">
                  <c:v>60590</c:v>
                </c:pt>
                <c:pt idx="4">
                  <c:v>61836</c:v>
                </c:pt>
                <c:pt idx="5">
                  <c:v>63121</c:v>
                </c:pt>
                <c:pt idx="6">
                  <c:v>68610.580000000016</c:v>
                </c:pt>
                <c:pt idx="7">
                  <c:v>74637.470400000006</c:v>
                </c:pt>
                <c:pt idx="8">
                  <c:v>81258.607912000007</c:v>
                </c:pt>
                <c:pt idx="9">
                  <c:v>88537.282247160038</c:v>
                </c:pt>
                <c:pt idx="10">
                  <c:v>96543.868598924819</c:v>
                </c:pt>
                <c:pt idx="11">
                  <c:v>105356.64638480304</c:v>
                </c:pt>
                <c:pt idx="12">
                  <c:v>114845.76623983758</c:v>
                </c:pt>
                <c:pt idx="13">
                  <c:v>124596.8134866242</c:v>
                </c:pt>
                <c:pt idx="14">
                  <c:v>134538.36988544796</c:v>
                </c:pt>
                <c:pt idx="15">
                  <c:v>144600.84860186314</c:v>
                </c:pt>
              </c:numCache>
            </c:numRef>
          </c:val>
          <c:extLst>
            <c:ext xmlns:c16="http://schemas.microsoft.com/office/drawing/2014/chart" uri="{C3380CC4-5D6E-409C-BE32-E72D297353CC}">
              <c16:uniqueId val="{00000000-16BF-43BF-9696-958328147F8F}"/>
            </c:ext>
          </c:extLst>
        </c:ser>
        <c:ser>
          <c:idx val="1"/>
          <c:order val="1"/>
          <c:tx>
            <c:strRef>
              <c:f>Report!$B$356</c:f>
              <c:strCache>
                <c:ptCount val="1"/>
                <c:pt idx="0">
                  <c:v>COGS</c:v>
                </c:pt>
              </c:strCache>
            </c:strRef>
          </c:tx>
          <c:spPr>
            <a:solidFill>
              <a:schemeClr val="accent3"/>
            </a:solidFill>
            <a:ln>
              <a:noFill/>
            </a:ln>
            <a:effectLst/>
          </c:spPr>
          <c:invertIfNegative val="0"/>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Report!$C$356:$R$356</c:f>
              <c:numCache>
                <c:formatCode>0</c:formatCode>
                <c:ptCount val="16"/>
                <c:pt idx="0">
                  <c:v>18259</c:v>
                </c:pt>
                <c:pt idx="1">
                  <c:v>22148</c:v>
                </c:pt>
                <c:pt idx="2">
                  <c:v>25735</c:v>
                </c:pt>
                <c:pt idx="3">
                  <c:v>31716</c:v>
                </c:pt>
                <c:pt idx="4">
                  <c:v>29760</c:v>
                </c:pt>
                <c:pt idx="5">
                  <c:v>30578</c:v>
                </c:pt>
                <c:pt idx="6">
                  <c:v>33619.184200000011</c:v>
                </c:pt>
                <c:pt idx="7">
                  <c:v>36404.426187600002</c:v>
                </c:pt>
                <c:pt idx="8">
                  <c:v>39451.054141276007</c:v>
                </c:pt>
                <c:pt idx="9">
                  <c:v>42785.641645940093</c:v>
                </c:pt>
                <c:pt idx="10">
                  <c:v>46437.600796082836</c:v>
                </c:pt>
                <c:pt idx="11">
                  <c:v>50676.546911090263</c:v>
                </c:pt>
                <c:pt idx="12">
                  <c:v>55240.813561361872</c:v>
                </c:pt>
                <c:pt idx="13">
                  <c:v>59931.067287066238</c:v>
                </c:pt>
                <c:pt idx="14">
                  <c:v>64712.955914900464</c:v>
                </c:pt>
                <c:pt idx="15">
                  <c:v>69553.008177496173</c:v>
                </c:pt>
              </c:numCache>
            </c:numRef>
          </c:val>
          <c:extLst>
            <c:ext xmlns:c16="http://schemas.microsoft.com/office/drawing/2014/chart" uri="{C3380CC4-5D6E-409C-BE32-E72D297353CC}">
              <c16:uniqueId val="{00000001-16BF-43BF-9696-958328147F8F}"/>
            </c:ext>
          </c:extLst>
        </c:ser>
        <c:dLbls>
          <c:showLegendKey val="0"/>
          <c:showVal val="0"/>
          <c:showCatName val="0"/>
          <c:showSerName val="0"/>
          <c:showPercent val="0"/>
          <c:showBubbleSize val="0"/>
        </c:dLbls>
        <c:gapWidth val="219"/>
        <c:overlap val="-27"/>
        <c:axId val="1512423535"/>
        <c:axId val="1512431215"/>
      </c:barChart>
      <c:lineChart>
        <c:grouping val="standard"/>
        <c:varyColors val="0"/>
        <c:ser>
          <c:idx val="2"/>
          <c:order val="2"/>
          <c:tx>
            <c:strRef>
              <c:f>Report!$B$357</c:f>
              <c:strCache>
                <c:ptCount val="1"/>
                <c:pt idx="0">
                  <c:v>Inventory Days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Report!$C$357:$R$357</c:f>
              <c:numCache>
                <c:formatCode>0\ "Days"</c:formatCode>
                <c:ptCount val="16"/>
                <c:pt idx="0">
                  <c:v>55.312722493017148</c:v>
                </c:pt>
                <c:pt idx="1">
                  <c:v>58.982075130937332</c:v>
                </c:pt>
                <c:pt idx="2">
                  <c:v>58.093646784534677</c:v>
                </c:pt>
                <c:pt idx="3">
                  <c:v>48.922152856602345</c:v>
                </c:pt>
                <c:pt idx="4">
                  <c:v>49.328965053763447</c:v>
                </c:pt>
                <c:pt idx="5">
                  <c:v>52.700470926810127</c:v>
                </c:pt>
                <c:pt idx="6">
                  <c:v>60</c:v>
                </c:pt>
                <c:pt idx="7">
                  <c:v>60</c:v>
                </c:pt>
                <c:pt idx="8">
                  <c:v>60</c:v>
                </c:pt>
                <c:pt idx="9">
                  <c:v>60</c:v>
                </c:pt>
                <c:pt idx="10">
                  <c:v>60</c:v>
                </c:pt>
                <c:pt idx="11">
                  <c:v>60</c:v>
                </c:pt>
                <c:pt idx="12">
                  <c:v>60.000000000000007</c:v>
                </c:pt>
                <c:pt idx="13">
                  <c:v>60</c:v>
                </c:pt>
                <c:pt idx="14">
                  <c:v>60</c:v>
                </c:pt>
                <c:pt idx="15">
                  <c:v>60</c:v>
                </c:pt>
              </c:numCache>
            </c:numRef>
          </c:val>
          <c:smooth val="0"/>
          <c:extLst>
            <c:ext xmlns:c16="http://schemas.microsoft.com/office/drawing/2014/chart" uri="{C3380CC4-5D6E-409C-BE32-E72D297353CC}">
              <c16:uniqueId val="{00000002-16BF-43BF-9696-958328147F8F}"/>
            </c:ext>
          </c:extLst>
        </c:ser>
        <c:ser>
          <c:idx val="3"/>
          <c:order val="3"/>
          <c:tx>
            <c:strRef>
              <c:f>Report!$B$358</c:f>
              <c:strCache>
                <c:ptCount val="1"/>
                <c:pt idx="0">
                  <c:v>Debtor Days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Report!$C$358:$R$358</c:f>
              <c:numCache>
                <c:formatCode>0\ "Days"</c:formatCode>
                <c:ptCount val="16"/>
                <c:pt idx="0">
                  <c:v>10.541814342809742</c:v>
                </c:pt>
                <c:pt idx="1">
                  <c:v>13.644424598111764</c:v>
                </c:pt>
                <c:pt idx="2">
                  <c:v>15.561529954619989</c:v>
                </c:pt>
                <c:pt idx="3">
                  <c:v>18.548192771084338</c:v>
                </c:pt>
                <c:pt idx="4">
                  <c:v>17.69042305453134</c:v>
                </c:pt>
                <c:pt idx="5">
                  <c:v>22.08353796676225</c:v>
                </c:pt>
                <c:pt idx="6">
                  <c:v>18</c:v>
                </c:pt>
                <c:pt idx="7">
                  <c:v>16</c:v>
                </c:pt>
                <c:pt idx="8">
                  <c:v>16</c:v>
                </c:pt>
                <c:pt idx="9">
                  <c:v>16</c:v>
                </c:pt>
                <c:pt idx="10">
                  <c:v>16</c:v>
                </c:pt>
                <c:pt idx="11">
                  <c:v>16</c:v>
                </c:pt>
                <c:pt idx="12">
                  <c:v>16</c:v>
                </c:pt>
                <c:pt idx="13">
                  <c:v>16</c:v>
                </c:pt>
                <c:pt idx="14">
                  <c:v>16</c:v>
                </c:pt>
                <c:pt idx="15">
                  <c:v>16</c:v>
                </c:pt>
              </c:numCache>
            </c:numRef>
          </c:val>
          <c:smooth val="0"/>
          <c:extLst>
            <c:ext xmlns:c16="http://schemas.microsoft.com/office/drawing/2014/chart" uri="{C3380CC4-5D6E-409C-BE32-E72D297353CC}">
              <c16:uniqueId val="{00000003-16BF-43BF-9696-958328147F8F}"/>
            </c:ext>
          </c:extLst>
        </c:ser>
        <c:dLbls>
          <c:showLegendKey val="0"/>
          <c:showVal val="0"/>
          <c:showCatName val="0"/>
          <c:showSerName val="0"/>
          <c:showPercent val="0"/>
          <c:showBubbleSize val="0"/>
        </c:dLbls>
        <c:marker val="1"/>
        <c:smooth val="0"/>
        <c:axId val="2133867599"/>
        <c:axId val="2133874799"/>
      </c:lineChart>
      <c:catAx>
        <c:axId val="1512423535"/>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31215"/>
        <c:crosses val="autoZero"/>
        <c:auto val="1"/>
        <c:lblAlgn val="ctr"/>
        <c:lblOffset val="100"/>
        <c:noMultiLvlLbl val="0"/>
      </c:catAx>
      <c:valAx>
        <c:axId val="151243121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23535"/>
        <c:crosses val="autoZero"/>
        <c:crossBetween val="between"/>
      </c:valAx>
      <c:valAx>
        <c:axId val="2133874799"/>
        <c:scaling>
          <c:orientation val="minMax"/>
        </c:scaling>
        <c:delete val="0"/>
        <c:axPos val="r"/>
        <c:numFmt formatCode="0\ &quot;Days&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867599"/>
        <c:crosses val="max"/>
        <c:crossBetween val="between"/>
      </c:valAx>
      <c:catAx>
        <c:axId val="2133867599"/>
        <c:scaling>
          <c:orientation val="minMax"/>
        </c:scaling>
        <c:delete val="1"/>
        <c:axPos val="b"/>
        <c:numFmt formatCode="&quot;FY&quot;0" sourceLinked="1"/>
        <c:majorTickMark val="out"/>
        <c:minorTickMark val="none"/>
        <c:tickLblPos val="nextTo"/>
        <c:crossAx val="21338747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Report!$B$363</c:f>
              <c:strCache>
                <c:ptCount val="1"/>
                <c:pt idx="0">
                  <c:v>Revenue Yoy%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Report!$C$362:$R$362</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Report!$C$363:$R$363</c:f>
              <c:numCache>
                <c:formatCode>0.0%</c:formatCode>
                <c:ptCount val="16"/>
                <c:pt idx="0">
                  <c:v>1.2032561689137689E-2</c:v>
                </c:pt>
                <c:pt idx="1">
                  <c:v>0.18211296282331646</c:v>
                </c:pt>
                <c:pt idx="2">
                  <c:v>0.11520796121459553</c:v>
                </c:pt>
                <c:pt idx="3">
                  <c:v>0.15509285741524614</c:v>
                </c:pt>
                <c:pt idx="4">
                  <c:v>2.1723341036645749E-2</c:v>
                </c:pt>
                <c:pt idx="5">
                  <c:v>1.9791262763344974E-2</c:v>
                </c:pt>
                <c:pt idx="6">
                  <c:v>8.6969154481076227E-2</c:v>
                </c:pt>
                <c:pt idx="7">
                  <c:v>8.7841997546150852E-2</c:v>
                </c:pt>
                <c:pt idx="8">
                  <c:v>8.8710636581273983E-2</c:v>
                </c:pt>
                <c:pt idx="9">
                  <c:v>8.9574194318496891E-2</c:v>
                </c:pt>
                <c:pt idx="10">
                  <c:v>9.0431806223887135E-2</c:v>
                </c:pt>
                <c:pt idx="11">
                  <c:v>9.1282625336772227E-2</c:v>
                </c:pt>
                <c:pt idx="12">
                  <c:v>9.0066646772113623E-2</c:v>
                </c:pt>
                <c:pt idx="13">
                  <c:v>8.4905587433001806E-2</c:v>
                </c:pt>
                <c:pt idx="14">
                  <c:v>7.9789812601355203E-2</c:v>
                </c:pt>
                <c:pt idx="15">
                  <c:v>7.479263146255466E-2</c:v>
                </c:pt>
              </c:numCache>
            </c:numRef>
          </c:val>
          <c:smooth val="0"/>
          <c:extLst>
            <c:ext xmlns:c16="http://schemas.microsoft.com/office/drawing/2014/chart" uri="{C3380CC4-5D6E-409C-BE32-E72D297353CC}">
              <c16:uniqueId val="{00000000-1021-45A0-ADD8-04C4A867595B}"/>
            </c:ext>
          </c:extLst>
        </c:ser>
        <c:ser>
          <c:idx val="1"/>
          <c:order val="1"/>
          <c:tx>
            <c:strRef>
              <c:f>Report!$B$364</c:f>
              <c:strCache>
                <c:ptCount val="1"/>
                <c:pt idx="0">
                  <c:v>Inventory Yoy% Growth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Report!$C$362:$R$362</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Report!$C$364:$R$364</c:f>
              <c:numCache>
                <c:formatCode>0.0%</c:formatCode>
                <c:ptCount val="16"/>
                <c:pt idx="1">
                  <c:v>0.29345861944344054</c:v>
                </c:pt>
                <c:pt idx="2">
                  <c:v>0.14445375803297011</c:v>
                </c:pt>
                <c:pt idx="3">
                  <c:v>3.7841796875E-2</c:v>
                </c:pt>
                <c:pt idx="4">
                  <c:v>-5.3869677722888754E-2</c:v>
                </c:pt>
                <c:pt idx="5">
                  <c:v>9.7712580805569438E-2</c:v>
                </c:pt>
                <c:pt idx="6">
                  <c:v>0.25174206984284608</c:v>
                </c:pt>
                <c:pt idx="7">
                  <c:v>8.28468047002755E-2</c:v>
                </c:pt>
                <c:pt idx="8">
                  <c:v>8.3688393767726632E-2</c:v>
                </c:pt>
                <c:pt idx="9">
                  <c:v>8.4524674365424435E-2</c:v>
                </c:pt>
                <c:pt idx="10">
                  <c:v>8.5354782811566832E-2</c:v>
                </c:pt>
                <c:pt idx="11">
                  <c:v>9.1282625336772227E-2</c:v>
                </c:pt>
                <c:pt idx="12">
                  <c:v>9.0066646772113623E-2</c:v>
                </c:pt>
                <c:pt idx="13">
                  <c:v>8.4905587433001806E-2</c:v>
                </c:pt>
                <c:pt idx="14">
                  <c:v>7.9789812601355203E-2</c:v>
                </c:pt>
                <c:pt idx="15">
                  <c:v>7.4792631462554882E-2</c:v>
                </c:pt>
              </c:numCache>
            </c:numRef>
          </c:val>
          <c:smooth val="0"/>
          <c:extLst>
            <c:ext xmlns:c16="http://schemas.microsoft.com/office/drawing/2014/chart" uri="{C3380CC4-5D6E-409C-BE32-E72D297353CC}">
              <c16:uniqueId val="{00000001-1021-45A0-ADD8-04C4A867595B}"/>
            </c:ext>
          </c:extLst>
        </c:ser>
        <c:ser>
          <c:idx val="2"/>
          <c:order val="2"/>
          <c:tx>
            <c:strRef>
              <c:f>Report!$B$365</c:f>
              <c:strCache>
                <c:ptCount val="1"/>
                <c:pt idx="0">
                  <c:v>Trade Receivables Yoy% Growth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Report!$C$362:$R$362</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Report!$C$365:$R$365</c:f>
              <c:numCache>
                <c:formatCode>0.0%</c:formatCode>
                <c:ptCount val="16"/>
                <c:pt idx="1">
                  <c:v>0.53002610966057451</c:v>
                </c:pt>
                <c:pt idx="2">
                  <c:v>0.27189988623435712</c:v>
                </c:pt>
                <c:pt idx="3">
                  <c:v>0.37701252236135963</c:v>
                </c:pt>
                <c:pt idx="4">
                  <c:v>-2.6632023384215664E-2</c:v>
                </c:pt>
                <c:pt idx="5">
                  <c:v>0.27427427427427431</c:v>
                </c:pt>
                <c:pt idx="6">
                  <c:v>-0.11402580464655787</c:v>
                </c:pt>
                <c:pt idx="7">
                  <c:v>-3.3029335514532576E-2</c:v>
                </c:pt>
                <c:pt idx="8">
                  <c:v>8.8710636581273983E-2</c:v>
                </c:pt>
                <c:pt idx="9">
                  <c:v>8.9574194318496891E-2</c:v>
                </c:pt>
                <c:pt idx="10">
                  <c:v>9.0431806223887135E-2</c:v>
                </c:pt>
                <c:pt idx="11">
                  <c:v>9.1282625336772227E-2</c:v>
                </c:pt>
                <c:pt idx="12">
                  <c:v>9.0066646772113845E-2</c:v>
                </c:pt>
                <c:pt idx="13">
                  <c:v>8.4905587433001806E-2</c:v>
                </c:pt>
                <c:pt idx="14">
                  <c:v>7.9789812601355203E-2</c:v>
                </c:pt>
                <c:pt idx="15">
                  <c:v>7.479263146255466E-2</c:v>
                </c:pt>
              </c:numCache>
            </c:numRef>
          </c:val>
          <c:smooth val="0"/>
          <c:extLst>
            <c:ext xmlns:c16="http://schemas.microsoft.com/office/drawing/2014/chart" uri="{C3380CC4-5D6E-409C-BE32-E72D297353CC}">
              <c16:uniqueId val="{00000002-1021-45A0-ADD8-04C4A867595B}"/>
            </c:ext>
          </c:extLst>
        </c:ser>
        <c:dLbls>
          <c:showLegendKey val="0"/>
          <c:showVal val="0"/>
          <c:showCatName val="0"/>
          <c:showSerName val="0"/>
          <c:showPercent val="0"/>
          <c:showBubbleSize val="0"/>
        </c:dLbls>
        <c:marker val="1"/>
        <c:smooth val="0"/>
        <c:axId val="1526366847"/>
        <c:axId val="1526367807"/>
      </c:lineChart>
      <c:catAx>
        <c:axId val="1526366847"/>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367807"/>
        <c:crosses val="autoZero"/>
        <c:auto val="1"/>
        <c:lblAlgn val="ctr"/>
        <c:lblOffset val="100"/>
        <c:noMultiLvlLbl val="0"/>
      </c:catAx>
      <c:valAx>
        <c:axId val="1526367807"/>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36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Other Current Items %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Report!$B$368</c:f>
              <c:strCache>
                <c:ptCount val="1"/>
                <c:pt idx="0">
                  <c:v>Total Revenue</c:v>
                </c:pt>
              </c:strCache>
            </c:strRef>
          </c:tx>
          <c:spPr>
            <a:solidFill>
              <a:schemeClr val="accent1"/>
            </a:solidFill>
            <a:ln>
              <a:noFill/>
            </a:ln>
            <a:effectLst/>
          </c:spPr>
          <c:invertIfNegative val="0"/>
          <c:cat>
            <c:numRef>
              <c:f>Report!$C$367:$R$367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Report!$C$368:$R$368</c:f>
              <c:numCache>
                <c:formatCode>0</c:formatCode>
                <c:ptCount val="16"/>
                <c:pt idx="0">
                  <c:v>39783</c:v>
                </c:pt>
                <c:pt idx="1">
                  <c:v>47028</c:v>
                </c:pt>
                <c:pt idx="2">
                  <c:v>52446</c:v>
                </c:pt>
                <c:pt idx="3">
                  <c:v>60590</c:v>
                </c:pt>
                <c:pt idx="4">
                  <c:v>61836</c:v>
                </c:pt>
                <c:pt idx="5">
                  <c:v>63121</c:v>
                </c:pt>
                <c:pt idx="6">
                  <c:v>68610.580000000016</c:v>
                </c:pt>
                <c:pt idx="7">
                  <c:v>74637.470400000006</c:v>
                </c:pt>
                <c:pt idx="8">
                  <c:v>81258.607912000007</c:v>
                </c:pt>
                <c:pt idx="9">
                  <c:v>88537.282247160038</c:v>
                </c:pt>
                <c:pt idx="10">
                  <c:v>96543.868598924819</c:v>
                </c:pt>
                <c:pt idx="11">
                  <c:v>105356.64638480304</c:v>
                </c:pt>
                <c:pt idx="12">
                  <c:v>114845.76623983758</c:v>
                </c:pt>
                <c:pt idx="13">
                  <c:v>124596.8134866242</c:v>
                </c:pt>
                <c:pt idx="14">
                  <c:v>134538.36988544796</c:v>
                </c:pt>
                <c:pt idx="15">
                  <c:v>144600.84860186314</c:v>
                </c:pt>
              </c:numCache>
            </c:numRef>
          </c:val>
          <c:extLst>
            <c:ext xmlns:c16="http://schemas.microsoft.com/office/drawing/2014/chart" uri="{C3380CC4-5D6E-409C-BE32-E72D297353CC}">
              <c16:uniqueId val="{00000000-5FE5-4F36-B414-6513EAFAEBCB}"/>
            </c:ext>
          </c:extLst>
        </c:ser>
        <c:dLbls>
          <c:showLegendKey val="0"/>
          <c:showVal val="0"/>
          <c:showCatName val="0"/>
          <c:showSerName val="0"/>
          <c:showPercent val="0"/>
          <c:showBubbleSize val="0"/>
        </c:dLbls>
        <c:gapWidth val="219"/>
        <c:overlap val="-27"/>
        <c:axId val="1271024351"/>
        <c:axId val="1271023391"/>
      </c:barChart>
      <c:lineChart>
        <c:grouping val="standard"/>
        <c:varyColors val="0"/>
        <c:ser>
          <c:idx val="1"/>
          <c:order val="1"/>
          <c:tx>
            <c:strRef>
              <c:f>Report!$B$369</c:f>
              <c:strCache>
                <c:ptCount val="1"/>
                <c:pt idx="0">
                  <c:v>Other Current Assets % Revenue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Report!$C$367:$R$367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Report!$C$369:$R$369</c:f>
              <c:numCache>
                <c:formatCode>0.0%</c:formatCode>
                <c:ptCount val="16"/>
                <c:pt idx="0">
                  <c:v>1.5559409798154991E-2</c:v>
                </c:pt>
                <c:pt idx="1">
                  <c:v>1.0929658926596921E-2</c:v>
                </c:pt>
                <c:pt idx="2">
                  <c:v>1.3366128970750868E-2</c:v>
                </c:pt>
                <c:pt idx="3">
                  <c:v>1.2493810859877868E-2</c:v>
                </c:pt>
                <c:pt idx="4">
                  <c:v>1.1724561743967915E-2</c:v>
                </c:pt>
                <c:pt idx="5">
                  <c:v>1.5494051108189034E-2</c:v>
                </c:pt>
                <c:pt idx="6">
                  <c:v>0.01</c:v>
                </c:pt>
                <c:pt idx="7">
                  <c:v>0.01</c:v>
                </c:pt>
                <c:pt idx="8">
                  <c:v>0.01</c:v>
                </c:pt>
                <c:pt idx="9">
                  <c:v>0.01</c:v>
                </c:pt>
                <c:pt idx="10">
                  <c:v>0.01</c:v>
                </c:pt>
                <c:pt idx="11">
                  <c:v>0.01</c:v>
                </c:pt>
                <c:pt idx="12">
                  <c:v>0.01</c:v>
                </c:pt>
                <c:pt idx="13">
                  <c:v>0.01</c:v>
                </c:pt>
                <c:pt idx="14">
                  <c:v>0.01</c:v>
                </c:pt>
                <c:pt idx="15">
                  <c:v>0.01</c:v>
                </c:pt>
              </c:numCache>
            </c:numRef>
          </c:val>
          <c:smooth val="0"/>
          <c:extLst>
            <c:ext xmlns:c16="http://schemas.microsoft.com/office/drawing/2014/chart" uri="{C3380CC4-5D6E-409C-BE32-E72D297353CC}">
              <c16:uniqueId val="{00000001-5FE5-4F36-B414-6513EAFAEBCB}"/>
            </c:ext>
          </c:extLst>
        </c:ser>
        <c:ser>
          <c:idx val="2"/>
          <c:order val="2"/>
          <c:tx>
            <c:strRef>
              <c:f>Report!$B$370</c:f>
              <c:strCache>
                <c:ptCount val="1"/>
                <c:pt idx="0">
                  <c:v>Current Investments % Revenue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Report!$C$367:$R$367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Report!$C$370:$R$370</c:f>
              <c:numCache>
                <c:formatCode>0.0%</c:formatCode>
                <c:ptCount val="16"/>
                <c:pt idx="0">
                  <c:v>3.1495865067993865E-2</c:v>
                </c:pt>
                <c:pt idx="1">
                  <c:v>5.7561452751552264E-2</c:v>
                </c:pt>
                <c:pt idx="2">
                  <c:v>6.7097586088548225E-2</c:v>
                </c:pt>
                <c:pt idx="3">
                  <c:v>4.6393794355504211E-2</c:v>
                </c:pt>
                <c:pt idx="4">
                  <c:v>7.3711106798628634E-2</c:v>
                </c:pt>
                <c:pt idx="5">
                  <c:v>5.9425547757481663E-2</c:v>
                </c:pt>
                <c:pt idx="6">
                  <c:v>5.4670868545346786E-2</c:v>
                </c:pt>
                <c:pt idx="7">
                  <c:v>5.0256258416817939E-2</c:v>
                </c:pt>
                <c:pt idx="8">
                  <c:v>4.6161263358857819E-2</c:v>
                </c:pt>
                <c:pt idx="9">
                  <c:v>4.2366333196548041E-2</c:v>
                </c:pt>
                <c:pt idx="10">
                  <c:v>3.8852803957783122E-2</c:v>
                </c:pt>
                <c:pt idx="11">
                  <c:v>3.5602879635138571E-2</c:v>
                </c:pt>
                <c:pt idx="12">
                  <c:v>3.2661195295319967E-2</c:v>
                </c:pt>
                <c:pt idx="13">
                  <c:v>3.01051037746056E-2</c:v>
                </c:pt>
                <c:pt idx="14">
                  <c:v>2.788052213798763E-2</c:v>
                </c:pt>
                <c:pt idx="15">
                  <c:v>2.5940373353740259E-2</c:v>
                </c:pt>
              </c:numCache>
            </c:numRef>
          </c:val>
          <c:smooth val="0"/>
          <c:extLst>
            <c:ext xmlns:c16="http://schemas.microsoft.com/office/drawing/2014/chart" uri="{C3380CC4-5D6E-409C-BE32-E72D297353CC}">
              <c16:uniqueId val="{00000002-5FE5-4F36-B414-6513EAFAEBCB}"/>
            </c:ext>
          </c:extLst>
        </c:ser>
        <c:ser>
          <c:idx val="3"/>
          <c:order val="3"/>
          <c:tx>
            <c:strRef>
              <c:f>Report!$B$371</c:f>
              <c:strCache>
                <c:ptCount val="1"/>
                <c:pt idx="0">
                  <c:v>Loans % Revenue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Report!$C$367:$R$367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Report!$C$371:$R$371</c:f>
              <c:numCache>
                <c:formatCode>0.0%</c:formatCode>
                <c:ptCount val="16"/>
                <c:pt idx="0">
                  <c:v>0</c:v>
                </c:pt>
                <c:pt idx="1">
                  <c:v>0</c:v>
                </c:pt>
                <c:pt idx="2">
                  <c:v>6.6735308698470804E-4</c:v>
                </c:pt>
                <c:pt idx="3">
                  <c:v>5.9415745172470701E-4</c:v>
                </c:pt>
                <c:pt idx="4">
                  <c:v>6.1452875347693897E-4</c:v>
                </c:pt>
                <c:pt idx="5">
                  <c:v>7.2875905007842084E-4</c:v>
                </c:pt>
                <c:pt idx="6">
                  <c:v>6.7045053401385024E-4</c:v>
                </c:pt>
                <c:pt idx="7">
                  <c:v>6.1631241993431751E-4</c:v>
                </c:pt>
                <c:pt idx="8">
                  <c:v>5.6609387216941074E-4</c:v>
                </c:pt>
                <c:pt idx="9">
                  <c:v>5.195551391738763E-4</c:v>
                </c:pt>
                <c:pt idx="10">
                  <c:v>4.7646733725887063E-4</c:v>
                </c:pt>
                <c:pt idx="11">
                  <c:v>4.3661222693051834E-4</c:v>
                </c:pt>
                <c:pt idx="12">
                  <c:v>4.0053718570640323E-4</c:v>
                </c:pt>
                <c:pt idx="13">
                  <c:v>3.6919082208260667E-4</c:v>
                </c:pt>
                <c:pt idx="14">
                  <c:v>3.4190989558715836E-4</c:v>
                </c:pt>
                <c:pt idx="15">
                  <c:v>3.1811708191736924E-4</c:v>
                </c:pt>
              </c:numCache>
            </c:numRef>
          </c:val>
          <c:smooth val="0"/>
          <c:extLst>
            <c:ext xmlns:c16="http://schemas.microsoft.com/office/drawing/2014/chart" uri="{C3380CC4-5D6E-409C-BE32-E72D297353CC}">
              <c16:uniqueId val="{00000003-5FE5-4F36-B414-6513EAFAEBCB}"/>
            </c:ext>
          </c:extLst>
        </c:ser>
        <c:ser>
          <c:idx val="4"/>
          <c:order val="4"/>
          <c:tx>
            <c:strRef>
              <c:f>Report!$B$372</c:f>
              <c:strCache>
                <c:ptCount val="1"/>
                <c:pt idx="0">
                  <c:v>Other Financial Assets % Revenue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Report!$C$367:$R$367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Report!$C$372:$R$372</c:f>
              <c:numCache>
                <c:formatCode>0.0%</c:formatCode>
                <c:ptCount val="16"/>
                <c:pt idx="0">
                  <c:v>3.5693637986074452E-2</c:v>
                </c:pt>
                <c:pt idx="1">
                  <c:v>2.5261546312834907E-2</c:v>
                </c:pt>
                <c:pt idx="2">
                  <c:v>2.0764214620752775E-2</c:v>
                </c:pt>
                <c:pt idx="3">
                  <c:v>2.2875061891401222E-2</c:v>
                </c:pt>
                <c:pt idx="4">
                  <c:v>2.3044828255385213E-2</c:v>
                </c:pt>
                <c:pt idx="5">
                  <c:v>2.3573771011232394E-2</c:v>
                </c:pt>
                <c:pt idx="6">
                  <c:v>9.8000000000000014E-3</c:v>
                </c:pt>
                <c:pt idx="7">
                  <c:v>9.7549999999999998E-3</c:v>
                </c:pt>
                <c:pt idx="8">
                  <c:v>9.7099999999999999E-3</c:v>
                </c:pt>
                <c:pt idx="9">
                  <c:v>9.665E-3</c:v>
                </c:pt>
                <c:pt idx="10">
                  <c:v>9.6200000000000001E-3</c:v>
                </c:pt>
                <c:pt idx="11">
                  <c:v>9.6200000000000001E-3</c:v>
                </c:pt>
                <c:pt idx="12">
                  <c:v>9.6199999999999983E-3</c:v>
                </c:pt>
                <c:pt idx="13">
                  <c:v>9.6200000000000001E-3</c:v>
                </c:pt>
                <c:pt idx="14">
                  <c:v>9.6200000000000001E-3</c:v>
                </c:pt>
                <c:pt idx="15">
                  <c:v>9.6200000000000018E-3</c:v>
                </c:pt>
              </c:numCache>
            </c:numRef>
          </c:val>
          <c:smooth val="0"/>
          <c:extLst>
            <c:ext xmlns:c16="http://schemas.microsoft.com/office/drawing/2014/chart" uri="{C3380CC4-5D6E-409C-BE32-E72D297353CC}">
              <c16:uniqueId val="{00000004-5FE5-4F36-B414-6513EAFAEBCB}"/>
            </c:ext>
          </c:extLst>
        </c:ser>
        <c:dLbls>
          <c:showLegendKey val="0"/>
          <c:showVal val="0"/>
          <c:showCatName val="0"/>
          <c:showSerName val="0"/>
          <c:showPercent val="0"/>
          <c:showBubbleSize val="0"/>
        </c:dLbls>
        <c:marker val="1"/>
        <c:smooth val="0"/>
        <c:axId val="949741279"/>
        <c:axId val="949732159"/>
      </c:lineChart>
      <c:catAx>
        <c:axId val="949741279"/>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32159"/>
        <c:crosses val="autoZero"/>
        <c:auto val="1"/>
        <c:lblAlgn val="ctr"/>
        <c:lblOffset val="100"/>
        <c:noMultiLvlLbl val="0"/>
      </c:catAx>
      <c:valAx>
        <c:axId val="949732159"/>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41279"/>
        <c:crosses val="autoZero"/>
        <c:crossBetween val="between"/>
      </c:valAx>
      <c:valAx>
        <c:axId val="12710233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24351"/>
        <c:crosses val="max"/>
        <c:crossBetween val="between"/>
      </c:valAx>
      <c:catAx>
        <c:axId val="1271024351"/>
        <c:scaling>
          <c:orientation val="minMax"/>
        </c:scaling>
        <c:delete val="1"/>
        <c:axPos val="b"/>
        <c:numFmt formatCode="&quot;FY&quot;0" sourceLinked="1"/>
        <c:majorTickMark val="out"/>
        <c:minorTickMark val="none"/>
        <c:tickLblPos val="nextTo"/>
        <c:crossAx val="12710233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Trade Payables</a:t>
            </a:r>
            <a:endParaRPr lang="en-IN"/>
          </a:p>
        </c:rich>
      </c:tx>
      <c:layout>
        <c:manualLayout>
          <c:xMode val="edge"/>
          <c:yMode val="edge"/>
          <c:x val="0.5909999999999999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2"/>
          <c:order val="2"/>
          <c:tx>
            <c:strRef>
              <c:f>Report!$B$381</c:f>
              <c:strCache>
                <c:ptCount val="1"/>
                <c:pt idx="0">
                  <c:v>Trade Payable Days (COGS)</c:v>
                </c:pt>
              </c:strCache>
            </c:strRef>
          </c:tx>
          <c:spPr>
            <a:solidFill>
              <a:schemeClr val="accent1">
                <a:tint val="65000"/>
              </a:schemeClr>
            </a:solidFill>
            <a:ln>
              <a:noFill/>
            </a:ln>
            <a:effectLst/>
          </c:spPr>
          <c:invertIfNegative val="0"/>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Report!$C$381:$R$381</c:f>
              <c:numCache>
                <c:formatCode>0\ "Days"</c:formatCode>
                <c:ptCount val="16"/>
                <c:pt idx="0">
                  <c:v>150.62571882359384</c:v>
                </c:pt>
                <c:pt idx="1">
                  <c:v>145.05734152067905</c:v>
                </c:pt>
                <c:pt idx="2">
                  <c:v>128.61161841849619</c:v>
                </c:pt>
                <c:pt idx="3">
                  <c:v>110.18129650649514</c:v>
                </c:pt>
                <c:pt idx="4">
                  <c:v>128.60853494623657</c:v>
                </c:pt>
                <c:pt idx="5">
                  <c:v>135.06360782261757</c:v>
                </c:pt>
                <c:pt idx="6">
                  <c:v>160</c:v>
                </c:pt>
                <c:pt idx="7">
                  <c:v>160</c:v>
                </c:pt>
                <c:pt idx="8">
                  <c:v>160</c:v>
                </c:pt>
                <c:pt idx="9">
                  <c:v>160</c:v>
                </c:pt>
                <c:pt idx="10">
                  <c:v>160</c:v>
                </c:pt>
                <c:pt idx="11">
                  <c:v>160</c:v>
                </c:pt>
                <c:pt idx="12">
                  <c:v>160</c:v>
                </c:pt>
                <c:pt idx="13">
                  <c:v>160</c:v>
                </c:pt>
                <c:pt idx="14">
                  <c:v>160</c:v>
                </c:pt>
                <c:pt idx="15">
                  <c:v>160</c:v>
                </c:pt>
              </c:numCache>
            </c:numRef>
          </c:val>
          <c:extLst>
            <c:ext xmlns:c16="http://schemas.microsoft.com/office/drawing/2014/chart" uri="{C3380CC4-5D6E-409C-BE32-E72D297353CC}">
              <c16:uniqueId val="{00000002-CA1F-4F3E-B1EE-0E3861C412C0}"/>
            </c:ext>
          </c:extLst>
        </c:ser>
        <c:dLbls>
          <c:showLegendKey val="0"/>
          <c:showVal val="0"/>
          <c:showCatName val="0"/>
          <c:showSerName val="0"/>
          <c:showPercent val="0"/>
          <c:showBubbleSize val="0"/>
        </c:dLbls>
        <c:gapWidth val="219"/>
        <c:axId val="1520089407"/>
        <c:axId val="1520091327"/>
      </c:barChart>
      <c:barChart>
        <c:barDir val="col"/>
        <c:grouping val="clustered"/>
        <c:varyColors val="0"/>
        <c:ser>
          <c:idx val="1"/>
          <c:order val="1"/>
          <c:tx>
            <c:strRef>
              <c:f>Report!$B$379</c:f>
              <c:strCache>
                <c:ptCount val="1"/>
                <c:pt idx="0">
                  <c:v>COGS</c:v>
                </c:pt>
              </c:strCache>
            </c:strRef>
          </c:tx>
          <c:spPr>
            <a:solidFill>
              <a:schemeClr val="accent1"/>
            </a:solidFill>
            <a:ln>
              <a:noFill/>
            </a:ln>
            <a:effectLst/>
          </c:spPr>
          <c:invertIfNegative val="0"/>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Report!$C$379:$R$379</c:f>
              <c:numCache>
                <c:formatCode>0</c:formatCode>
                <c:ptCount val="16"/>
                <c:pt idx="0">
                  <c:v>18259</c:v>
                </c:pt>
                <c:pt idx="1">
                  <c:v>22148</c:v>
                </c:pt>
                <c:pt idx="2">
                  <c:v>25735</c:v>
                </c:pt>
                <c:pt idx="3">
                  <c:v>31716</c:v>
                </c:pt>
                <c:pt idx="4">
                  <c:v>29760</c:v>
                </c:pt>
                <c:pt idx="5">
                  <c:v>30578</c:v>
                </c:pt>
                <c:pt idx="6">
                  <c:v>33619.184200000011</c:v>
                </c:pt>
                <c:pt idx="7">
                  <c:v>36404.426187600002</c:v>
                </c:pt>
                <c:pt idx="8">
                  <c:v>39451.054141276007</c:v>
                </c:pt>
                <c:pt idx="9">
                  <c:v>42785.641645940093</c:v>
                </c:pt>
                <c:pt idx="10">
                  <c:v>46437.600796082836</c:v>
                </c:pt>
                <c:pt idx="11">
                  <c:v>50676.546911090263</c:v>
                </c:pt>
                <c:pt idx="12">
                  <c:v>55240.813561361872</c:v>
                </c:pt>
                <c:pt idx="13">
                  <c:v>59931.067287066238</c:v>
                </c:pt>
                <c:pt idx="14">
                  <c:v>64712.955914900464</c:v>
                </c:pt>
                <c:pt idx="15">
                  <c:v>69553.008177496173</c:v>
                </c:pt>
              </c:numCache>
            </c:numRef>
          </c:val>
          <c:extLst>
            <c:ext xmlns:c16="http://schemas.microsoft.com/office/drawing/2014/chart" uri="{C3380CC4-5D6E-409C-BE32-E72D297353CC}">
              <c16:uniqueId val="{00000001-CA1F-4F3E-B1EE-0E3861C412C0}"/>
            </c:ext>
          </c:extLst>
        </c:ser>
        <c:dLbls>
          <c:showLegendKey val="0"/>
          <c:showVal val="0"/>
          <c:showCatName val="0"/>
          <c:showSerName val="0"/>
          <c:showPercent val="0"/>
          <c:showBubbleSize val="0"/>
        </c:dLbls>
        <c:gapWidth val="219"/>
        <c:axId val="1520087007"/>
        <c:axId val="1520086047"/>
      </c:barChart>
      <c:lineChart>
        <c:grouping val="standard"/>
        <c:varyColors val="0"/>
        <c:ser>
          <c:idx val="0"/>
          <c:order val="0"/>
          <c:tx>
            <c:strRef>
              <c:f>Report!$B$380</c:f>
              <c:strCache>
                <c:ptCount val="1"/>
                <c:pt idx="0">
                  <c:v>Trade Payable Growth YoY%</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dLbls>
            <c:numFmt formatCode="0%" sourceLinked="0"/>
            <c:spPr>
              <a:noFill/>
              <a:ln>
                <a:noFill/>
              </a:ln>
              <a:effectLst/>
            </c:spPr>
            <c:txPr>
              <a:bodyPr rot="-5400000" spcFirstLastPara="1" vertOverflow="ellipsis"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Report!$C$380:$R$380</c:f>
              <c:numCache>
                <c:formatCode>0.0%</c:formatCode>
                <c:ptCount val="16"/>
                <c:pt idx="1">
                  <c:v>0.16814863968148641</c:v>
                </c:pt>
                <c:pt idx="2">
                  <c:v>3.0220404453533245E-2</c:v>
                </c:pt>
                <c:pt idx="3">
                  <c:v>5.5800617556241772E-2</c:v>
                </c:pt>
                <c:pt idx="4">
                  <c:v>9.5257990390641423E-2</c:v>
                </c:pt>
                <c:pt idx="5">
                  <c:v>7.9057791340835459E-2</c:v>
                </c:pt>
                <c:pt idx="6">
                  <c:v>0.3024460128693276</c:v>
                </c:pt>
                <c:pt idx="7">
                  <c:v>8.28468047002755E-2</c:v>
                </c:pt>
                <c:pt idx="8">
                  <c:v>8.368839376772641E-2</c:v>
                </c:pt>
                <c:pt idx="9">
                  <c:v>8.4524674365424657E-2</c:v>
                </c:pt>
                <c:pt idx="10">
                  <c:v>8.535478281156661E-2</c:v>
                </c:pt>
                <c:pt idx="11">
                  <c:v>9.1282625336772449E-2</c:v>
                </c:pt>
                <c:pt idx="12">
                  <c:v>9.0066646772113623E-2</c:v>
                </c:pt>
                <c:pt idx="13">
                  <c:v>8.4905587433001806E-2</c:v>
                </c:pt>
                <c:pt idx="14">
                  <c:v>7.9789812601355203E-2</c:v>
                </c:pt>
                <c:pt idx="15">
                  <c:v>7.4792631462554882E-2</c:v>
                </c:pt>
              </c:numCache>
            </c:numRef>
          </c:val>
          <c:smooth val="0"/>
          <c:extLst>
            <c:ext xmlns:c16="http://schemas.microsoft.com/office/drawing/2014/chart" uri="{C3380CC4-5D6E-409C-BE32-E72D297353CC}">
              <c16:uniqueId val="{00000000-CA1F-4F3E-B1EE-0E3861C412C0}"/>
            </c:ext>
          </c:extLst>
        </c:ser>
        <c:dLbls>
          <c:showLegendKey val="0"/>
          <c:showVal val="0"/>
          <c:showCatName val="0"/>
          <c:showSerName val="0"/>
          <c:showPercent val="0"/>
          <c:showBubbleSize val="0"/>
        </c:dLbls>
        <c:marker val="1"/>
        <c:smooth val="0"/>
        <c:axId val="1520089407"/>
        <c:axId val="1520091327"/>
      </c:lineChart>
      <c:catAx>
        <c:axId val="1520089407"/>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091327"/>
        <c:crosses val="autoZero"/>
        <c:auto val="1"/>
        <c:lblAlgn val="ctr"/>
        <c:lblOffset val="100"/>
        <c:noMultiLvlLbl val="0"/>
      </c:catAx>
      <c:valAx>
        <c:axId val="1520091327"/>
        <c:scaling>
          <c:orientation val="minMax"/>
        </c:scaling>
        <c:delete val="0"/>
        <c:axPos val="l"/>
        <c:majorGridlines>
          <c:spPr>
            <a:ln w="9525" cap="flat" cmpd="sng" algn="ctr">
              <a:noFill/>
              <a:round/>
            </a:ln>
            <a:effectLst/>
          </c:spPr>
        </c:majorGridlines>
        <c:numFmt formatCode="0\ &quot;Day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089407"/>
        <c:crosses val="autoZero"/>
        <c:crossBetween val="between"/>
      </c:valAx>
      <c:valAx>
        <c:axId val="1520086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087007"/>
        <c:crosses val="max"/>
        <c:crossBetween val="between"/>
      </c:valAx>
      <c:catAx>
        <c:axId val="1520087007"/>
        <c:scaling>
          <c:orientation val="minMax"/>
        </c:scaling>
        <c:delete val="1"/>
        <c:axPos val="b"/>
        <c:numFmt formatCode="&quot;FY&quot;0" sourceLinked="1"/>
        <c:majorTickMark val="out"/>
        <c:minorTickMark val="none"/>
        <c:tickLblPos val="nextTo"/>
        <c:crossAx val="1520086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r>
              <a:rPr lang="en-IN" b="1">
                <a:solidFill>
                  <a:srgbClr val="1F4E79"/>
                </a:solidFill>
              </a:rPr>
              <a:t>Trade Payables %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Report!$B$376</c:f>
              <c:strCache>
                <c:ptCount val="1"/>
                <c:pt idx="0">
                  <c:v>Total Revenue</c:v>
                </c:pt>
              </c:strCache>
            </c:strRef>
          </c:tx>
          <c:spPr>
            <a:solidFill>
              <a:schemeClr val="accent1">
                <a:shade val="76000"/>
              </a:schemeClr>
            </a:solidFill>
            <a:ln>
              <a:noFill/>
            </a:ln>
            <a:effectLst/>
          </c:spPr>
          <c:invertIfNegative val="0"/>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Report!$C$376:$R$376</c:f>
              <c:numCache>
                <c:formatCode>0</c:formatCode>
                <c:ptCount val="16"/>
                <c:pt idx="0">
                  <c:v>39783</c:v>
                </c:pt>
                <c:pt idx="1">
                  <c:v>47028</c:v>
                </c:pt>
                <c:pt idx="2">
                  <c:v>52446</c:v>
                </c:pt>
                <c:pt idx="3">
                  <c:v>60590</c:v>
                </c:pt>
                <c:pt idx="4">
                  <c:v>61836</c:v>
                </c:pt>
                <c:pt idx="5">
                  <c:v>63121</c:v>
                </c:pt>
                <c:pt idx="6">
                  <c:v>68610.580000000016</c:v>
                </c:pt>
                <c:pt idx="7">
                  <c:v>74637.470400000006</c:v>
                </c:pt>
                <c:pt idx="8">
                  <c:v>81258.607912000007</c:v>
                </c:pt>
                <c:pt idx="9">
                  <c:v>88537.282247160038</c:v>
                </c:pt>
                <c:pt idx="10">
                  <c:v>96543.868598924819</c:v>
                </c:pt>
                <c:pt idx="11">
                  <c:v>105356.64638480304</c:v>
                </c:pt>
                <c:pt idx="12">
                  <c:v>114845.76623983758</c:v>
                </c:pt>
                <c:pt idx="13">
                  <c:v>124596.8134866242</c:v>
                </c:pt>
                <c:pt idx="14">
                  <c:v>134538.36988544796</c:v>
                </c:pt>
                <c:pt idx="15">
                  <c:v>144600.84860186314</c:v>
                </c:pt>
              </c:numCache>
            </c:numRef>
          </c:val>
          <c:extLst>
            <c:ext xmlns:c16="http://schemas.microsoft.com/office/drawing/2014/chart" uri="{C3380CC4-5D6E-409C-BE32-E72D297353CC}">
              <c16:uniqueId val="{00000000-9761-4664-87D1-FADF9DB7CAFF}"/>
            </c:ext>
          </c:extLst>
        </c:ser>
        <c:dLbls>
          <c:showLegendKey val="0"/>
          <c:showVal val="0"/>
          <c:showCatName val="0"/>
          <c:showSerName val="0"/>
          <c:showPercent val="0"/>
          <c:showBubbleSize val="0"/>
        </c:dLbls>
        <c:gapWidth val="219"/>
        <c:overlap val="-27"/>
        <c:axId val="80683232"/>
        <c:axId val="80688512"/>
      </c:barChart>
      <c:lineChart>
        <c:grouping val="standard"/>
        <c:varyColors val="0"/>
        <c:ser>
          <c:idx val="1"/>
          <c:order val="1"/>
          <c:tx>
            <c:strRef>
              <c:f>Report!$B$378</c:f>
              <c:strCache>
                <c:ptCount val="1"/>
                <c:pt idx="0">
                  <c:v>Trade Payable % Revenue</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Report!$C$378:$R$378</c:f>
              <c:numCache>
                <c:formatCode>0.0%</c:formatCode>
                <c:ptCount val="16"/>
                <c:pt idx="0">
                  <c:v>0.18940250860920493</c:v>
                </c:pt>
                <c:pt idx="1">
                  <c:v>0.18716509313600407</c:v>
                </c:pt>
                <c:pt idx="2">
                  <c:v>0.17290165122220952</c:v>
                </c:pt>
                <c:pt idx="3">
                  <c:v>0.15801287341145404</c:v>
                </c:pt>
                <c:pt idx="4">
                  <c:v>0.16957759234103112</c:v>
                </c:pt>
                <c:pt idx="5">
                  <c:v>0.17925888373124635</c:v>
                </c:pt>
                <c:pt idx="6">
                  <c:v>0.21479452054794521</c:v>
                </c:pt>
                <c:pt idx="7">
                  <c:v>0.21380821917808218</c:v>
                </c:pt>
                <c:pt idx="8">
                  <c:v>0.21282191780821919</c:v>
                </c:pt>
                <c:pt idx="9">
                  <c:v>0.21183561643835619</c:v>
                </c:pt>
                <c:pt idx="10">
                  <c:v>0.21084931506849314</c:v>
                </c:pt>
                <c:pt idx="11">
                  <c:v>0.21084931506849316</c:v>
                </c:pt>
                <c:pt idx="12">
                  <c:v>0.21084931506849314</c:v>
                </c:pt>
                <c:pt idx="13">
                  <c:v>0.21084931506849314</c:v>
                </c:pt>
                <c:pt idx="14">
                  <c:v>0.21084931506849314</c:v>
                </c:pt>
                <c:pt idx="15">
                  <c:v>0.21084931506849314</c:v>
                </c:pt>
              </c:numCache>
            </c:numRef>
          </c:val>
          <c:smooth val="0"/>
          <c:extLst>
            <c:ext xmlns:c16="http://schemas.microsoft.com/office/drawing/2014/chart" uri="{C3380CC4-5D6E-409C-BE32-E72D297353CC}">
              <c16:uniqueId val="{00000001-9761-4664-87D1-FADF9DB7CAFF}"/>
            </c:ext>
          </c:extLst>
        </c:ser>
        <c:dLbls>
          <c:showLegendKey val="0"/>
          <c:showVal val="0"/>
          <c:showCatName val="0"/>
          <c:showSerName val="0"/>
          <c:showPercent val="0"/>
          <c:showBubbleSize val="0"/>
        </c:dLbls>
        <c:marker val="1"/>
        <c:smooth val="0"/>
        <c:axId val="80690432"/>
        <c:axId val="80681312"/>
      </c:lineChart>
      <c:catAx>
        <c:axId val="80683232"/>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8512"/>
        <c:crosses val="autoZero"/>
        <c:auto val="1"/>
        <c:lblAlgn val="ctr"/>
        <c:lblOffset val="100"/>
        <c:noMultiLvlLbl val="0"/>
      </c:catAx>
      <c:valAx>
        <c:axId val="8068851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83232"/>
        <c:crosses val="autoZero"/>
        <c:crossBetween val="between"/>
      </c:valAx>
      <c:valAx>
        <c:axId val="8068131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0432"/>
        <c:crosses val="max"/>
        <c:crossBetween val="between"/>
      </c:valAx>
      <c:catAx>
        <c:axId val="80690432"/>
        <c:scaling>
          <c:orientation val="minMax"/>
        </c:scaling>
        <c:delete val="1"/>
        <c:axPos val="b"/>
        <c:numFmt formatCode="&quot;FY&quot;0" sourceLinked="1"/>
        <c:majorTickMark val="out"/>
        <c:minorTickMark val="none"/>
        <c:tickLblPos val="nextTo"/>
        <c:crossAx val="806813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r>
              <a:rPr lang="en-IN" b="1">
                <a:solidFill>
                  <a:srgbClr val="1F4E79"/>
                </a:solidFill>
              </a:rPr>
              <a:t>Trade Payable</a:t>
            </a:r>
            <a:r>
              <a:rPr lang="en-IN" b="1" baseline="0">
                <a:solidFill>
                  <a:srgbClr val="1F4E79"/>
                </a:solidFill>
              </a:rPr>
              <a:t> -Trade Payable Days</a:t>
            </a:r>
            <a:endParaRPr lang="en-IN" b="1">
              <a:solidFill>
                <a:srgbClr val="1F4E79"/>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mn-lt"/>
              <a:ea typeface="+mn-ea"/>
              <a:cs typeface="+mn-cs"/>
            </a:defRPr>
          </a:pPr>
          <a:endParaRPr lang="en-IN"/>
        </a:p>
      </c:txPr>
    </c:title>
    <c:autoTitleDeleted val="0"/>
    <c:plotArea>
      <c:layout/>
      <c:barChart>
        <c:barDir val="col"/>
        <c:grouping val="clustered"/>
        <c:varyColors val="0"/>
        <c:ser>
          <c:idx val="1"/>
          <c:order val="1"/>
          <c:tx>
            <c:strRef>
              <c:f>Report!$B$377</c:f>
              <c:strCache>
                <c:ptCount val="1"/>
                <c:pt idx="0">
                  <c:v>Trade Payable</c:v>
                </c:pt>
              </c:strCache>
            </c:strRef>
          </c:tx>
          <c:spPr>
            <a:solidFill>
              <a:schemeClr val="accent5">
                <a:tint val="77000"/>
              </a:schemeClr>
            </a:solidFill>
            <a:ln>
              <a:noFill/>
            </a:ln>
            <a:effectLst/>
          </c:spPr>
          <c:invertIfNegative val="0"/>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Report!$C$377:$R$377</c:f>
              <c:numCache>
                <c:formatCode>0</c:formatCode>
                <c:ptCount val="16"/>
                <c:pt idx="0">
                  <c:v>7535</c:v>
                </c:pt>
                <c:pt idx="1">
                  <c:v>8802</c:v>
                </c:pt>
                <c:pt idx="2">
                  <c:v>9068</c:v>
                </c:pt>
                <c:pt idx="3">
                  <c:v>9574</c:v>
                </c:pt>
                <c:pt idx="4">
                  <c:v>10486</c:v>
                </c:pt>
                <c:pt idx="5">
                  <c:v>11315</c:v>
                </c:pt>
                <c:pt idx="6">
                  <c:v>14737.176635616443</c:v>
                </c:pt>
                <c:pt idx="7">
                  <c:v>15958.104630180822</c:v>
                </c:pt>
                <c:pt idx="8">
                  <c:v>17293.612774257974</c:v>
                </c:pt>
                <c:pt idx="9">
                  <c:v>18755.349762603877</c:v>
                </c:pt>
                <c:pt idx="10">
                  <c:v>20356.208568145899</c:v>
                </c:pt>
                <c:pt idx="11">
                  <c:v>22214.376728149156</c:v>
                </c:pt>
                <c:pt idx="12">
                  <c:v>24215.151150186026</c:v>
                </c:pt>
                <c:pt idx="13">
                  <c:v>26271.152783371501</c:v>
                </c:pt>
                <c:pt idx="14">
                  <c:v>28367.323140778284</c:v>
                </c:pt>
                <c:pt idx="15">
                  <c:v>30488.989886025716</c:v>
                </c:pt>
              </c:numCache>
            </c:numRef>
          </c:val>
          <c:extLst>
            <c:ext xmlns:c16="http://schemas.microsoft.com/office/drawing/2014/chart" uri="{C3380CC4-5D6E-409C-BE32-E72D297353CC}">
              <c16:uniqueId val="{00000001-13DA-41AC-8518-67D9C7A99771}"/>
            </c:ext>
          </c:extLst>
        </c:ser>
        <c:dLbls>
          <c:showLegendKey val="0"/>
          <c:showVal val="0"/>
          <c:showCatName val="0"/>
          <c:showSerName val="0"/>
          <c:showPercent val="0"/>
          <c:showBubbleSize val="0"/>
        </c:dLbls>
        <c:gapWidth val="219"/>
        <c:axId val="80675552"/>
        <c:axId val="80673632"/>
      </c:barChart>
      <c:lineChart>
        <c:grouping val="standard"/>
        <c:varyColors val="0"/>
        <c:ser>
          <c:idx val="0"/>
          <c:order val="0"/>
          <c:tx>
            <c:strRef>
              <c:f>Report!$B$381</c:f>
              <c:strCache>
                <c:ptCount val="1"/>
                <c:pt idx="0">
                  <c:v>Trade Payable Days (COGS)</c:v>
                </c:pt>
              </c:strCache>
            </c:strRef>
          </c:tx>
          <c:spPr>
            <a:ln w="28575" cap="rnd">
              <a:solidFill>
                <a:schemeClr val="accent5">
                  <a:shade val="76000"/>
                </a:schemeClr>
              </a:solidFill>
              <a:round/>
            </a:ln>
            <a:effectLst/>
          </c:spPr>
          <c:marker>
            <c:symbol val="none"/>
          </c:marker>
          <c:cat>
            <c:numRef>
              <c:f>Report!$C$375:$R$375</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Report!$C$381:$R$381</c:f>
              <c:numCache>
                <c:formatCode>0\ "Days"</c:formatCode>
                <c:ptCount val="16"/>
                <c:pt idx="0">
                  <c:v>150.62571882359384</c:v>
                </c:pt>
                <c:pt idx="1">
                  <c:v>145.05734152067905</c:v>
                </c:pt>
                <c:pt idx="2">
                  <c:v>128.61161841849619</c:v>
                </c:pt>
                <c:pt idx="3">
                  <c:v>110.18129650649514</c:v>
                </c:pt>
                <c:pt idx="4">
                  <c:v>128.60853494623657</c:v>
                </c:pt>
                <c:pt idx="5">
                  <c:v>135.06360782261757</c:v>
                </c:pt>
                <c:pt idx="6">
                  <c:v>160</c:v>
                </c:pt>
                <c:pt idx="7">
                  <c:v>160</c:v>
                </c:pt>
                <c:pt idx="8">
                  <c:v>160</c:v>
                </c:pt>
                <c:pt idx="9">
                  <c:v>160</c:v>
                </c:pt>
                <c:pt idx="10">
                  <c:v>160</c:v>
                </c:pt>
                <c:pt idx="11">
                  <c:v>160</c:v>
                </c:pt>
                <c:pt idx="12">
                  <c:v>160</c:v>
                </c:pt>
                <c:pt idx="13">
                  <c:v>160</c:v>
                </c:pt>
                <c:pt idx="14">
                  <c:v>160</c:v>
                </c:pt>
                <c:pt idx="15">
                  <c:v>160</c:v>
                </c:pt>
              </c:numCache>
            </c:numRef>
          </c:val>
          <c:smooth val="0"/>
          <c:extLst>
            <c:ext xmlns:c16="http://schemas.microsoft.com/office/drawing/2014/chart" uri="{C3380CC4-5D6E-409C-BE32-E72D297353CC}">
              <c16:uniqueId val="{00000000-13DA-41AC-8518-67D9C7A99771}"/>
            </c:ext>
          </c:extLst>
        </c:ser>
        <c:dLbls>
          <c:showLegendKey val="0"/>
          <c:showVal val="0"/>
          <c:showCatName val="0"/>
          <c:showSerName val="0"/>
          <c:showPercent val="0"/>
          <c:showBubbleSize val="0"/>
        </c:dLbls>
        <c:marker val="1"/>
        <c:smooth val="0"/>
        <c:axId val="80674112"/>
        <c:axId val="80670272"/>
      </c:lineChart>
      <c:catAx>
        <c:axId val="80674112"/>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0272"/>
        <c:crosses val="autoZero"/>
        <c:auto val="1"/>
        <c:lblAlgn val="ctr"/>
        <c:lblOffset val="100"/>
        <c:noMultiLvlLbl val="0"/>
      </c:catAx>
      <c:valAx>
        <c:axId val="80670272"/>
        <c:scaling>
          <c:orientation val="minMax"/>
        </c:scaling>
        <c:delete val="0"/>
        <c:axPos val="l"/>
        <c:numFmt formatCode="0\ &quot;Days&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4112"/>
        <c:crosses val="autoZero"/>
        <c:crossBetween val="between"/>
      </c:valAx>
      <c:valAx>
        <c:axId val="806736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5552"/>
        <c:crosses val="max"/>
        <c:crossBetween val="between"/>
      </c:valAx>
      <c:catAx>
        <c:axId val="80675552"/>
        <c:scaling>
          <c:orientation val="minMax"/>
        </c:scaling>
        <c:delete val="1"/>
        <c:axPos val="b"/>
        <c:numFmt formatCode="&quot;FY&quot;0" sourceLinked="1"/>
        <c:majorTickMark val="out"/>
        <c:minorTickMark val="none"/>
        <c:tickLblPos val="nextTo"/>
        <c:crossAx val="80673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Report!$B$392</c:f>
              <c:strCache>
                <c:ptCount val="1"/>
                <c:pt idx="0">
                  <c:v>Lease Liabilities (L) % Total Debt</c:v>
                </c:pt>
              </c:strCache>
            </c:strRef>
          </c:tx>
          <c:spPr>
            <a:ln w="28575" cap="rnd">
              <a:solidFill>
                <a:schemeClr val="accent1"/>
              </a:solidFill>
              <a:round/>
            </a:ln>
            <a:effectLst/>
          </c:spPr>
          <c:marker>
            <c:symbol val="circle"/>
            <c:size val="5"/>
            <c:spPr>
              <a:solidFill>
                <a:schemeClr val="tx1">
                  <a:lumMod val="75000"/>
                  <a:lumOff val="25000"/>
                </a:schemeClr>
              </a:solidFill>
              <a:ln w="9525">
                <a:solidFill>
                  <a:schemeClr val="accent1"/>
                </a:solidFill>
              </a:ln>
              <a:effectLst/>
            </c:spPr>
          </c:marker>
          <c:cat>
            <c:numRef>
              <c:f>Report!$C$386:$R$386</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Report!$C$392:$R$392</c:f>
              <c:numCache>
                <c:formatCode>0.0%</c:formatCode>
                <c:ptCount val="16"/>
                <c:pt idx="2">
                  <c:v>0.71045062320230101</c:v>
                </c:pt>
                <c:pt idx="3">
                  <c:v>0.66201804757998362</c:v>
                </c:pt>
                <c:pt idx="4">
                  <c:v>0.74528301886792447</c:v>
                </c:pt>
                <c:pt idx="5">
                  <c:v>0.75424757281553401</c:v>
                </c:pt>
                <c:pt idx="6">
                  <c:v>0.66666666666666674</c:v>
                </c:pt>
                <c:pt idx="7">
                  <c:v>0.66666666666666663</c:v>
                </c:pt>
                <c:pt idx="8">
                  <c:v>0.66666666666666674</c:v>
                </c:pt>
                <c:pt idx="9">
                  <c:v>0.66666666666666674</c:v>
                </c:pt>
                <c:pt idx="10">
                  <c:v>0.66666666666666674</c:v>
                </c:pt>
                <c:pt idx="11">
                  <c:v>0.66666666666666663</c:v>
                </c:pt>
                <c:pt idx="12">
                  <c:v>0.66666666666666663</c:v>
                </c:pt>
                <c:pt idx="13">
                  <c:v>0.66666666666666663</c:v>
                </c:pt>
                <c:pt idx="14">
                  <c:v>0.66666666666666674</c:v>
                </c:pt>
                <c:pt idx="15">
                  <c:v>0.66666666666666674</c:v>
                </c:pt>
              </c:numCache>
            </c:numRef>
          </c:val>
          <c:smooth val="0"/>
          <c:extLst>
            <c:ext xmlns:c16="http://schemas.microsoft.com/office/drawing/2014/chart" uri="{C3380CC4-5D6E-409C-BE32-E72D297353CC}">
              <c16:uniqueId val="{00000000-2D0A-4F99-BD7E-D5CD8DE16BDA}"/>
            </c:ext>
          </c:extLst>
        </c:ser>
        <c:ser>
          <c:idx val="1"/>
          <c:order val="1"/>
          <c:tx>
            <c:strRef>
              <c:f>Report!$B$393</c:f>
              <c:strCache>
                <c:ptCount val="1"/>
                <c:pt idx="0">
                  <c:v>Lease Liabilities (S) % Total Debt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Report!$C$386:$R$386</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Report!$C$393:$R$393</c:f>
              <c:numCache>
                <c:formatCode>0.0%</c:formatCode>
                <c:ptCount val="16"/>
                <c:pt idx="2">
                  <c:v>0.28954937679769893</c:v>
                </c:pt>
                <c:pt idx="3">
                  <c:v>0.25758818703855618</c:v>
                </c:pt>
                <c:pt idx="4">
                  <c:v>0.24595687331536389</c:v>
                </c:pt>
                <c:pt idx="5">
                  <c:v>0.24514563106796117</c:v>
                </c:pt>
                <c:pt idx="6">
                  <c:v>0.33333333333333337</c:v>
                </c:pt>
                <c:pt idx="7">
                  <c:v>0.33333333333333331</c:v>
                </c:pt>
                <c:pt idx="8">
                  <c:v>0.33333333333333337</c:v>
                </c:pt>
                <c:pt idx="9">
                  <c:v>0.33333333333333337</c:v>
                </c:pt>
                <c:pt idx="10">
                  <c:v>0.33333333333333337</c:v>
                </c:pt>
                <c:pt idx="11">
                  <c:v>0.33333333333333331</c:v>
                </c:pt>
                <c:pt idx="12">
                  <c:v>0.33333333333333331</c:v>
                </c:pt>
                <c:pt idx="13">
                  <c:v>0.33333333333333331</c:v>
                </c:pt>
                <c:pt idx="14">
                  <c:v>0.33333333333333337</c:v>
                </c:pt>
                <c:pt idx="15">
                  <c:v>0.33333333333333337</c:v>
                </c:pt>
              </c:numCache>
            </c:numRef>
          </c:val>
          <c:smooth val="0"/>
          <c:extLst>
            <c:ext xmlns:c16="http://schemas.microsoft.com/office/drawing/2014/chart" uri="{C3380CC4-5D6E-409C-BE32-E72D297353CC}">
              <c16:uniqueId val="{00000001-2D0A-4F99-BD7E-D5CD8DE16BDA}"/>
            </c:ext>
          </c:extLst>
        </c:ser>
        <c:ser>
          <c:idx val="2"/>
          <c:order val="2"/>
          <c:tx>
            <c:strRef>
              <c:f>Report!$B$394</c:f>
              <c:strCache>
                <c:ptCount val="1"/>
                <c:pt idx="0">
                  <c:v>Short term Borrowings % Total Debt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Report!$C$386:$R$386</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Report!$C$394:$R$394</c:f>
              <c:numCache>
                <c:formatCode>0.0%</c:formatCode>
                <c:ptCount val="16"/>
                <c:pt idx="2">
                  <c:v>0</c:v>
                </c:pt>
                <c:pt idx="3">
                  <c:v>8.0393765381460217E-2</c:v>
                </c:pt>
                <c:pt idx="4">
                  <c:v>8.7601078167115903E-3</c:v>
                </c:pt>
                <c:pt idx="5">
                  <c:v>6.0679611650485432E-4</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2-2D0A-4F99-BD7E-D5CD8DE16BDA}"/>
            </c:ext>
          </c:extLst>
        </c:ser>
        <c:dLbls>
          <c:showLegendKey val="0"/>
          <c:showVal val="0"/>
          <c:showCatName val="0"/>
          <c:showSerName val="0"/>
          <c:showPercent val="0"/>
          <c:showBubbleSize val="0"/>
        </c:dLbls>
        <c:marker val="1"/>
        <c:smooth val="0"/>
        <c:axId val="1512378863"/>
        <c:axId val="1512395663"/>
      </c:lineChart>
      <c:catAx>
        <c:axId val="1512378863"/>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95663"/>
        <c:crosses val="autoZero"/>
        <c:auto val="1"/>
        <c:lblAlgn val="ctr"/>
        <c:lblOffset val="100"/>
        <c:noMultiLvlLbl val="0"/>
      </c:catAx>
      <c:valAx>
        <c:axId val="1512395663"/>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378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Report!$B$398</c:f>
              <c:strCache>
                <c:ptCount val="1"/>
                <c:pt idx="0">
                  <c:v>Capex</c:v>
                </c:pt>
              </c:strCache>
            </c:strRef>
          </c:tx>
          <c:spPr>
            <a:solidFill>
              <a:schemeClr val="accent1"/>
            </a:solidFill>
            <a:ln>
              <a:noFill/>
            </a:ln>
            <a:effectLst/>
          </c:spPr>
          <c:invertIfNegative val="0"/>
          <c:cat>
            <c:numRef>
              <c:f>Report!$C$397:$R$397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Report!$C$398:$R$398</c:f>
              <c:numCache>
                <c:formatCode>0</c:formatCode>
                <c:ptCount val="16"/>
                <c:pt idx="0">
                  <c:v>850</c:v>
                </c:pt>
                <c:pt idx="1">
                  <c:v>741</c:v>
                </c:pt>
                <c:pt idx="2">
                  <c:v>1225</c:v>
                </c:pt>
                <c:pt idx="3">
                  <c:v>1174</c:v>
                </c:pt>
                <c:pt idx="4">
                  <c:v>1468</c:v>
                </c:pt>
                <c:pt idx="5">
                  <c:v>1254</c:v>
                </c:pt>
                <c:pt idx="6">
                  <c:v>1411.5824117793791</c:v>
                </c:pt>
                <c:pt idx="7">
                  <c:v>1535.578630531093</c:v>
                </c:pt>
                <c:pt idx="8">
                  <c:v>1671.8007883661073</c:v>
                </c:pt>
                <c:pt idx="9">
                  <c:v>1821.5509970450291</c:v>
                </c:pt>
                <c:pt idx="10">
                  <c:v>1986.2771438367338</c:v>
                </c:pt>
                <c:pt idx="11">
                  <c:v>2167.5897361725765</c:v>
                </c:pt>
                <c:pt idx="12">
                  <c:v>2362.8172752872911</c:v>
                </c:pt>
                <c:pt idx="13">
                  <c:v>2563.4336640424031</c:v>
                </c:pt>
                <c:pt idx="14">
                  <c:v>2767.9695557123518</c:v>
                </c:pt>
                <c:pt idx="15">
                  <c:v>2974.993282592317</c:v>
                </c:pt>
              </c:numCache>
            </c:numRef>
          </c:val>
          <c:extLst>
            <c:ext xmlns:c16="http://schemas.microsoft.com/office/drawing/2014/chart" uri="{C3380CC4-5D6E-409C-BE32-E72D297353CC}">
              <c16:uniqueId val="{00000000-5371-4376-B821-B568E94648F3}"/>
            </c:ext>
          </c:extLst>
        </c:ser>
        <c:dLbls>
          <c:showLegendKey val="0"/>
          <c:showVal val="0"/>
          <c:showCatName val="0"/>
          <c:showSerName val="0"/>
          <c:showPercent val="0"/>
          <c:showBubbleSize val="0"/>
        </c:dLbls>
        <c:gapWidth val="219"/>
        <c:overlap val="-27"/>
        <c:axId val="115010464"/>
        <c:axId val="115019104"/>
      </c:barChart>
      <c:lineChart>
        <c:grouping val="standard"/>
        <c:varyColors val="0"/>
        <c:ser>
          <c:idx val="1"/>
          <c:order val="1"/>
          <c:tx>
            <c:strRef>
              <c:f>Report!$B$399</c:f>
              <c:strCache>
                <c:ptCount val="1"/>
                <c:pt idx="0">
                  <c:v>Capex YoY % Growth</c:v>
                </c:pt>
              </c:strCache>
            </c:strRef>
          </c:tx>
          <c:spPr>
            <a:ln w="28575" cap="rnd">
              <a:solidFill>
                <a:schemeClr val="accent3"/>
              </a:solidFill>
              <a:round/>
            </a:ln>
            <a:effectLst/>
          </c:spPr>
          <c:marker>
            <c:symbol val="circle"/>
            <c:size val="5"/>
            <c:spPr>
              <a:solidFill>
                <a:schemeClr val="bg1"/>
              </a:solidFill>
              <a:ln w="9525">
                <a:solidFill>
                  <a:schemeClr val="accent3"/>
                </a:solidFill>
              </a:ln>
              <a:effectLst/>
            </c:spPr>
          </c:marker>
          <c:cat>
            <c:numRef>
              <c:f>Report!$C$397:$R$397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Report!$C$399:$R$399</c:f>
              <c:numCache>
                <c:formatCode>0.0%</c:formatCode>
                <c:ptCount val="16"/>
                <c:pt idx="1">
                  <c:v>-0.12823529411764711</c:v>
                </c:pt>
                <c:pt idx="2">
                  <c:v>0.65317139001349522</c:v>
                </c:pt>
                <c:pt idx="3">
                  <c:v>-4.1632653061224545E-2</c:v>
                </c:pt>
                <c:pt idx="4">
                  <c:v>0.25042589437819429</c:v>
                </c:pt>
                <c:pt idx="5">
                  <c:v>-0.14577656675749318</c:v>
                </c:pt>
                <c:pt idx="6">
                  <c:v>0.12566380524671383</c:v>
                </c:pt>
                <c:pt idx="7">
                  <c:v>8.7841997546150852E-2</c:v>
                </c:pt>
                <c:pt idx="8">
                  <c:v>8.8710636581273983E-2</c:v>
                </c:pt>
                <c:pt idx="9">
                  <c:v>8.9574194318496669E-2</c:v>
                </c:pt>
                <c:pt idx="10">
                  <c:v>9.0431806223887135E-2</c:v>
                </c:pt>
                <c:pt idx="11">
                  <c:v>9.1282625336772227E-2</c:v>
                </c:pt>
                <c:pt idx="12">
                  <c:v>9.0066646772113623E-2</c:v>
                </c:pt>
                <c:pt idx="13">
                  <c:v>8.4905587433001806E-2</c:v>
                </c:pt>
                <c:pt idx="14">
                  <c:v>7.9789812601355203E-2</c:v>
                </c:pt>
                <c:pt idx="15">
                  <c:v>7.479263146255466E-2</c:v>
                </c:pt>
              </c:numCache>
            </c:numRef>
          </c:val>
          <c:smooth val="0"/>
          <c:extLst>
            <c:ext xmlns:c16="http://schemas.microsoft.com/office/drawing/2014/chart" uri="{C3380CC4-5D6E-409C-BE32-E72D297353CC}">
              <c16:uniqueId val="{00000001-5371-4376-B821-B568E94648F3}"/>
            </c:ext>
          </c:extLst>
        </c:ser>
        <c:dLbls>
          <c:showLegendKey val="0"/>
          <c:showVal val="0"/>
          <c:showCatName val="0"/>
          <c:showSerName val="0"/>
          <c:showPercent val="0"/>
          <c:showBubbleSize val="0"/>
        </c:dLbls>
        <c:marker val="1"/>
        <c:smooth val="0"/>
        <c:axId val="115018144"/>
        <c:axId val="115016704"/>
      </c:lineChart>
      <c:catAx>
        <c:axId val="115010464"/>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9104"/>
        <c:crosses val="autoZero"/>
        <c:auto val="1"/>
        <c:lblAlgn val="ctr"/>
        <c:lblOffset val="100"/>
        <c:noMultiLvlLbl val="0"/>
      </c:catAx>
      <c:valAx>
        <c:axId val="11501910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0464"/>
        <c:crosses val="autoZero"/>
        <c:crossBetween val="between"/>
      </c:valAx>
      <c:valAx>
        <c:axId val="115016704"/>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144"/>
        <c:crosses val="max"/>
        <c:crossBetween val="between"/>
      </c:valAx>
      <c:catAx>
        <c:axId val="115018144"/>
        <c:scaling>
          <c:orientation val="minMax"/>
        </c:scaling>
        <c:delete val="1"/>
        <c:axPos val="b"/>
        <c:numFmt formatCode="&quot;FY&quot;0" sourceLinked="1"/>
        <c:majorTickMark val="none"/>
        <c:minorTickMark val="none"/>
        <c:tickLblPos val="nextTo"/>
        <c:crossAx val="1150167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Assets Forecast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Report!$B$422</c:f>
              <c:strCache>
                <c:ptCount val="1"/>
                <c:pt idx="0">
                  <c:v>Fixed Assets</c:v>
                </c:pt>
              </c:strCache>
            </c:strRef>
          </c:tx>
          <c:spPr>
            <a:solidFill>
              <a:schemeClr val="accent1"/>
            </a:solidFill>
            <a:ln>
              <a:noFill/>
            </a:ln>
            <a:effectLst/>
          </c:spPr>
          <c:invertIfNegative val="0"/>
          <c:cat>
            <c:numRef>
              <c:f>Report!$C$397:$R$397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Report!$C$422:$R$422</c:f>
              <c:numCache>
                <c:formatCode>0%</c:formatCode>
                <c:ptCount val="16"/>
                <c:pt idx="0">
                  <c:v>0.27574058452835803</c:v>
                </c:pt>
                <c:pt idx="1">
                  <c:v>9.9786203586543915E-2</c:v>
                </c:pt>
                <c:pt idx="2">
                  <c:v>0.10610207467702823</c:v>
                </c:pt>
                <c:pt idx="3">
                  <c:v>0.11056685867527741</c:v>
                </c:pt>
                <c:pt idx="4">
                  <c:v>0.11536452693664888</c:v>
                </c:pt>
                <c:pt idx="5">
                  <c:v>0.12060590886329495</c:v>
                </c:pt>
                <c:pt idx="6">
                  <c:v>0.12720425028322116</c:v>
                </c:pt>
                <c:pt idx="7">
                  <c:v>0.1340999483924141</c:v>
                </c:pt>
                <c:pt idx="8">
                  <c:v>0.14117433301901627</c:v>
                </c:pt>
                <c:pt idx="9">
                  <c:v>0.14852736359619501</c:v>
                </c:pt>
                <c:pt idx="10">
                  <c:v>0.15627481231768342</c:v>
                </c:pt>
                <c:pt idx="11">
                  <c:v>0.16437536341676728</c:v>
                </c:pt>
                <c:pt idx="12">
                  <c:v>0.17307469239699849</c:v>
                </c:pt>
                <c:pt idx="13">
                  <c:v>0.18241820580640958</c:v>
                </c:pt>
                <c:pt idx="14">
                  <c:v>0.1924381129868413</c:v>
                </c:pt>
                <c:pt idx="15">
                  <c:v>0.20318659678719239</c:v>
                </c:pt>
              </c:numCache>
            </c:numRef>
          </c:val>
          <c:extLst>
            <c:ext xmlns:c16="http://schemas.microsoft.com/office/drawing/2014/chart" uri="{C3380CC4-5D6E-409C-BE32-E72D297353CC}">
              <c16:uniqueId val="{00000000-B5D4-4966-9A05-4746A0D54117}"/>
            </c:ext>
          </c:extLst>
        </c:ser>
        <c:ser>
          <c:idx val="1"/>
          <c:order val="1"/>
          <c:tx>
            <c:strRef>
              <c:f>Report!$B$423</c:f>
              <c:strCache>
                <c:ptCount val="1"/>
                <c:pt idx="0">
                  <c:v>Intangible Assets</c:v>
                </c:pt>
              </c:strCache>
            </c:strRef>
          </c:tx>
          <c:spPr>
            <a:solidFill>
              <a:schemeClr val="accent3"/>
            </a:solidFill>
            <a:ln>
              <a:noFill/>
            </a:ln>
            <a:effectLst/>
          </c:spPr>
          <c:invertIfNegative val="0"/>
          <c:cat>
            <c:numRef>
              <c:f>Report!$C$397:$R$397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Report!$C$423:$R$423</c:f>
              <c:numCache>
                <c:formatCode>0%</c:formatCode>
                <c:ptCount val="16"/>
                <c:pt idx="0">
                  <c:v>2.5752989629335584E-2</c:v>
                </c:pt>
                <c:pt idx="1">
                  <c:v>0.65923469610366947</c:v>
                </c:pt>
                <c:pt idx="2">
                  <c:v>0.64245501084844792</c:v>
                </c:pt>
                <c:pt idx="3">
                  <c:v>0.62567898531886657</c:v>
                </c:pt>
                <c:pt idx="4">
                  <c:v>0.58233862851756069</c:v>
                </c:pt>
                <c:pt idx="5">
                  <c:v>0.5722333500250375</c:v>
                </c:pt>
                <c:pt idx="6">
                  <c:v>0.53936938993264882</c:v>
                </c:pt>
                <c:pt idx="7">
                  <c:v>0.52511810929933178</c:v>
                </c:pt>
                <c:pt idx="8">
                  <c:v>0.51180717129141406</c:v>
                </c:pt>
                <c:pt idx="9">
                  <c:v>0.49948385487059449</c:v>
                </c:pt>
                <c:pt idx="10">
                  <c:v>0.48820889229717701</c:v>
                </c:pt>
                <c:pt idx="11">
                  <c:v>0.4775811412584608</c:v>
                </c:pt>
                <c:pt idx="12">
                  <c:v>0.46838109630097863</c:v>
                </c:pt>
                <c:pt idx="13">
                  <c:v>0.46120400265778183</c:v>
                </c:pt>
                <c:pt idx="14">
                  <c:v>0.45622650651601421</c:v>
                </c:pt>
                <c:pt idx="15">
                  <c:v>0.45365227449056494</c:v>
                </c:pt>
              </c:numCache>
            </c:numRef>
          </c:val>
          <c:extLst>
            <c:ext xmlns:c16="http://schemas.microsoft.com/office/drawing/2014/chart" uri="{C3380CC4-5D6E-409C-BE32-E72D297353CC}">
              <c16:uniqueId val="{00000001-B5D4-4966-9A05-4746A0D54117}"/>
            </c:ext>
          </c:extLst>
        </c:ser>
        <c:ser>
          <c:idx val="2"/>
          <c:order val="2"/>
          <c:tx>
            <c:strRef>
              <c:f>Report!$B$424</c:f>
              <c:strCache>
                <c:ptCount val="1"/>
                <c:pt idx="0">
                  <c:v>Other Non- Current Items</c:v>
                </c:pt>
              </c:strCache>
            </c:strRef>
          </c:tx>
          <c:spPr>
            <a:solidFill>
              <a:schemeClr val="accent5"/>
            </a:solidFill>
            <a:ln>
              <a:noFill/>
            </a:ln>
            <a:effectLst/>
          </c:spPr>
          <c:invertIfNegative val="0"/>
          <c:cat>
            <c:numRef>
              <c:f>Report!$C$397:$R$397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Report!$C$424:$R$424</c:f>
              <c:numCache>
                <c:formatCode>0%</c:formatCode>
                <c:ptCount val="16"/>
                <c:pt idx="0">
                  <c:v>8.7133429266114226E-2</c:v>
                </c:pt>
                <c:pt idx="1">
                  <c:v>3.4207426152973515E-2</c:v>
                </c:pt>
                <c:pt idx="2">
                  <c:v>3.1325779599245575E-2</c:v>
                </c:pt>
                <c:pt idx="3">
                  <c:v>3.1182015953589558E-2</c:v>
                </c:pt>
                <c:pt idx="4">
                  <c:v>3.0650071975439178E-2</c:v>
                </c:pt>
                <c:pt idx="5">
                  <c:v>3.1109163745618427E-2</c:v>
                </c:pt>
                <c:pt idx="6">
                  <c:v>2.9495068339277473E-2</c:v>
                </c:pt>
                <c:pt idx="7">
                  <c:v>2.8885560941551865E-2</c:v>
                </c:pt>
                <c:pt idx="8">
                  <c:v>2.8320607953991897E-2</c:v>
                </c:pt>
                <c:pt idx="9">
                  <c:v>2.7803568719205848E-2</c:v>
                </c:pt>
                <c:pt idx="10">
                  <c:v>2.7338631786974613E-2</c:v>
                </c:pt>
                <c:pt idx="11">
                  <c:v>2.690182638995476E-2</c:v>
                </c:pt>
                <c:pt idx="12">
                  <c:v>2.6537616441572542E-2</c:v>
                </c:pt>
                <c:pt idx="13">
                  <c:v>2.6280883922574206E-2</c:v>
                </c:pt>
                <c:pt idx="14">
                  <c:v>2.6143211817030672E-2</c:v>
                </c:pt>
                <c:pt idx="15">
                  <c:v>2.6137841539945021E-2</c:v>
                </c:pt>
              </c:numCache>
            </c:numRef>
          </c:val>
          <c:extLst>
            <c:ext xmlns:c16="http://schemas.microsoft.com/office/drawing/2014/chart" uri="{C3380CC4-5D6E-409C-BE32-E72D297353CC}">
              <c16:uniqueId val="{00000002-B5D4-4966-9A05-4746A0D54117}"/>
            </c:ext>
          </c:extLst>
        </c:ser>
        <c:ser>
          <c:idx val="3"/>
          <c:order val="3"/>
          <c:tx>
            <c:strRef>
              <c:f>Report!$B$425</c:f>
              <c:strCache>
                <c:ptCount val="1"/>
                <c:pt idx="0">
                  <c:v>Current Assets</c:v>
                </c:pt>
              </c:strCache>
            </c:strRef>
          </c:tx>
          <c:spPr>
            <a:solidFill>
              <a:schemeClr val="accent1">
                <a:lumMod val="60000"/>
              </a:schemeClr>
            </a:solidFill>
            <a:ln>
              <a:noFill/>
            </a:ln>
            <a:effectLst/>
          </c:spPr>
          <c:invertIfNegative val="0"/>
          <c:cat>
            <c:numRef>
              <c:f>Report!$C$397:$R$397</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Report!$C$425:$R$425</c:f>
              <c:numCache>
                <c:formatCode>0%</c:formatCode>
                <c:ptCount val="16"/>
                <c:pt idx="0">
                  <c:v>0.61137299657619215</c:v>
                </c:pt>
                <c:pt idx="1">
                  <c:v>0.20677167415681308</c:v>
                </c:pt>
                <c:pt idx="2">
                  <c:v>0.22011713487527829</c:v>
                </c:pt>
                <c:pt idx="3">
                  <c:v>0.23257214005226645</c:v>
                </c:pt>
                <c:pt idx="4">
                  <c:v>0.27164677257035119</c:v>
                </c:pt>
                <c:pt idx="5">
                  <c:v>0.27605157736604913</c:v>
                </c:pt>
                <c:pt idx="6">
                  <c:v>0.30393129144485254</c:v>
                </c:pt>
                <c:pt idx="7">
                  <c:v>0.31189638136670228</c:v>
                </c:pt>
                <c:pt idx="8">
                  <c:v>0.31869788773557772</c:v>
                </c:pt>
                <c:pt idx="9">
                  <c:v>0.3241852128140047</c:v>
                </c:pt>
                <c:pt idx="10">
                  <c:v>0.32817766359816503</c:v>
                </c:pt>
                <c:pt idx="11">
                  <c:v>0.33114166893481722</c:v>
                </c:pt>
                <c:pt idx="12">
                  <c:v>0.33200659486045025</c:v>
                </c:pt>
                <c:pt idx="13">
                  <c:v>0.3300969076132344</c:v>
                </c:pt>
                <c:pt idx="14">
                  <c:v>0.3251921686801138</c:v>
                </c:pt>
                <c:pt idx="15">
                  <c:v>0.31702328718229766</c:v>
                </c:pt>
              </c:numCache>
            </c:numRef>
          </c:val>
          <c:extLst>
            <c:ext xmlns:c16="http://schemas.microsoft.com/office/drawing/2014/chart" uri="{C3380CC4-5D6E-409C-BE32-E72D297353CC}">
              <c16:uniqueId val="{00000003-B5D4-4966-9A05-4746A0D54117}"/>
            </c:ext>
          </c:extLst>
        </c:ser>
        <c:dLbls>
          <c:showLegendKey val="0"/>
          <c:showVal val="0"/>
          <c:showCatName val="0"/>
          <c:showSerName val="0"/>
          <c:showPercent val="0"/>
          <c:showBubbleSize val="0"/>
        </c:dLbls>
        <c:gapWidth val="150"/>
        <c:overlap val="100"/>
        <c:axId val="178435504"/>
        <c:axId val="178435984"/>
      </c:barChart>
      <c:catAx>
        <c:axId val="178435504"/>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5984"/>
        <c:crosses val="autoZero"/>
        <c:auto val="1"/>
        <c:lblAlgn val="ctr"/>
        <c:lblOffset val="100"/>
        <c:noMultiLvlLbl val="0"/>
      </c:catAx>
      <c:valAx>
        <c:axId val="178435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3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Assets</a:t>
            </a:r>
            <a:r>
              <a:rPr lang="en-IN" baseline="0"/>
              <a:t> Mix (FY 2025)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tx>
            <c:strRef>
              <c:f>Report!$C$426</c:f>
              <c:strCache>
                <c:ptCount val="1"/>
                <c:pt idx="0">
                  <c:v>FY2025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1D0-498D-9E1D-83629C90E70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71D0-498D-9E1D-83629C90E70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4-71D0-498D-9E1D-83629C90E70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71D0-498D-9E1D-83629C90E70B}"/>
              </c:ext>
            </c:extLst>
          </c:dPt>
          <c:dLbls>
            <c:dLbl>
              <c:idx val="0"/>
              <c:layout>
                <c:manualLayout>
                  <c:x val="3.0555555555555454E-2"/>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D0-498D-9E1D-83629C90E70B}"/>
                </c:ext>
              </c:extLst>
            </c:dLbl>
            <c:dLbl>
              <c:idx val="1"/>
              <c:layout>
                <c:manualLayout>
                  <c:x val="2.2222222222222223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D0-498D-9E1D-83629C90E70B}"/>
                </c:ext>
              </c:extLst>
            </c:dLbl>
            <c:dLbl>
              <c:idx val="2"/>
              <c:layout>
                <c:manualLayout>
                  <c:x val="-5.555555555555560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D0-498D-9E1D-83629C90E70B}"/>
                </c:ext>
              </c:extLst>
            </c:dLbl>
            <c:dLbl>
              <c:idx val="3"/>
              <c:layout>
                <c:manualLayout>
                  <c:x val="-4.7222222222222276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D0-498D-9E1D-83629C90E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Report!$B$427:$B$430</c:f>
              <c:strCache>
                <c:ptCount val="4"/>
                <c:pt idx="0">
                  <c:v>Fixed Assets</c:v>
                </c:pt>
                <c:pt idx="1">
                  <c:v>Intangible Assets</c:v>
                </c:pt>
                <c:pt idx="2">
                  <c:v>Other Non- Current Items</c:v>
                </c:pt>
                <c:pt idx="3">
                  <c:v>Current Assets</c:v>
                </c:pt>
              </c:strCache>
            </c:strRef>
          </c:cat>
          <c:val>
            <c:numRef>
              <c:f>Report!$C$427:$C$430</c:f>
              <c:numCache>
                <c:formatCode>0%</c:formatCode>
                <c:ptCount val="4"/>
                <c:pt idx="0">
                  <c:v>0.12060590886329495</c:v>
                </c:pt>
                <c:pt idx="1">
                  <c:v>0.5722333500250375</c:v>
                </c:pt>
                <c:pt idx="2">
                  <c:v>3.1109163745618427E-2</c:v>
                </c:pt>
                <c:pt idx="3">
                  <c:v>0.27605157736604913</c:v>
                </c:pt>
              </c:numCache>
            </c:numRef>
          </c:val>
          <c:extLst>
            <c:ext xmlns:c16="http://schemas.microsoft.com/office/drawing/2014/chart" uri="{C3380CC4-5D6E-409C-BE32-E72D297353CC}">
              <c16:uniqueId val="{00000000-71D0-498D-9E1D-83629C90E7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Debtor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Report!$B$359</c:f>
              <c:strCache>
                <c:ptCount val="1"/>
                <c:pt idx="0">
                  <c:v>Trade Receivables</c:v>
                </c:pt>
              </c:strCache>
            </c:strRef>
          </c:tx>
          <c:spPr>
            <a:solidFill>
              <a:schemeClr val="accent1">
                <a:tint val="77000"/>
              </a:schemeClr>
            </a:solidFill>
            <a:ln>
              <a:noFill/>
            </a:ln>
            <a:effectLst/>
          </c:spPr>
          <c:invertIfNegative val="0"/>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Report!$C$359:$R$359</c:f>
              <c:numCache>
                <c:formatCode>0</c:formatCode>
                <c:ptCount val="16"/>
                <c:pt idx="0">
                  <c:v>1149</c:v>
                </c:pt>
                <c:pt idx="1">
                  <c:v>1758</c:v>
                </c:pt>
                <c:pt idx="2">
                  <c:v>2236</c:v>
                </c:pt>
                <c:pt idx="3">
                  <c:v>3079</c:v>
                </c:pt>
                <c:pt idx="4">
                  <c:v>2997</c:v>
                </c:pt>
                <c:pt idx="5">
                  <c:v>3819</c:v>
                </c:pt>
                <c:pt idx="6">
                  <c:v>3383.5354520547953</c:v>
                </c:pt>
                <c:pt idx="7">
                  <c:v>3271.7795243835617</c:v>
                </c:pt>
                <c:pt idx="8">
                  <c:v>3562.0211687452056</c:v>
                </c:pt>
                <c:pt idx="9">
                  <c:v>3881.0863450809879</c:v>
                </c:pt>
                <c:pt idx="10">
                  <c:v>4232.0599933775266</c:v>
                </c:pt>
                <c:pt idx="11">
                  <c:v>4618.3735401557497</c:v>
                </c:pt>
                <c:pt idx="12">
                  <c:v>5034.334958458634</c:v>
                </c:pt>
                <c:pt idx="13">
                  <c:v>5461.7781254410611</c:v>
                </c:pt>
                <c:pt idx="14">
                  <c:v>5897.5723785401842</c:v>
                </c:pt>
                <c:pt idx="15">
                  <c:v>6338.6673359720826</c:v>
                </c:pt>
              </c:numCache>
            </c:numRef>
          </c:val>
          <c:extLst>
            <c:ext xmlns:c16="http://schemas.microsoft.com/office/drawing/2014/chart" uri="{C3380CC4-5D6E-409C-BE32-E72D297353CC}">
              <c16:uniqueId val="{00000001-D4B8-486C-AA0D-4B8F11685554}"/>
            </c:ext>
          </c:extLst>
        </c:ser>
        <c:dLbls>
          <c:showLegendKey val="0"/>
          <c:showVal val="0"/>
          <c:showCatName val="0"/>
          <c:showSerName val="0"/>
          <c:showPercent val="0"/>
          <c:showBubbleSize val="0"/>
        </c:dLbls>
        <c:gapWidth val="219"/>
        <c:axId val="77737376"/>
        <c:axId val="77737856"/>
      </c:barChart>
      <c:lineChart>
        <c:grouping val="standard"/>
        <c:varyColors val="0"/>
        <c:ser>
          <c:idx val="0"/>
          <c:order val="0"/>
          <c:tx>
            <c:strRef>
              <c:f>Report!$B$358</c:f>
              <c:strCache>
                <c:ptCount val="1"/>
                <c:pt idx="0">
                  <c:v>Debtor Days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Report!$C$358:$R$358</c:f>
              <c:numCache>
                <c:formatCode>0\ "Days"</c:formatCode>
                <c:ptCount val="16"/>
                <c:pt idx="0">
                  <c:v>10.541814342809742</c:v>
                </c:pt>
                <c:pt idx="1">
                  <c:v>13.644424598111764</c:v>
                </c:pt>
                <c:pt idx="2">
                  <c:v>15.561529954619989</c:v>
                </c:pt>
                <c:pt idx="3">
                  <c:v>18.548192771084338</c:v>
                </c:pt>
                <c:pt idx="4">
                  <c:v>17.69042305453134</c:v>
                </c:pt>
                <c:pt idx="5">
                  <c:v>22.08353796676225</c:v>
                </c:pt>
                <c:pt idx="6">
                  <c:v>18</c:v>
                </c:pt>
                <c:pt idx="7">
                  <c:v>16</c:v>
                </c:pt>
                <c:pt idx="8">
                  <c:v>16</c:v>
                </c:pt>
                <c:pt idx="9">
                  <c:v>16</c:v>
                </c:pt>
                <c:pt idx="10">
                  <c:v>16</c:v>
                </c:pt>
                <c:pt idx="11">
                  <c:v>16</c:v>
                </c:pt>
                <c:pt idx="12">
                  <c:v>16</c:v>
                </c:pt>
                <c:pt idx="13">
                  <c:v>16</c:v>
                </c:pt>
                <c:pt idx="14">
                  <c:v>16</c:v>
                </c:pt>
                <c:pt idx="15">
                  <c:v>16</c:v>
                </c:pt>
              </c:numCache>
            </c:numRef>
          </c:val>
          <c:smooth val="0"/>
          <c:extLst>
            <c:ext xmlns:c16="http://schemas.microsoft.com/office/drawing/2014/chart" uri="{C3380CC4-5D6E-409C-BE32-E72D297353CC}">
              <c16:uniqueId val="{00000000-D4B8-486C-AA0D-4B8F11685554}"/>
            </c:ext>
          </c:extLst>
        </c:ser>
        <c:dLbls>
          <c:showLegendKey val="0"/>
          <c:showVal val="0"/>
          <c:showCatName val="0"/>
          <c:showSerName val="0"/>
          <c:showPercent val="0"/>
          <c:showBubbleSize val="0"/>
        </c:dLbls>
        <c:marker val="1"/>
        <c:smooth val="0"/>
        <c:axId val="952402607"/>
        <c:axId val="952452527"/>
      </c:lineChart>
      <c:catAx>
        <c:axId val="77737376"/>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7856"/>
        <c:crosses val="autoZero"/>
        <c:auto val="1"/>
        <c:lblAlgn val="ctr"/>
        <c:lblOffset val="100"/>
        <c:noMultiLvlLbl val="0"/>
      </c:catAx>
      <c:valAx>
        <c:axId val="7773785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7376"/>
        <c:crosses val="autoZero"/>
        <c:crossBetween val="between"/>
      </c:valAx>
      <c:valAx>
        <c:axId val="952452527"/>
        <c:scaling>
          <c:orientation val="minMax"/>
        </c:scaling>
        <c:delete val="0"/>
        <c:axPos val="r"/>
        <c:numFmt formatCode="0\ &quot;Days&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402607"/>
        <c:crosses val="max"/>
        <c:crossBetween val="between"/>
      </c:valAx>
      <c:catAx>
        <c:axId val="952402607"/>
        <c:scaling>
          <c:orientation val="minMax"/>
        </c:scaling>
        <c:delete val="1"/>
        <c:axPos val="b"/>
        <c:numFmt formatCode="&quot;FY&quot;0" sourceLinked="1"/>
        <c:majorTickMark val="out"/>
        <c:minorTickMark val="none"/>
        <c:tickLblPos val="nextTo"/>
        <c:crossAx val="9524525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Report!$B$354</c:f>
              <c:strCache>
                <c:ptCount val="1"/>
                <c:pt idx="0">
                  <c:v>Inventories</c:v>
                </c:pt>
              </c:strCache>
            </c:strRef>
          </c:tx>
          <c:spPr>
            <a:solidFill>
              <a:schemeClr val="accent5">
                <a:shade val="76000"/>
              </a:schemeClr>
            </a:solidFill>
            <a:ln>
              <a:noFill/>
            </a:ln>
            <a:effectLst/>
          </c:spPr>
          <c:invertIfNegative val="0"/>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Report!$C$354:$R$354</c:f>
              <c:numCache>
                <c:formatCode>0</c:formatCode>
                <c:ptCount val="16"/>
                <c:pt idx="0">
                  <c:v>2767</c:v>
                </c:pt>
                <c:pt idx="1">
                  <c:v>3579</c:v>
                </c:pt>
                <c:pt idx="2">
                  <c:v>4096</c:v>
                </c:pt>
                <c:pt idx="3">
                  <c:v>4251</c:v>
                </c:pt>
                <c:pt idx="4">
                  <c:v>4022</c:v>
                </c:pt>
                <c:pt idx="5">
                  <c:v>4415</c:v>
                </c:pt>
                <c:pt idx="6">
                  <c:v>5526.4412383561657</c:v>
                </c:pt>
                <c:pt idx="7">
                  <c:v>5984.289236317808</c:v>
                </c:pt>
                <c:pt idx="8">
                  <c:v>6485.1047903467406</c:v>
                </c:pt>
                <c:pt idx="9">
                  <c:v>7033.2561609764534</c:v>
                </c:pt>
                <c:pt idx="10">
                  <c:v>7633.5782130547123</c:v>
                </c:pt>
                <c:pt idx="11">
                  <c:v>8330.3912730559332</c:v>
                </c:pt>
                <c:pt idx="12">
                  <c:v>9080.6816813197602</c:v>
                </c:pt>
                <c:pt idx="13">
                  <c:v>9851.6822937643119</c:v>
                </c:pt>
                <c:pt idx="14">
                  <c:v>10637.746177791856</c:v>
                </c:pt>
                <c:pt idx="15">
                  <c:v>11433.371207259645</c:v>
                </c:pt>
              </c:numCache>
            </c:numRef>
          </c:val>
          <c:extLst>
            <c:ext xmlns:c16="http://schemas.microsoft.com/office/drawing/2014/chart" uri="{C3380CC4-5D6E-409C-BE32-E72D297353CC}">
              <c16:uniqueId val="{00000000-5E8A-4D95-B254-7BD17C34EB33}"/>
            </c:ext>
          </c:extLst>
        </c:ser>
        <c:dLbls>
          <c:showLegendKey val="0"/>
          <c:showVal val="0"/>
          <c:showCatName val="0"/>
          <c:showSerName val="0"/>
          <c:showPercent val="0"/>
          <c:showBubbleSize val="0"/>
        </c:dLbls>
        <c:gapWidth val="219"/>
        <c:overlap val="-27"/>
        <c:axId val="1483936223"/>
        <c:axId val="1483932863"/>
      </c:barChart>
      <c:lineChart>
        <c:grouping val="standard"/>
        <c:varyColors val="0"/>
        <c:ser>
          <c:idx val="1"/>
          <c:order val="1"/>
          <c:tx>
            <c:strRef>
              <c:f>Report!$B$357</c:f>
              <c:strCache>
                <c:ptCount val="1"/>
                <c:pt idx="0">
                  <c:v>Inventory Days</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Report!$C$351:$R$351</c:f>
              <c:numCache>
                <c:formatCode>"FY"0</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Report!$C$357:$R$357</c:f>
              <c:numCache>
                <c:formatCode>0\ "Days"</c:formatCode>
                <c:ptCount val="16"/>
                <c:pt idx="0">
                  <c:v>55.312722493017148</c:v>
                </c:pt>
                <c:pt idx="1">
                  <c:v>58.982075130937332</c:v>
                </c:pt>
                <c:pt idx="2">
                  <c:v>58.093646784534677</c:v>
                </c:pt>
                <c:pt idx="3">
                  <c:v>48.922152856602345</c:v>
                </c:pt>
                <c:pt idx="4">
                  <c:v>49.328965053763447</c:v>
                </c:pt>
                <c:pt idx="5">
                  <c:v>52.700470926810127</c:v>
                </c:pt>
                <c:pt idx="6">
                  <c:v>60</c:v>
                </c:pt>
                <c:pt idx="7">
                  <c:v>60</c:v>
                </c:pt>
                <c:pt idx="8">
                  <c:v>60</c:v>
                </c:pt>
                <c:pt idx="9">
                  <c:v>60</c:v>
                </c:pt>
                <c:pt idx="10">
                  <c:v>60</c:v>
                </c:pt>
                <c:pt idx="11">
                  <c:v>60</c:v>
                </c:pt>
                <c:pt idx="12">
                  <c:v>60.000000000000007</c:v>
                </c:pt>
                <c:pt idx="13">
                  <c:v>60</c:v>
                </c:pt>
                <c:pt idx="14">
                  <c:v>60</c:v>
                </c:pt>
                <c:pt idx="15">
                  <c:v>60</c:v>
                </c:pt>
              </c:numCache>
            </c:numRef>
          </c:val>
          <c:smooth val="0"/>
          <c:extLst>
            <c:ext xmlns:c16="http://schemas.microsoft.com/office/drawing/2014/chart" uri="{C3380CC4-5D6E-409C-BE32-E72D297353CC}">
              <c16:uniqueId val="{00000001-5E8A-4D95-B254-7BD17C34EB33}"/>
            </c:ext>
          </c:extLst>
        </c:ser>
        <c:dLbls>
          <c:showLegendKey val="0"/>
          <c:showVal val="0"/>
          <c:showCatName val="0"/>
          <c:showSerName val="0"/>
          <c:showPercent val="0"/>
          <c:showBubbleSize val="0"/>
        </c:dLbls>
        <c:marker val="1"/>
        <c:smooth val="0"/>
        <c:axId val="1483937663"/>
        <c:axId val="1483939583"/>
      </c:lineChart>
      <c:catAx>
        <c:axId val="1483936223"/>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32863"/>
        <c:crosses val="autoZero"/>
        <c:auto val="1"/>
        <c:lblAlgn val="ctr"/>
        <c:lblOffset val="100"/>
        <c:noMultiLvlLbl val="0"/>
      </c:catAx>
      <c:valAx>
        <c:axId val="1483932863"/>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36223"/>
        <c:crosses val="autoZero"/>
        <c:crossBetween val="between"/>
      </c:valAx>
      <c:valAx>
        <c:axId val="1483939583"/>
        <c:scaling>
          <c:orientation val="minMax"/>
        </c:scaling>
        <c:delete val="0"/>
        <c:axPos val="r"/>
        <c:numFmt formatCode="0\ &quot;Days&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37663"/>
        <c:crosses val="max"/>
        <c:crossBetween val="between"/>
      </c:valAx>
      <c:catAx>
        <c:axId val="1483937663"/>
        <c:scaling>
          <c:orientation val="minMax"/>
        </c:scaling>
        <c:delete val="1"/>
        <c:axPos val="b"/>
        <c:numFmt formatCode="&quot;FY&quot;0" sourceLinked="1"/>
        <c:majorTickMark val="out"/>
        <c:minorTickMark val="none"/>
        <c:tickLblPos val="nextTo"/>
        <c:crossAx val="14839395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withinLinear" id="14">
  <a:schemeClr val="accent1"/>
</cs:colorStyle>
</file>

<file path=xl/charts/colors28.xml><?xml version="1.0" encoding="utf-8"?>
<cs:colorStyle xmlns:cs="http://schemas.microsoft.com/office/drawing/2012/chartStyle" xmlns:a="http://schemas.openxmlformats.org/drawingml/2006/main" meth="withinLinear" id="14">
  <a:schemeClr val="accent1"/>
</cs:colorStyle>
</file>

<file path=xl/charts/colors29.xml><?xml version="1.0" encoding="utf-8"?>
<cs:colorStyle xmlns:cs="http://schemas.microsoft.com/office/drawing/2012/chartStyle" xmlns:a="http://schemas.openxmlformats.org/drawingml/2006/main" meth="withinLinear" id="18">
  <a:schemeClr val="accent5"/>
</cs:colorStyle>
</file>

<file path=xl/charts/colors3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4">
  <a:schemeClr val="accent1"/>
</cs:colorStyle>
</file>

<file path=xl/charts/colors3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3" dropStyle="combo" dx="26" fmlaLink="$K$4" fmlaRange="$B$16:$B$18" sel="1" val="0"/>
</file>

<file path=xl/ctrlProps/ctrlProp2.xml><?xml version="1.0" encoding="utf-8"?>
<formControlPr xmlns="http://schemas.microsoft.com/office/spreadsheetml/2009/9/main" objectType="Drop" dropStyle="combo" dx="26" fmlaLink="'Control Sheet'!$K$4" fmlaRange="'Control Sheet'!$B$16:$B$18" sel="1" val="0"/>
</file>

<file path=xl/ctrlProps/ctrlProp3.xml><?xml version="1.0" encoding="utf-8"?>
<formControlPr xmlns="http://schemas.microsoft.com/office/spreadsheetml/2009/9/main" objectType="Drop" dropStyle="combo" dx="26" fmlaLink="'Control Sheet'!$K$4" fmlaRange="'Control Sheet'!$B$16:$B$18" sel="1" val="0"/>
</file>

<file path=xl/ctrlProps/ctrlProp4.xml><?xml version="1.0" encoding="utf-8"?>
<formControlPr xmlns="http://schemas.microsoft.com/office/spreadsheetml/2009/9/main" objectType="Drop" dropStyle="combo" dx="26" fmlaLink="'Control Sheet'!$K$4" fmlaRange="'Control Sheet'!$B$16:$B$18" sel="1" val="0"/>
</file>

<file path=xl/ctrlProps/ctrlProp5.xml><?xml version="1.0" encoding="utf-8"?>
<formControlPr xmlns="http://schemas.microsoft.com/office/spreadsheetml/2009/9/main" objectType="Drop" dropStyle="combo" dx="26" fmlaLink="'Control Sheet'!$K$4" fmlaRange="'Control Sheet'!$B$16:$B$18" sel="1" val="0"/>
</file>

<file path=xl/ctrlProps/ctrlProp6.xml><?xml version="1.0" encoding="utf-8"?>
<formControlPr xmlns="http://schemas.microsoft.com/office/spreadsheetml/2009/9/main" objectType="Drop" dropStyle="combo" dx="26" fmlaLink="'Control Sheet'!$K$4" fmlaRange="'Control Sheet'!$B$16:$B$18" sel="1"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21" Type="http://schemas.openxmlformats.org/officeDocument/2006/relationships/image" Target="../media/image22.png"/><Relationship Id="rId34" Type="http://schemas.openxmlformats.org/officeDocument/2006/relationships/chart" Target="../charts/chart11.xml"/><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2.png"/><Relationship Id="rId38" Type="http://schemas.openxmlformats.org/officeDocument/2006/relationships/image" Target="../media/image3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29.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1.png"/><Relationship Id="rId37" Type="http://schemas.openxmlformats.org/officeDocument/2006/relationships/image" Target="../media/image3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chart" Target="../charts/chart9.xml"/><Relationship Id="rId36" Type="http://schemas.openxmlformats.org/officeDocument/2006/relationships/image" Target="../media/image34.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chart" Target="../charts/chart10.xml"/><Relationship Id="rId35" Type="http://schemas.openxmlformats.org/officeDocument/2006/relationships/image" Target="../media/image33.png"/><Relationship Id="rId8" Type="http://schemas.openxmlformats.org/officeDocument/2006/relationships/image" Target="../media/image9.png"/><Relationship Id="rId3"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40.png"/><Relationship Id="rId18" Type="http://schemas.openxmlformats.org/officeDocument/2006/relationships/chart" Target="../charts/chart23.xml"/><Relationship Id="rId26" Type="http://schemas.openxmlformats.org/officeDocument/2006/relationships/chart" Target="../charts/chart31.xml"/><Relationship Id="rId3" Type="http://schemas.openxmlformats.org/officeDocument/2006/relationships/image" Target="../media/image12.png"/><Relationship Id="rId21" Type="http://schemas.openxmlformats.org/officeDocument/2006/relationships/chart" Target="../charts/chart26.xml"/><Relationship Id="rId7" Type="http://schemas.openxmlformats.org/officeDocument/2006/relationships/chart" Target="../charts/chart16.xml"/><Relationship Id="rId12" Type="http://schemas.openxmlformats.org/officeDocument/2006/relationships/image" Target="../media/image39.png"/><Relationship Id="rId17" Type="http://schemas.openxmlformats.org/officeDocument/2006/relationships/chart" Target="../charts/chart22.xml"/><Relationship Id="rId25" Type="http://schemas.openxmlformats.org/officeDocument/2006/relationships/chart" Target="../charts/chart30.xml"/><Relationship Id="rId2" Type="http://schemas.openxmlformats.org/officeDocument/2006/relationships/chart" Target="../charts/chart13.xml"/><Relationship Id="rId16" Type="http://schemas.openxmlformats.org/officeDocument/2006/relationships/chart" Target="../charts/chart21.xml"/><Relationship Id="rId20" Type="http://schemas.openxmlformats.org/officeDocument/2006/relationships/chart" Target="../charts/chart25.xml"/><Relationship Id="rId29" Type="http://schemas.openxmlformats.org/officeDocument/2006/relationships/chart" Target="../charts/chart34.xml"/><Relationship Id="rId1" Type="http://schemas.openxmlformats.org/officeDocument/2006/relationships/chart" Target="../charts/chart12.xml"/><Relationship Id="rId6" Type="http://schemas.openxmlformats.org/officeDocument/2006/relationships/chart" Target="../charts/chart15.xml"/><Relationship Id="rId11" Type="http://schemas.openxmlformats.org/officeDocument/2006/relationships/image" Target="../media/image38.png"/><Relationship Id="rId24" Type="http://schemas.openxmlformats.org/officeDocument/2006/relationships/chart" Target="../charts/chart29.xml"/><Relationship Id="rId5" Type="http://schemas.openxmlformats.org/officeDocument/2006/relationships/chart" Target="../charts/chart14.xml"/><Relationship Id="rId15" Type="http://schemas.openxmlformats.org/officeDocument/2006/relationships/chart" Target="../charts/chart20.xml"/><Relationship Id="rId23" Type="http://schemas.openxmlformats.org/officeDocument/2006/relationships/chart" Target="../charts/chart28.xml"/><Relationship Id="rId28" Type="http://schemas.openxmlformats.org/officeDocument/2006/relationships/chart" Target="../charts/chart33.xml"/><Relationship Id="rId10" Type="http://schemas.openxmlformats.org/officeDocument/2006/relationships/image" Target="../media/image37.png"/><Relationship Id="rId19" Type="http://schemas.openxmlformats.org/officeDocument/2006/relationships/chart" Target="../charts/chart24.xml"/><Relationship Id="rId31" Type="http://schemas.openxmlformats.org/officeDocument/2006/relationships/chart" Target="../charts/chart36.xml"/><Relationship Id="rId4" Type="http://schemas.openxmlformats.org/officeDocument/2006/relationships/image" Target="../media/image3.png"/><Relationship Id="rId9" Type="http://schemas.openxmlformats.org/officeDocument/2006/relationships/chart" Target="../charts/chart18.xml"/><Relationship Id="rId14" Type="http://schemas.openxmlformats.org/officeDocument/2006/relationships/chart" Target="../charts/chart19.xml"/><Relationship Id="rId22" Type="http://schemas.openxmlformats.org/officeDocument/2006/relationships/chart" Target="../charts/chart27.xml"/><Relationship Id="rId27" Type="http://schemas.openxmlformats.org/officeDocument/2006/relationships/chart" Target="../charts/chart32.xml"/><Relationship Id="rId30"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167641</xdr:rowOff>
    </xdr:from>
    <xdr:to>
      <xdr:col>6</xdr:col>
      <xdr:colOff>556260</xdr:colOff>
      <xdr:row>20</xdr:row>
      <xdr:rowOff>4443</xdr:rowOff>
    </xdr:to>
    <xdr:pic>
      <xdr:nvPicPr>
        <xdr:cNvPr id="3" name="Picture 2">
          <a:extLst>
            <a:ext uri="{FF2B5EF4-FFF2-40B4-BE49-F238E27FC236}">
              <a16:creationId xmlns:a16="http://schemas.microsoft.com/office/drawing/2014/main" id="{C61399F1-11B2-69C0-6D53-D3437C828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79321"/>
          <a:ext cx="3962400" cy="14827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335280</xdr:colOff>
          <xdr:row>2</xdr:row>
          <xdr:rowOff>213360</xdr:rowOff>
        </xdr:from>
        <xdr:to>
          <xdr:col>9</xdr:col>
          <xdr:colOff>121920</xdr:colOff>
          <xdr:row>4</xdr:row>
          <xdr:rowOff>7620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30480</xdr:colOff>
          <xdr:row>2</xdr:row>
          <xdr:rowOff>220980</xdr:rowOff>
        </xdr:from>
        <xdr:to>
          <xdr:col>11</xdr:col>
          <xdr:colOff>563880</xdr:colOff>
          <xdr:row>4</xdr:row>
          <xdr:rowOff>15240</xdr:rowOff>
        </xdr:to>
        <xdr:sp macro="" textlink="">
          <xdr:nvSpPr>
            <xdr:cNvPr id="3074" name="Drop Down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xdr:colOff>
          <xdr:row>2</xdr:row>
          <xdr:rowOff>220980</xdr:rowOff>
        </xdr:from>
        <xdr:to>
          <xdr:col>10</xdr:col>
          <xdr:colOff>510540</xdr:colOff>
          <xdr:row>4</xdr:row>
          <xdr:rowOff>15240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xdr:colOff>
          <xdr:row>2</xdr:row>
          <xdr:rowOff>220980</xdr:rowOff>
        </xdr:from>
        <xdr:to>
          <xdr:col>10</xdr:col>
          <xdr:colOff>510540</xdr:colOff>
          <xdr:row>4</xdr:row>
          <xdr:rowOff>15240</xdr:rowOff>
        </xdr:to>
        <xdr:sp macro="" textlink="">
          <xdr:nvSpPr>
            <xdr:cNvPr id="51201" name="Drop Down 1" hidden="1">
              <a:extLst>
                <a:ext uri="{63B3BB69-23CF-44E3-9099-C40C66FF867C}">
                  <a14:compatExt spid="_x0000_s51201"/>
                </a:ext>
                <a:ext uri="{FF2B5EF4-FFF2-40B4-BE49-F238E27FC236}">
                  <a16:creationId xmlns:a16="http://schemas.microsoft.com/office/drawing/2014/main" id="{00000000-0008-0000-0600-000001C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2</xdr:row>
          <xdr:rowOff>220980</xdr:rowOff>
        </xdr:from>
        <xdr:to>
          <xdr:col>10</xdr:col>
          <xdr:colOff>60960</xdr:colOff>
          <xdr:row>4</xdr:row>
          <xdr:rowOff>15240</xdr:rowOff>
        </xdr:to>
        <xdr:sp macro="" textlink="">
          <xdr:nvSpPr>
            <xdr:cNvPr id="14337" name="Drop Down 1" hidden="1">
              <a:extLst>
                <a:ext uri="{63B3BB69-23CF-44E3-9099-C40C66FF867C}">
                  <a14:compatExt spid="_x0000_s14337"/>
                </a:ext>
                <a:ext uri="{FF2B5EF4-FFF2-40B4-BE49-F238E27FC236}">
                  <a16:creationId xmlns:a16="http://schemas.microsoft.com/office/drawing/2014/main" id="{00000000-0008-0000-0700-0000013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76200</xdr:colOff>
      <xdr:row>13</xdr:row>
      <xdr:rowOff>38100</xdr:rowOff>
    </xdr:from>
    <xdr:to>
      <xdr:col>1</xdr:col>
      <xdr:colOff>2209798</xdr:colOff>
      <xdr:row>16</xdr:row>
      <xdr:rowOff>257173</xdr:rowOff>
    </xdr:to>
    <xdr:graphicFrame macro="">
      <xdr:nvGraphicFramePr>
        <xdr:cNvPr id="2" name="Chart 1">
          <a:extLst>
            <a:ext uri="{FF2B5EF4-FFF2-40B4-BE49-F238E27FC236}">
              <a16:creationId xmlns:a16="http://schemas.microsoft.com/office/drawing/2014/main" id="{7DA65EA9-8A5E-43F3-8E14-3ADEFECE4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11</xdr:row>
      <xdr:rowOff>270510</xdr:rowOff>
    </xdr:from>
    <xdr:to>
      <xdr:col>1</xdr:col>
      <xdr:colOff>2819400</xdr:colOff>
      <xdr:row>16</xdr:row>
      <xdr:rowOff>411480</xdr:rowOff>
    </xdr:to>
    <xdr:graphicFrame macro="">
      <xdr:nvGraphicFramePr>
        <xdr:cNvPr id="14" name="Chart 13">
          <a:extLst>
            <a:ext uri="{FF2B5EF4-FFF2-40B4-BE49-F238E27FC236}">
              <a16:creationId xmlns:a16="http://schemas.microsoft.com/office/drawing/2014/main" id="{A0BF5D1E-9C91-E64D-599F-92FFA356A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2834640</xdr:colOff>
      <xdr:row>11</xdr:row>
      <xdr:rowOff>171450</xdr:rowOff>
    </xdr:from>
    <xdr:to>
      <xdr:col>5</xdr:col>
      <xdr:colOff>220980</xdr:colOff>
      <xdr:row>17</xdr:row>
      <xdr:rowOff>30480</xdr:rowOff>
    </xdr:to>
    <xdr:graphicFrame macro="">
      <xdr:nvGraphicFramePr>
        <xdr:cNvPr id="15" name="Chart 14">
          <a:extLst>
            <a:ext uri="{FF2B5EF4-FFF2-40B4-BE49-F238E27FC236}">
              <a16:creationId xmlns:a16="http://schemas.microsoft.com/office/drawing/2014/main" id="{E6931D35-DF69-953C-5525-7351EA876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xdr:colOff>
      <xdr:row>17</xdr:row>
      <xdr:rowOff>186690</xdr:rowOff>
    </xdr:from>
    <xdr:to>
      <xdr:col>1</xdr:col>
      <xdr:colOff>2933700</xdr:colOff>
      <xdr:row>23</xdr:row>
      <xdr:rowOff>114300</xdr:rowOff>
    </xdr:to>
    <xdr:graphicFrame macro="">
      <xdr:nvGraphicFramePr>
        <xdr:cNvPr id="18" name="Chart 17">
          <a:extLst>
            <a:ext uri="{FF2B5EF4-FFF2-40B4-BE49-F238E27FC236}">
              <a16:creationId xmlns:a16="http://schemas.microsoft.com/office/drawing/2014/main" id="{2E5E6D28-0607-CBBB-9F1B-25D276C24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358140</xdr:colOff>
      <xdr:row>11</xdr:row>
      <xdr:rowOff>358140</xdr:rowOff>
    </xdr:from>
    <xdr:to>
      <xdr:col>8</xdr:col>
      <xdr:colOff>487680</xdr:colOff>
      <xdr:row>17</xdr:row>
      <xdr:rowOff>144780</xdr:rowOff>
    </xdr:to>
    <xdr:graphicFrame macro="">
      <xdr:nvGraphicFramePr>
        <xdr:cNvPr id="20" name="Chart 19">
          <a:extLst>
            <a:ext uri="{FF2B5EF4-FFF2-40B4-BE49-F238E27FC236}">
              <a16:creationId xmlns:a16="http://schemas.microsoft.com/office/drawing/2014/main" id="{B318153D-1715-4206-A4CA-1C4422B11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2971800</xdr:colOff>
      <xdr:row>17</xdr:row>
      <xdr:rowOff>236220</xdr:rowOff>
    </xdr:from>
    <xdr:to>
      <xdr:col>5</xdr:col>
      <xdr:colOff>373380</xdr:colOff>
      <xdr:row>23</xdr:row>
      <xdr:rowOff>118110</xdr:rowOff>
    </xdr:to>
    <xdr:graphicFrame macro="">
      <xdr:nvGraphicFramePr>
        <xdr:cNvPr id="21" name="Chart 20">
          <a:extLst>
            <a:ext uri="{FF2B5EF4-FFF2-40B4-BE49-F238E27FC236}">
              <a16:creationId xmlns:a16="http://schemas.microsoft.com/office/drawing/2014/main" id="{49413BE7-BBC9-4AC4-B347-1E2CF038A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426720</xdr:colOff>
      <xdr:row>17</xdr:row>
      <xdr:rowOff>320040</xdr:rowOff>
    </xdr:from>
    <xdr:to>
      <xdr:col>9</xdr:col>
      <xdr:colOff>68580</xdr:colOff>
      <xdr:row>23</xdr:row>
      <xdr:rowOff>15240</xdr:rowOff>
    </xdr:to>
    <xdr:graphicFrame macro="">
      <xdr:nvGraphicFramePr>
        <xdr:cNvPr id="22" name="Chart 21">
          <a:extLst>
            <a:ext uri="{FF2B5EF4-FFF2-40B4-BE49-F238E27FC236}">
              <a16:creationId xmlns:a16="http://schemas.microsoft.com/office/drawing/2014/main" id="{08F0FD54-CD6E-4AC2-AC5D-DFCDA7899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190500</xdr:colOff>
      <xdr:row>7</xdr:row>
      <xdr:rowOff>176212</xdr:rowOff>
    </xdr:from>
    <xdr:to>
      <xdr:col>12</xdr:col>
      <xdr:colOff>19050</xdr:colOff>
      <xdr:row>24</xdr:row>
      <xdr:rowOff>166687</xdr:rowOff>
    </xdr:to>
    <xdr:graphicFrame macro="">
      <xdr:nvGraphicFramePr>
        <xdr:cNvPr id="2" name="Chart 1">
          <a:extLst>
            <a:ext uri="{FF2B5EF4-FFF2-40B4-BE49-F238E27FC236}">
              <a16:creationId xmlns:a16="http://schemas.microsoft.com/office/drawing/2014/main" id="{263611F2-3A81-4841-825F-0CB1D12B3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30480</xdr:colOff>
          <xdr:row>2</xdr:row>
          <xdr:rowOff>220980</xdr:rowOff>
        </xdr:from>
        <xdr:to>
          <xdr:col>11</xdr:col>
          <xdr:colOff>541020</xdr:colOff>
          <xdr:row>4</xdr:row>
          <xdr:rowOff>15240</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C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14</xdr:col>
      <xdr:colOff>126952</xdr:colOff>
      <xdr:row>1</xdr:row>
      <xdr:rowOff>99060</xdr:rowOff>
    </xdr:from>
    <xdr:to>
      <xdr:col>18</xdr:col>
      <xdr:colOff>662940</xdr:colOff>
      <xdr:row>13</xdr:row>
      <xdr:rowOff>38100</xdr:rowOff>
    </xdr:to>
    <xdr:pic>
      <xdr:nvPicPr>
        <xdr:cNvPr id="3" name="Picture 2">
          <a:extLst>
            <a:ext uri="{FF2B5EF4-FFF2-40B4-BE49-F238E27FC236}">
              <a16:creationId xmlns:a16="http://schemas.microsoft.com/office/drawing/2014/main" id="{9771FAA5-DA76-F940-2AD1-A7CAABFCD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6532" y="281940"/>
          <a:ext cx="3332528" cy="2026920"/>
        </a:xfrm>
        <a:prstGeom prst="rect">
          <a:avLst/>
        </a:prstGeom>
      </xdr:spPr>
    </xdr:pic>
    <xdr:clientData/>
  </xdr:twoCellAnchor>
  <xdr:twoCellAnchor editAs="oneCell">
    <xdr:from>
      <xdr:col>19</xdr:col>
      <xdr:colOff>358141</xdr:colOff>
      <xdr:row>2</xdr:row>
      <xdr:rowOff>144780</xdr:rowOff>
    </xdr:from>
    <xdr:to>
      <xdr:col>22</xdr:col>
      <xdr:colOff>636199</xdr:colOff>
      <xdr:row>12</xdr:row>
      <xdr:rowOff>30480</xdr:rowOff>
    </xdr:to>
    <xdr:pic>
      <xdr:nvPicPr>
        <xdr:cNvPr id="5" name="Picture 4">
          <a:extLst>
            <a:ext uri="{FF2B5EF4-FFF2-40B4-BE49-F238E27FC236}">
              <a16:creationId xmlns:a16="http://schemas.microsoft.com/office/drawing/2014/main" id="{B2B4CB9C-C998-DA78-CC18-377AC4174F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32281" y="510540"/>
          <a:ext cx="2426898" cy="1607820"/>
        </a:xfrm>
        <a:prstGeom prst="rect">
          <a:avLst/>
        </a:prstGeom>
      </xdr:spPr>
    </xdr:pic>
    <xdr:clientData/>
  </xdr:twoCellAnchor>
  <xdr:twoCellAnchor editAs="oneCell">
    <xdr:from>
      <xdr:col>3</xdr:col>
      <xdr:colOff>182880</xdr:colOff>
      <xdr:row>47</xdr:row>
      <xdr:rowOff>83820</xdr:rowOff>
    </xdr:from>
    <xdr:to>
      <xdr:col>5</xdr:col>
      <xdr:colOff>143539</xdr:colOff>
      <xdr:row>58</xdr:row>
      <xdr:rowOff>114300</xdr:rowOff>
    </xdr:to>
    <xdr:pic>
      <xdr:nvPicPr>
        <xdr:cNvPr id="11" name="Picture 10">
          <a:extLst>
            <a:ext uri="{FF2B5EF4-FFF2-40B4-BE49-F238E27FC236}">
              <a16:creationId xmlns:a16="http://schemas.microsoft.com/office/drawing/2014/main" id="{F1CE3D04-F58D-A237-8806-897B3F0B6A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2420" y="8206740"/>
          <a:ext cx="3427759" cy="2042160"/>
        </a:xfrm>
        <a:prstGeom prst="rect">
          <a:avLst/>
        </a:prstGeom>
      </xdr:spPr>
    </xdr:pic>
    <xdr:clientData/>
  </xdr:twoCellAnchor>
  <xdr:twoCellAnchor editAs="oneCell">
    <xdr:from>
      <xdr:col>7</xdr:col>
      <xdr:colOff>571501</xdr:colOff>
      <xdr:row>47</xdr:row>
      <xdr:rowOff>7620</xdr:rowOff>
    </xdr:from>
    <xdr:to>
      <xdr:col>13</xdr:col>
      <xdr:colOff>68581</xdr:colOff>
      <xdr:row>59</xdr:row>
      <xdr:rowOff>144780</xdr:rowOff>
    </xdr:to>
    <xdr:pic>
      <xdr:nvPicPr>
        <xdr:cNvPr id="13" name="Picture 12">
          <a:extLst>
            <a:ext uri="{FF2B5EF4-FFF2-40B4-BE49-F238E27FC236}">
              <a16:creationId xmlns:a16="http://schemas.microsoft.com/office/drawing/2014/main" id="{60B3AAF8-E1CB-7F27-DB66-CE4BA1EDD80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73881" y="8130540"/>
          <a:ext cx="3977640" cy="2331720"/>
        </a:xfrm>
        <a:prstGeom prst="rect">
          <a:avLst/>
        </a:prstGeom>
      </xdr:spPr>
    </xdr:pic>
    <xdr:clientData/>
  </xdr:twoCellAnchor>
  <xdr:twoCellAnchor editAs="oneCell">
    <xdr:from>
      <xdr:col>3</xdr:col>
      <xdr:colOff>289560</xdr:colOff>
      <xdr:row>63</xdr:row>
      <xdr:rowOff>121921</xdr:rowOff>
    </xdr:from>
    <xdr:to>
      <xdr:col>5</xdr:col>
      <xdr:colOff>731520</xdr:colOff>
      <xdr:row>77</xdr:row>
      <xdr:rowOff>30481</xdr:rowOff>
    </xdr:to>
    <xdr:pic>
      <xdr:nvPicPr>
        <xdr:cNvPr id="15" name="Picture 14">
          <a:extLst>
            <a:ext uri="{FF2B5EF4-FFF2-40B4-BE49-F238E27FC236}">
              <a16:creationId xmlns:a16="http://schemas.microsoft.com/office/drawing/2014/main" id="{37322B2D-6EAF-BF21-26C7-F82FDC355EA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9100" y="11170921"/>
          <a:ext cx="3909060" cy="2468880"/>
        </a:xfrm>
        <a:prstGeom prst="rect">
          <a:avLst/>
        </a:prstGeom>
      </xdr:spPr>
    </xdr:pic>
    <xdr:clientData/>
  </xdr:twoCellAnchor>
  <xdr:twoCellAnchor>
    <xdr:from>
      <xdr:col>3</xdr:col>
      <xdr:colOff>190500</xdr:colOff>
      <xdr:row>67</xdr:row>
      <xdr:rowOff>25681</xdr:rowOff>
    </xdr:from>
    <xdr:to>
      <xdr:col>21</xdr:col>
      <xdr:colOff>129540</xdr:colOff>
      <xdr:row>95</xdr:row>
      <xdr:rowOff>91440</xdr:rowOff>
    </xdr:to>
    <xdr:grpSp>
      <xdr:nvGrpSpPr>
        <xdr:cNvPr id="26" name="Group 25">
          <a:extLst>
            <a:ext uri="{FF2B5EF4-FFF2-40B4-BE49-F238E27FC236}">
              <a16:creationId xmlns:a16="http://schemas.microsoft.com/office/drawing/2014/main" id="{15C89089-D27F-4D55-682C-2A43B8E5F290}"/>
            </a:ext>
          </a:extLst>
        </xdr:cNvPr>
        <xdr:cNvGrpSpPr/>
      </xdr:nvGrpSpPr>
      <xdr:grpSpPr>
        <a:xfrm>
          <a:off x="579120" y="12171961"/>
          <a:ext cx="15026640" cy="5186399"/>
          <a:chOff x="-388620" y="11135641"/>
          <a:chExt cx="11338560" cy="6855179"/>
        </a:xfrm>
      </xdr:grpSpPr>
      <xdr:pic>
        <xdr:nvPicPr>
          <xdr:cNvPr id="19" name="Picture 18">
            <a:extLst>
              <a:ext uri="{FF2B5EF4-FFF2-40B4-BE49-F238E27FC236}">
                <a16:creationId xmlns:a16="http://schemas.microsoft.com/office/drawing/2014/main" id="{71EB90BD-3B99-FA88-DBE0-F0034135D42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83800" y="14483221"/>
            <a:ext cx="5928874" cy="2837040"/>
          </a:xfrm>
          <a:prstGeom prst="rect">
            <a:avLst/>
          </a:prstGeom>
        </xdr:spPr>
      </xdr:pic>
      <xdr:pic>
        <xdr:nvPicPr>
          <xdr:cNvPr id="21" name="Picture 20">
            <a:extLst>
              <a:ext uri="{FF2B5EF4-FFF2-40B4-BE49-F238E27FC236}">
                <a16:creationId xmlns:a16="http://schemas.microsoft.com/office/drawing/2014/main" id="{1F03971C-C072-DC8A-67A9-48A4E628DF5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196840" y="11135641"/>
            <a:ext cx="5753100" cy="3349980"/>
          </a:xfrm>
          <a:prstGeom prst="rect">
            <a:avLst/>
          </a:prstGeom>
        </xdr:spPr>
      </xdr:pic>
      <xdr:pic>
        <xdr:nvPicPr>
          <xdr:cNvPr id="23" name="Picture 22">
            <a:extLst>
              <a:ext uri="{FF2B5EF4-FFF2-40B4-BE49-F238E27FC236}">
                <a16:creationId xmlns:a16="http://schemas.microsoft.com/office/drawing/2014/main" id="{E2BC997F-9C72-6665-5094-C2B4B37FD8B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88620" y="13510680"/>
            <a:ext cx="3833192" cy="944962"/>
          </a:xfrm>
          <a:prstGeom prst="rect">
            <a:avLst/>
          </a:prstGeom>
        </xdr:spPr>
      </xdr:pic>
      <xdr:pic>
        <xdr:nvPicPr>
          <xdr:cNvPr id="25" name="Picture 24">
            <a:extLst>
              <a:ext uri="{FF2B5EF4-FFF2-40B4-BE49-F238E27FC236}">
                <a16:creationId xmlns:a16="http://schemas.microsoft.com/office/drawing/2014/main" id="{B217BAEE-B928-395F-4712-01E767D153D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6760" y="14232180"/>
            <a:ext cx="3446197" cy="3758640"/>
          </a:xfrm>
          <a:prstGeom prst="rect">
            <a:avLst/>
          </a:prstGeom>
        </xdr:spPr>
      </xdr:pic>
    </xdr:grpSp>
    <xdr:clientData/>
  </xdr:twoCellAnchor>
  <xdr:twoCellAnchor editAs="oneCell">
    <xdr:from>
      <xdr:col>3</xdr:col>
      <xdr:colOff>419100</xdr:colOff>
      <xdr:row>101</xdr:row>
      <xdr:rowOff>53340</xdr:rowOff>
    </xdr:from>
    <xdr:to>
      <xdr:col>5</xdr:col>
      <xdr:colOff>579120</xdr:colOff>
      <xdr:row>112</xdr:row>
      <xdr:rowOff>109698</xdr:rowOff>
    </xdr:to>
    <xdr:pic>
      <xdr:nvPicPr>
        <xdr:cNvPr id="28" name="Picture 27">
          <a:extLst>
            <a:ext uri="{FF2B5EF4-FFF2-40B4-BE49-F238E27FC236}">
              <a16:creationId xmlns:a16="http://schemas.microsoft.com/office/drawing/2014/main" id="{15CEAB48-5B41-8020-8271-199B23DE5B8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48640" y="18051780"/>
          <a:ext cx="3627120" cy="2068038"/>
        </a:xfrm>
        <a:prstGeom prst="rect">
          <a:avLst/>
        </a:prstGeom>
      </xdr:spPr>
    </xdr:pic>
    <xdr:clientData/>
  </xdr:twoCellAnchor>
  <xdr:twoCellAnchor editAs="oneCell">
    <xdr:from>
      <xdr:col>17</xdr:col>
      <xdr:colOff>121920</xdr:colOff>
      <xdr:row>12</xdr:row>
      <xdr:rowOff>76201</xdr:rowOff>
    </xdr:from>
    <xdr:to>
      <xdr:col>21</xdr:col>
      <xdr:colOff>12381</xdr:colOff>
      <xdr:row>21</xdr:row>
      <xdr:rowOff>7620</xdr:rowOff>
    </xdr:to>
    <xdr:pic>
      <xdr:nvPicPr>
        <xdr:cNvPr id="30" name="Picture 29">
          <a:extLst>
            <a:ext uri="{FF2B5EF4-FFF2-40B4-BE49-F238E27FC236}">
              <a16:creationId xmlns:a16="http://schemas.microsoft.com/office/drawing/2014/main" id="{263E204E-1D48-C63C-6FE2-1AE5E6D2F47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793980" y="2164081"/>
          <a:ext cx="2694621" cy="1577339"/>
        </a:xfrm>
        <a:prstGeom prst="rect">
          <a:avLst/>
        </a:prstGeom>
      </xdr:spPr>
    </xdr:pic>
    <xdr:clientData/>
  </xdr:twoCellAnchor>
  <xdr:twoCellAnchor editAs="oneCell">
    <xdr:from>
      <xdr:col>2</xdr:col>
      <xdr:colOff>114300</xdr:colOff>
      <xdr:row>153</xdr:row>
      <xdr:rowOff>137161</xdr:rowOff>
    </xdr:from>
    <xdr:to>
      <xdr:col>4</xdr:col>
      <xdr:colOff>784860</xdr:colOff>
      <xdr:row>164</xdr:row>
      <xdr:rowOff>7620</xdr:rowOff>
    </xdr:to>
    <xdr:pic>
      <xdr:nvPicPr>
        <xdr:cNvPr id="32" name="Picture 31">
          <a:extLst>
            <a:ext uri="{FF2B5EF4-FFF2-40B4-BE49-F238E27FC236}">
              <a16:creationId xmlns:a16="http://schemas.microsoft.com/office/drawing/2014/main" id="{028C9A09-8AC6-379D-9E52-A1CAD0EEA31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4300" y="27828241"/>
          <a:ext cx="3474720" cy="1882139"/>
        </a:xfrm>
        <a:prstGeom prst="rect">
          <a:avLst/>
        </a:prstGeom>
      </xdr:spPr>
    </xdr:pic>
    <xdr:clientData/>
  </xdr:twoCellAnchor>
  <xdr:twoCellAnchor editAs="oneCell">
    <xdr:from>
      <xdr:col>3</xdr:col>
      <xdr:colOff>1</xdr:colOff>
      <xdr:row>177</xdr:row>
      <xdr:rowOff>0</xdr:rowOff>
    </xdr:from>
    <xdr:to>
      <xdr:col>4</xdr:col>
      <xdr:colOff>83821</xdr:colOff>
      <xdr:row>185</xdr:row>
      <xdr:rowOff>58043</xdr:rowOff>
    </xdr:to>
    <xdr:pic>
      <xdr:nvPicPr>
        <xdr:cNvPr id="34" name="Picture 33">
          <a:extLst>
            <a:ext uri="{FF2B5EF4-FFF2-40B4-BE49-F238E27FC236}">
              <a16:creationId xmlns:a16="http://schemas.microsoft.com/office/drawing/2014/main" id="{28BB99B3-61DF-BD90-AEEB-59AF5C18288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9541" y="30434280"/>
          <a:ext cx="2758440" cy="1521083"/>
        </a:xfrm>
        <a:prstGeom prst="rect">
          <a:avLst/>
        </a:prstGeom>
      </xdr:spPr>
    </xdr:pic>
    <xdr:clientData/>
  </xdr:twoCellAnchor>
  <xdr:twoCellAnchor editAs="oneCell">
    <xdr:from>
      <xdr:col>3</xdr:col>
      <xdr:colOff>68580</xdr:colOff>
      <xdr:row>136</xdr:row>
      <xdr:rowOff>68580</xdr:rowOff>
    </xdr:from>
    <xdr:to>
      <xdr:col>4</xdr:col>
      <xdr:colOff>411480</xdr:colOff>
      <xdr:row>146</xdr:row>
      <xdr:rowOff>148641</xdr:rowOff>
    </xdr:to>
    <xdr:pic>
      <xdr:nvPicPr>
        <xdr:cNvPr id="36" name="Picture 35">
          <a:extLst>
            <a:ext uri="{FF2B5EF4-FFF2-40B4-BE49-F238E27FC236}">
              <a16:creationId xmlns:a16="http://schemas.microsoft.com/office/drawing/2014/main" id="{537168FB-31BD-19A1-5AAC-AA8C47B04E4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98120" y="24833580"/>
          <a:ext cx="3017520" cy="1908861"/>
        </a:xfrm>
        <a:prstGeom prst="rect">
          <a:avLst/>
        </a:prstGeom>
      </xdr:spPr>
    </xdr:pic>
    <xdr:clientData/>
  </xdr:twoCellAnchor>
  <xdr:twoCellAnchor editAs="oneCell">
    <xdr:from>
      <xdr:col>3</xdr:col>
      <xdr:colOff>0</xdr:colOff>
      <xdr:row>220</xdr:row>
      <xdr:rowOff>1</xdr:rowOff>
    </xdr:from>
    <xdr:to>
      <xdr:col>6</xdr:col>
      <xdr:colOff>167639</xdr:colOff>
      <xdr:row>230</xdr:row>
      <xdr:rowOff>76201</xdr:rowOff>
    </xdr:to>
    <xdr:pic>
      <xdr:nvPicPr>
        <xdr:cNvPr id="38" name="Picture 37">
          <a:extLst>
            <a:ext uri="{FF2B5EF4-FFF2-40B4-BE49-F238E27FC236}">
              <a16:creationId xmlns:a16="http://schemas.microsoft.com/office/drawing/2014/main" id="{771A1970-C4AF-34AF-601C-B2D43C07850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9540" y="39212521"/>
          <a:ext cx="4381499" cy="1905000"/>
        </a:xfrm>
        <a:prstGeom prst="rect">
          <a:avLst/>
        </a:prstGeom>
      </xdr:spPr>
    </xdr:pic>
    <xdr:clientData/>
  </xdr:twoCellAnchor>
  <xdr:twoCellAnchor editAs="oneCell">
    <xdr:from>
      <xdr:col>3</xdr:col>
      <xdr:colOff>129541</xdr:colOff>
      <xdr:row>245</xdr:row>
      <xdr:rowOff>68580</xdr:rowOff>
    </xdr:from>
    <xdr:to>
      <xdr:col>4</xdr:col>
      <xdr:colOff>45721</xdr:colOff>
      <xdr:row>254</xdr:row>
      <xdr:rowOff>69187</xdr:rowOff>
    </xdr:to>
    <xdr:pic>
      <xdr:nvPicPr>
        <xdr:cNvPr id="40" name="Picture 39">
          <a:extLst>
            <a:ext uri="{FF2B5EF4-FFF2-40B4-BE49-F238E27FC236}">
              <a16:creationId xmlns:a16="http://schemas.microsoft.com/office/drawing/2014/main" id="{E91747C9-F97A-CDF8-5A28-5D64045C1BD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59081" y="44782740"/>
          <a:ext cx="2590800" cy="1646527"/>
        </a:xfrm>
        <a:prstGeom prst="rect">
          <a:avLst/>
        </a:prstGeom>
      </xdr:spPr>
    </xdr:pic>
    <xdr:clientData/>
  </xdr:twoCellAnchor>
  <xdr:twoCellAnchor editAs="oneCell">
    <xdr:from>
      <xdr:col>2</xdr:col>
      <xdr:colOff>99060</xdr:colOff>
      <xdr:row>262</xdr:row>
      <xdr:rowOff>91440</xdr:rowOff>
    </xdr:from>
    <xdr:to>
      <xdr:col>7</xdr:col>
      <xdr:colOff>205739</xdr:colOff>
      <xdr:row>272</xdr:row>
      <xdr:rowOff>144780</xdr:rowOff>
    </xdr:to>
    <xdr:pic>
      <xdr:nvPicPr>
        <xdr:cNvPr id="42" name="Picture 41">
          <a:extLst>
            <a:ext uri="{FF2B5EF4-FFF2-40B4-BE49-F238E27FC236}">
              <a16:creationId xmlns:a16="http://schemas.microsoft.com/office/drawing/2014/main" id="{A28578A8-63E5-2D01-F386-8471B0F3DC4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9060" y="47914560"/>
          <a:ext cx="5196839" cy="1882140"/>
        </a:xfrm>
        <a:prstGeom prst="rect">
          <a:avLst/>
        </a:prstGeom>
      </xdr:spPr>
    </xdr:pic>
    <xdr:clientData/>
  </xdr:twoCellAnchor>
  <xdr:twoCellAnchor>
    <xdr:from>
      <xdr:col>3</xdr:col>
      <xdr:colOff>685800</xdr:colOff>
      <xdr:row>321</xdr:row>
      <xdr:rowOff>160020</xdr:rowOff>
    </xdr:from>
    <xdr:to>
      <xdr:col>25</xdr:col>
      <xdr:colOff>434340</xdr:colOff>
      <xdr:row>341</xdr:row>
      <xdr:rowOff>91440</xdr:rowOff>
    </xdr:to>
    <xdr:sp macro="" textlink="">
      <xdr:nvSpPr>
        <xdr:cNvPr id="2" name="TextBox 1">
          <a:extLst>
            <a:ext uri="{FF2B5EF4-FFF2-40B4-BE49-F238E27FC236}">
              <a16:creationId xmlns:a16="http://schemas.microsoft.com/office/drawing/2014/main" id="{D21AAB36-0535-B531-DB8E-F209C7B58D31}"/>
            </a:ext>
          </a:extLst>
        </xdr:cNvPr>
        <xdr:cNvSpPr txBox="1"/>
      </xdr:nvSpPr>
      <xdr:spPr>
        <a:xfrm>
          <a:off x="815340" y="58971180"/>
          <a:ext cx="11955780" cy="358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HUL</a:t>
          </a:r>
          <a:r>
            <a:rPr lang="en-IN" sz="1100" baseline="0"/>
            <a:t> is a comany involved in FMCG sector, It posted revenue of INR 63121crs. Revenue has grown at the CAGR of 6.4% and 9.7% during the last 3 years and 5 years respecticely. HUL has 5 Segments namely Home Care, Beauty &amp; Wellbeing, Personal Care, Foods &amp;Others. The management is positive on overall growth of HUL due to the factors such as INcreasing Disposable income, increasing premiumization in the economy and urbanization of the population. In an effort to reduce the effects of INput coomodity prices on its products a little more, the R&amp;D of the company has dveeloped Stratos technology which has reduced the usage of Palm oil in its Soaps category. THe reason for management's bullish view for the organisation is due to reversal of damp rural consumption. COmpany aims to do strategic acquisitions &amp; mergers to maintain the competitive position in the market plus to take benefit of synergies.</a:t>
          </a:r>
        </a:p>
        <a:p>
          <a:endParaRPr lang="en-IN" sz="1100" baseline="0"/>
        </a:p>
        <a:p>
          <a:r>
            <a:rPr lang="en-IN" sz="1100" baseline="0"/>
            <a:t>THe company has given guidance as follows:</a:t>
          </a:r>
        </a:p>
        <a:p>
          <a:r>
            <a:rPr lang="en-IN" sz="1100" baseline="0"/>
            <a:t>Home Care</a:t>
          </a:r>
        </a:p>
        <a:p>
          <a:r>
            <a:rPr lang="en-IN" sz="1100" baseline="0"/>
            <a:t>Personal Care</a:t>
          </a:r>
        </a:p>
        <a:p>
          <a:r>
            <a:rPr lang="en-IN" sz="1100" baseline="0"/>
            <a:t>B&amp;W</a:t>
          </a:r>
        </a:p>
        <a:p>
          <a:r>
            <a:rPr lang="en-IN" sz="1100" baseline="0"/>
            <a:t>Foods</a:t>
          </a:r>
        </a:p>
        <a:p>
          <a:r>
            <a:rPr lang="en-IN" sz="1100" baseline="0"/>
            <a:t>Others</a:t>
          </a:r>
        </a:p>
        <a:p>
          <a:endParaRPr lang="en-IN" sz="1100" baseline="0"/>
        </a:p>
        <a:p>
          <a:r>
            <a:rPr lang="en-IN" sz="1100" baseline="0"/>
            <a:t>The Analyst Consensus growth is 8.3% </a:t>
          </a:r>
        </a:p>
        <a:p>
          <a:endParaRPr lang="en-IN" sz="1100" baseline="0"/>
        </a:p>
        <a:p>
          <a:endParaRPr lang="en-IN" sz="1100" baseline="0"/>
        </a:p>
        <a:p>
          <a:endParaRPr lang="en-IN" sz="1100" baseline="0"/>
        </a:p>
        <a:p>
          <a:endParaRPr lang="en-IN" sz="1100" baseline="0"/>
        </a:p>
      </xdr:txBody>
    </xdr:sp>
    <xdr:clientData/>
  </xdr:twoCellAnchor>
  <xdr:twoCellAnchor editAs="oneCell">
    <xdr:from>
      <xdr:col>3</xdr:col>
      <xdr:colOff>15240</xdr:colOff>
      <xdr:row>386</xdr:row>
      <xdr:rowOff>121920</xdr:rowOff>
    </xdr:from>
    <xdr:to>
      <xdr:col>6</xdr:col>
      <xdr:colOff>0</xdr:colOff>
      <xdr:row>397</xdr:row>
      <xdr:rowOff>151771</xdr:rowOff>
    </xdr:to>
    <xdr:pic>
      <xdr:nvPicPr>
        <xdr:cNvPr id="4" name="Picture 3">
          <a:extLst>
            <a:ext uri="{FF2B5EF4-FFF2-40B4-BE49-F238E27FC236}">
              <a16:creationId xmlns:a16="http://schemas.microsoft.com/office/drawing/2014/main" id="{B82ED4A7-A873-FCC6-3D5D-3B6A7E6F6D2B}"/>
            </a:ext>
          </a:extLst>
        </xdr:cNvPr>
        <xdr:cNvPicPr>
          <a:picLocks noChangeAspect="1"/>
        </xdr:cNvPicPr>
      </xdr:nvPicPr>
      <xdr:blipFill>
        <a:blip xmlns:r="http://schemas.openxmlformats.org/officeDocument/2006/relationships" r:embed="rId18"/>
        <a:stretch>
          <a:fillRect/>
        </a:stretch>
      </xdr:blipFill>
      <xdr:spPr>
        <a:xfrm>
          <a:off x="144780" y="67421760"/>
          <a:ext cx="4198620" cy="2041531"/>
        </a:xfrm>
        <a:prstGeom prst="rect">
          <a:avLst/>
        </a:prstGeom>
      </xdr:spPr>
    </xdr:pic>
    <xdr:clientData/>
  </xdr:twoCellAnchor>
  <xdr:twoCellAnchor editAs="oneCell">
    <xdr:from>
      <xdr:col>6</xdr:col>
      <xdr:colOff>365760</xdr:colOff>
      <xdr:row>386</xdr:row>
      <xdr:rowOff>157011</xdr:rowOff>
    </xdr:from>
    <xdr:to>
      <xdr:col>11</xdr:col>
      <xdr:colOff>358687</xdr:colOff>
      <xdr:row>394</xdr:row>
      <xdr:rowOff>129751</xdr:rowOff>
    </xdr:to>
    <xdr:pic>
      <xdr:nvPicPr>
        <xdr:cNvPr id="6" name="Picture 5">
          <a:extLst>
            <a:ext uri="{FF2B5EF4-FFF2-40B4-BE49-F238E27FC236}">
              <a16:creationId xmlns:a16="http://schemas.microsoft.com/office/drawing/2014/main" id="{80E3DD5A-84E0-5A4C-6935-136D4FB5A3FE}"/>
            </a:ext>
          </a:extLst>
        </xdr:cNvPr>
        <xdr:cNvPicPr>
          <a:picLocks noChangeAspect="1"/>
        </xdr:cNvPicPr>
      </xdr:nvPicPr>
      <xdr:blipFill>
        <a:blip xmlns:r="http://schemas.openxmlformats.org/officeDocument/2006/relationships" r:embed="rId19"/>
        <a:stretch>
          <a:fillRect/>
        </a:stretch>
      </xdr:blipFill>
      <xdr:spPr>
        <a:xfrm>
          <a:off x="4632960" y="68188371"/>
          <a:ext cx="3726727" cy="1435780"/>
        </a:xfrm>
        <a:prstGeom prst="rect">
          <a:avLst/>
        </a:prstGeom>
      </xdr:spPr>
    </xdr:pic>
    <xdr:clientData/>
  </xdr:twoCellAnchor>
  <xdr:twoCellAnchor editAs="oneCell">
    <xdr:from>
      <xdr:col>3</xdr:col>
      <xdr:colOff>137704</xdr:colOff>
      <xdr:row>399</xdr:row>
      <xdr:rowOff>15239</xdr:rowOff>
    </xdr:from>
    <xdr:to>
      <xdr:col>7</xdr:col>
      <xdr:colOff>76751</xdr:colOff>
      <xdr:row>414</xdr:row>
      <xdr:rowOff>149714</xdr:rowOff>
    </xdr:to>
    <xdr:pic>
      <xdr:nvPicPr>
        <xdr:cNvPr id="7" name="Picture 6">
          <a:extLst>
            <a:ext uri="{FF2B5EF4-FFF2-40B4-BE49-F238E27FC236}">
              <a16:creationId xmlns:a16="http://schemas.microsoft.com/office/drawing/2014/main" id="{AFF2DA5D-4E3A-455C-EC05-999D5AD0CAFD}"/>
            </a:ext>
          </a:extLst>
        </xdr:cNvPr>
        <xdr:cNvPicPr>
          <a:picLocks noChangeAspect="1"/>
        </xdr:cNvPicPr>
      </xdr:nvPicPr>
      <xdr:blipFill>
        <a:blip xmlns:r="http://schemas.openxmlformats.org/officeDocument/2006/relationships" r:embed="rId20"/>
        <a:stretch>
          <a:fillRect/>
        </a:stretch>
      </xdr:blipFill>
      <xdr:spPr>
        <a:xfrm>
          <a:off x="267244" y="69692519"/>
          <a:ext cx="4899667" cy="2877675"/>
        </a:xfrm>
        <a:prstGeom prst="rect">
          <a:avLst/>
        </a:prstGeom>
      </xdr:spPr>
    </xdr:pic>
    <xdr:clientData/>
  </xdr:twoCellAnchor>
  <xdr:twoCellAnchor editAs="oneCell">
    <xdr:from>
      <xdr:col>7</xdr:col>
      <xdr:colOff>121920</xdr:colOff>
      <xdr:row>395</xdr:row>
      <xdr:rowOff>99060</xdr:rowOff>
    </xdr:from>
    <xdr:to>
      <xdr:col>15</xdr:col>
      <xdr:colOff>312950</xdr:colOff>
      <xdr:row>403</xdr:row>
      <xdr:rowOff>7739</xdr:rowOff>
    </xdr:to>
    <xdr:pic>
      <xdr:nvPicPr>
        <xdr:cNvPr id="8" name="Picture 7">
          <a:extLst>
            <a:ext uri="{FF2B5EF4-FFF2-40B4-BE49-F238E27FC236}">
              <a16:creationId xmlns:a16="http://schemas.microsoft.com/office/drawing/2014/main" id="{68BE4FD6-1B3B-9163-2EBE-F1548C0237A3}"/>
            </a:ext>
          </a:extLst>
        </xdr:cNvPr>
        <xdr:cNvPicPr>
          <a:picLocks noChangeAspect="1"/>
        </xdr:cNvPicPr>
      </xdr:nvPicPr>
      <xdr:blipFill>
        <a:blip xmlns:r="http://schemas.openxmlformats.org/officeDocument/2006/relationships" r:embed="rId21"/>
        <a:stretch>
          <a:fillRect/>
        </a:stretch>
      </xdr:blipFill>
      <xdr:spPr>
        <a:xfrm>
          <a:off x="5120640" y="69776340"/>
          <a:ext cx="6111770" cy="1371719"/>
        </a:xfrm>
        <a:prstGeom prst="rect">
          <a:avLst/>
        </a:prstGeom>
      </xdr:spPr>
    </xdr:pic>
    <xdr:clientData/>
  </xdr:twoCellAnchor>
  <xdr:twoCellAnchor editAs="oneCell">
    <xdr:from>
      <xdr:col>6</xdr:col>
      <xdr:colOff>723901</xdr:colOff>
      <xdr:row>403</xdr:row>
      <xdr:rowOff>144781</xdr:rowOff>
    </xdr:from>
    <xdr:to>
      <xdr:col>12</xdr:col>
      <xdr:colOff>274321</xdr:colOff>
      <xdr:row>412</xdr:row>
      <xdr:rowOff>154095</xdr:rowOff>
    </xdr:to>
    <xdr:pic>
      <xdr:nvPicPr>
        <xdr:cNvPr id="9" name="Picture 8">
          <a:extLst>
            <a:ext uri="{FF2B5EF4-FFF2-40B4-BE49-F238E27FC236}">
              <a16:creationId xmlns:a16="http://schemas.microsoft.com/office/drawing/2014/main" id="{D83037C4-CCC9-C88A-F2CD-66739932F2A0}"/>
            </a:ext>
          </a:extLst>
        </xdr:cNvPr>
        <xdr:cNvPicPr>
          <a:picLocks noChangeAspect="1"/>
        </xdr:cNvPicPr>
      </xdr:nvPicPr>
      <xdr:blipFill>
        <a:blip xmlns:r="http://schemas.openxmlformats.org/officeDocument/2006/relationships" r:embed="rId22"/>
        <a:stretch>
          <a:fillRect/>
        </a:stretch>
      </xdr:blipFill>
      <xdr:spPr>
        <a:xfrm>
          <a:off x="4991101" y="71285101"/>
          <a:ext cx="4030980" cy="1655234"/>
        </a:xfrm>
        <a:prstGeom prst="rect">
          <a:avLst/>
        </a:prstGeom>
      </xdr:spPr>
    </xdr:pic>
    <xdr:clientData/>
  </xdr:twoCellAnchor>
  <xdr:twoCellAnchor editAs="oneCell">
    <xdr:from>
      <xdr:col>3</xdr:col>
      <xdr:colOff>739140</xdr:colOff>
      <xdr:row>414</xdr:row>
      <xdr:rowOff>171091</xdr:rowOff>
    </xdr:from>
    <xdr:to>
      <xdr:col>7</xdr:col>
      <xdr:colOff>15654</xdr:colOff>
      <xdr:row>431</xdr:row>
      <xdr:rowOff>160323</xdr:rowOff>
    </xdr:to>
    <xdr:pic>
      <xdr:nvPicPr>
        <xdr:cNvPr id="10" name="Picture 9">
          <a:extLst>
            <a:ext uri="{FF2B5EF4-FFF2-40B4-BE49-F238E27FC236}">
              <a16:creationId xmlns:a16="http://schemas.microsoft.com/office/drawing/2014/main" id="{5314569C-0FA1-CA2E-5818-D398EBBACB53}"/>
            </a:ext>
          </a:extLst>
        </xdr:cNvPr>
        <xdr:cNvPicPr>
          <a:picLocks noChangeAspect="1"/>
        </xdr:cNvPicPr>
      </xdr:nvPicPr>
      <xdr:blipFill>
        <a:blip xmlns:r="http://schemas.openxmlformats.org/officeDocument/2006/relationships" r:embed="rId23"/>
        <a:stretch>
          <a:fillRect/>
        </a:stretch>
      </xdr:blipFill>
      <xdr:spPr>
        <a:xfrm>
          <a:off x="868680" y="72591571"/>
          <a:ext cx="4237134" cy="3098192"/>
        </a:xfrm>
        <a:prstGeom prst="rect">
          <a:avLst/>
        </a:prstGeom>
      </xdr:spPr>
    </xdr:pic>
    <xdr:clientData/>
  </xdr:twoCellAnchor>
  <xdr:twoCellAnchor editAs="oneCell">
    <xdr:from>
      <xdr:col>7</xdr:col>
      <xdr:colOff>297180</xdr:colOff>
      <xdr:row>413</xdr:row>
      <xdr:rowOff>175261</xdr:rowOff>
    </xdr:from>
    <xdr:to>
      <xdr:col>12</xdr:col>
      <xdr:colOff>350520</xdr:colOff>
      <xdr:row>432</xdr:row>
      <xdr:rowOff>29833</xdr:rowOff>
    </xdr:to>
    <xdr:pic>
      <xdr:nvPicPr>
        <xdr:cNvPr id="12" name="Picture 11">
          <a:extLst>
            <a:ext uri="{FF2B5EF4-FFF2-40B4-BE49-F238E27FC236}">
              <a16:creationId xmlns:a16="http://schemas.microsoft.com/office/drawing/2014/main" id="{9D50A646-BA69-88D1-E7B3-2B10902EB1D1}"/>
            </a:ext>
          </a:extLst>
        </xdr:cNvPr>
        <xdr:cNvPicPr>
          <a:picLocks noChangeAspect="1"/>
        </xdr:cNvPicPr>
      </xdr:nvPicPr>
      <xdr:blipFill>
        <a:blip xmlns:r="http://schemas.openxmlformats.org/officeDocument/2006/relationships" r:embed="rId24"/>
        <a:stretch>
          <a:fillRect/>
        </a:stretch>
      </xdr:blipFill>
      <xdr:spPr>
        <a:xfrm>
          <a:off x="5295900" y="73144381"/>
          <a:ext cx="3787140" cy="3329292"/>
        </a:xfrm>
        <a:prstGeom prst="rect">
          <a:avLst/>
        </a:prstGeom>
      </xdr:spPr>
    </xdr:pic>
    <xdr:clientData/>
  </xdr:twoCellAnchor>
  <xdr:twoCellAnchor editAs="oneCell">
    <xdr:from>
      <xdr:col>12</xdr:col>
      <xdr:colOff>144780</xdr:colOff>
      <xdr:row>403</xdr:row>
      <xdr:rowOff>68580</xdr:rowOff>
    </xdr:from>
    <xdr:to>
      <xdr:col>17</xdr:col>
      <xdr:colOff>449580</xdr:colOff>
      <xdr:row>424</xdr:row>
      <xdr:rowOff>149734</xdr:rowOff>
    </xdr:to>
    <xdr:pic>
      <xdr:nvPicPr>
        <xdr:cNvPr id="14" name="Picture 13">
          <a:extLst>
            <a:ext uri="{FF2B5EF4-FFF2-40B4-BE49-F238E27FC236}">
              <a16:creationId xmlns:a16="http://schemas.microsoft.com/office/drawing/2014/main" id="{33EFB1DB-9174-F152-E938-AC9AEA419A94}"/>
            </a:ext>
          </a:extLst>
        </xdr:cNvPr>
        <xdr:cNvPicPr>
          <a:picLocks noChangeAspect="1"/>
        </xdr:cNvPicPr>
      </xdr:nvPicPr>
      <xdr:blipFill>
        <a:blip xmlns:r="http://schemas.openxmlformats.org/officeDocument/2006/relationships" r:embed="rId25"/>
        <a:stretch>
          <a:fillRect/>
        </a:stretch>
      </xdr:blipFill>
      <xdr:spPr>
        <a:xfrm>
          <a:off x="8801100" y="71208900"/>
          <a:ext cx="3893820" cy="3921634"/>
        </a:xfrm>
        <a:prstGeom prst="rect">
          <a:avLst/>
        </a:prstGeom>
      </xdr:spPr>
    </xdr:pic>
    <xdr:clientData/>
  </xdr:twoCellAnchor>
  <xdr:twoCellAnchor editAs="oneCell">
    <xdr:from>
      <xdr:col>11</xdr:col>
      <xdr:colOff>525780</xdr:colOff>
      <xdr:row>386</xdr:row>
      <xdr:rowOff>129540</xdr:rowOff>
    </xdr:from>
    <xdr:to>
      <xdr:col>16</xdr:col>
      <xdr:colOff>548639</xdr:colOff>
      <xdr:row>395</xdr:row>
      <xdr:rowOff>174344</xdr:rowOff>
    </xdr:to>
    <xdr:pic>
      <xdr:nvPicPr>
        <xdr:cNvPr id="16" name="Picture 15">
          <a:extLst>
            <a:ext uri="{FF2B5EF4-FFF2-40B4-BE49-F238E27FC236}">
              <a16:creationId xmlns:a16="http://schemas.microsoft.com/office/drawing/2014/main" id="{5DD9DFCE-AC60-E0FF-F3BF-5EE6302051DA}"/>
            </a:ext>
          </a:extLst>
        </xdr:cNvPr>
        <xdr:cNvPicPr>
          <a:picLocks noChangeAspect="1"/>
        </xdr:cNvPicPr>
      </xdr:nvPicPr>
      <xdr:blipFill>
        <a:blip xmlns:r="http://schemas.openxmlformats.org/officeDocument/2006/relationships" r:embed="rId26"/>
        <a:stretch>
          <a:fillRect/>
        </a:stretch>
      </xdr:blipFill>
      <xdr:spPr>
        <a:xfrm>
          <a:off x="8450580" y="68160900"/>
          <a:ext cx="3657599" cy="1690724"/>
        </a:xfrm>
        <a:prstGeom prst="rect">
          <a:avLst/>
        </a:prstGeom>
      </xdr:spPr>
    </xdr:pic>
    <xdr:clientData/>
  </xdr:twoCellAnchor>
  <xdr:twoCellAnchor editAs="oneCell">
    <xdr:from>
      <xdr:col>7</xdr:col>
      <xdr:colOff>0</xdr:colOff>
      <xdr:row>286</xdr:row>
      <xdr:rowOff>0</xdr:rowOff>
    </xdr:from>
    <xdr:to>
      <xdr:col>13</xdr:col>
      <xdr:colOff>427145</xdr:colOff>
      <xdr:row>292</xdr:row>
      <xdr:rowOff>114410</xdr:rowOff>
    </xdr:to>
    <xdr:pic>
      <xdr:nvPicPr>
        <xdr:cNvPr id="17" name="Picture 16">
          <a:extLst>
            <a:ext uri="{FF2B5EF4-FFF2-40B4-BE49-F238E27FC236}">
              <a16:creationId xmlns:a16="http://schemas.microsoft.com/office/drawing/2014/main" id="{A4CD449D-C40B-2666-5808-4775B8228BB8}"/>
            </a:ext>
          </a:extLst>
        </xdr:cNvPr>
        <xdr:cNvPicPr>
          <a:picLocks noChangeAspect="1"/>
        </xdr:cNvPicPr>
      </xdr:nvPicPr>
      <xdr:blipFill>
        <a:blip xmlns:r="http://schemas.openxmlformats.org/officeDocument/2006/relationships" r:embed="rId27"/>
        <a:stretch>
          <a:fillRect/>
        </a:stretch>
      </xdr:blipFill>
      <xdr:spPr>
        <a:xfrm>
          <a:off x="3802380" y="52326540"/>
          <a:ext cx="4907705" cy="1265030"/>
        </a:xfrm>
        <a:prstGeom prst="rect">
          <a:avLst/>
        </a:prstGeom>
      </xdr:spPr>
    </xdr:pic>
    <xdr:clientData/>
  </xdr:twoCellAnchor>
  <xdr:twoCellAnchor>
    <xdr:from>
      <xdr:col>3</xdr:col>
      <xdr:colOff>1280160</xdr:colOff>
      <xdr:row>545</xdr:row>
      <xdr:rowOff>91440</xdr:rowOff>
    </xdr:from>
    <xdr:to>
      <xdr:col>14</xdr:col>
      <xdr:colOff>533400</xdr:colOff>
      <xdr:row>566</xdr:row>
      <xdr:rowOff>114300</xdr:rowOff>
    </xdr:to>
    <xdr:sp macro="" textlink="">
      <xdr:nvSpPr>
        <xdr:cNvPr id="18" name="TextBox 17">
          <a:extLst>
            <a:ext uri="{FF2B5EF4-FFF2-40B4-BE49-F238E27FC236}">
              <a16:creationId xmlns:a16="http://schemas.microsoft.com/office/drawing/2014/main" id="{D50B4B9F-9486-4CE3-A898-DD276E648984}"/>
            </a:ext>
          </a:extLst>
        </xdr:cNvPr>
        <xdr:cNvSpPr txBox="1"/>
      </xdr:nvSpPr>
      <xdr:spPr>
        <a:xfrm>
          <a:off x="1409700" y="97200720"/>
          <a:ext cx="9319260" cy="3863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During</a:t>
          </a:r>
          <a:r>
            <a:rPr lang="en-IN" sz="1100" baseline="0"/>
            <a:t> the CY25, The margin declined by 30 bps to 51.6% because of inflationary Palm oil prices and Coffee prices. Despite INflationary pressures in raw material cost, gross margins wer minimally impacted as a result of maximum increased input cost benefits passed on to the consumers and due to company's more reliance on stratos which uses polyglycerides instead of palm oil in few of their products which reduces their reliance on palm oil a little more as explained by the management. </a:t>
          </a:r>
        </a:p>
        <a:p>
          <a:endParaRPr lang="en-IN" sz="1100" baseline="0"/>
        </a:p>
        <a:p>
          <a:r>
            <a:rPr lang="en-IN" sz="1100" baseline="0"/>
            <a:t>The raw material constitues  ~65-70% of total COGS and ~35% of Revenue. The cost of Raw material is mainly comprised of Crude Palm Oil but other material includes (Sada ASh, Crude oil derivatives, Skimmed Milk POwder, Tea, COffee, Sugar , Plastic etc.) of which mainly palm oil, coffee and tea prices have faced inflationary pressure in CY25.</a:t>
          </a:r>
        </a:p>
        <a:p>
          <a:endParaRPr lang="en-IN" sz="1100" baseline="0">
            <a:effectLst/>
          </a:endParaRPr>
        </a:p>
        <a:p>
          <a:r>
            <a:rPr lang="en-IN" sz="1100" baseline="0">
              <a:solidFill>
                <a:srgbClr val="FFFF00"/>
              </a:solidFill>
              <a:effectLst/>
            </a:rPr>
            <a:t>THe Palm Oil info</a:t>
          </a:r>
        </a:p>
        <a:p>
          <a:endParaRPr lang="en-IN" sz="1100" baseline="0">
            <a:solidFill>
              <a:srgbClr val="FFFF00"/>
            </a:solidFill>
            <a:effectLst/>
          </a:endParaRPr>
        </a:p>
        <a:p>
          <a:r>
            <a:rPr lang="en-IN" sz="1100" baseline="0">
              <a:solidFill>
                <a:schemeClr val="tx1"/>
              </a:solidFill>
            </a:rPr>
            <a:t>The company is focusing its energy on fewer highgbrowing bets, hence it has sold its stake in Wellbeing NUtrition, Demerged low margin Ice-cream business and acquired Oziva and Minimalist to make a move in that direction. </a:t>
          </a:r>
        </a:p>
        <a:p>
          <a:endParaRPr lang="en-IN" sz="1100" baseline="0">
            <a:solidFill>
              <a:schemeClr val="tx1"/>
            </a:solidFill>
          </a:endParaRPr>
        </a:p>
        <a:p>
          <a:r>
            <a:rPr lang="en-IN" sz="1100" baseline="0">
              <a:solidFill>
                <a:schemeClr val="tx1"/>
              </a:solidFill>
            </a:rPr>
            <a:t>The company's focus is to lead volume based growth.</a:t>
          </a:r>
        </a:p>
        <a:p>
          <a:endParaRPr lang="en-IN" sz="1100" baseline="0">
            <a:solidFill>
              <a:schemeClr val="tx1"/>
            </a:solidFill>
          </a:endParaRPr>
        </a:p>
        <a:p>
          <a:r>
            <a:rPr lang="en-IN" sz="1100" baseline="0">
              <a:solidFill>
                <a:schemeClr val="tx1"/>
              </a:solidFill>
            </a:rPr>
            <a:t>While historically company has posted gross margin of ~50-52% with median of 51.9% in the last 6 years. Based on our research, the GM of HOusehold products sector in india is 52.58% and global household products sector is 51.66%.</a:t>
          </a:r>
        </a:p>
        <a:p>
          <a:endParaRPr lang="en-IN" sz="1100" baseline="0">
            <a:solidFill>
              <a:schemeClr val="tx1"/>
            </a:solidFill>
          </a:endParaRPr>
        </a:p>
        <a:p>
          <a:r>
            <a:rPr lang="en-IN" sz="1100" baseline="0">
              <a:solidFill>
                <a:schemeClr val="tx1"/>
              </a:solidFill>
            </a:rPr>
            <a:t>The reduction is margin is mainly due to inflationary pressures, we assume that margin stay consistent with marginal movement to ~ 51% which is also in line with street estimate ~51.1 when with volume growth operating leverage kicks in with commodity inflation stays at the bay. IN the long term however we assume that GM will converge with the global sector margin of ~51.66%.</a:t>
          </a:r>
          <a:endParaRPr lang="en-IN" sz="1100" baseline="0"/>
        </a:p>
        <a:p>
          <a:endParaRPr lang="en-IN" sz="1100" baseline="0"/>
        </a:p>
        <a:p>
          <a:endParaRPr lang="en-IN" sz="1100" baseline="0"/>
        </a:p>
      </xdr:txBody>
    </xdr:sp>
    <xdr:clientData/>
  </xdr:twoCellAnchor>
  <xdr:twoCellAnchor>
    <xdr:from>
      <xdr:col>3</xdr:col>
      <xdr:colOff>0</xdr:colOff>
      <xdr:row>658</xdr:row>
      <xdr:rowOff>0</xdr:rowOff>
    </xdr:from>
    <xdr:to>
      <xdr:col>21</xdr:col>
      <xdr:colOff>662940</xdr:colOff>
      <xdr:row>666</xdr:row>
      <xdr:rowOff>137160</xdr:rowOff>
    </xdr:to>
    <xdr:sp macro="" textlink="">
      <xdr:nvSpPr>
        <xdr:cNvPr id="20" name="TextBox 19">
          <a:extLst>
            <a:ext uri="{FF2B5EF4-FFF2-40B4-BE49-F238E27FC236}">
              <a16:creationId xmlns:a16="http://schemas.microsoft.com/office/drawing/2014/main" id="{97EB5372-8AF6-4762-A2F0-67D4A6B5F36E}"/>
            </a:ext>
          </a:extLst>
        </xdr:cNvPr>
        <xdr:cNvSpPr txBox="1"/>
      </xdr:nvSpPr>
      <xdr:spPr>
        <a:xfrm>
          <a:off x="129540" y="116525040"/>
          <a:ext cx="1192530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During CY2025, The company has reported EBITDA Margin of 23.5% which is 20 bps lower than CY2024, which is just marginal. The reason for that is Inflationary pressure of raw material prices especially crude palm oil.</a:t>
          </a:r>
        </a:p>
        <a:p>
          <a:endParaRPr lang="en-IN" sz="1100" baseline="0"/>
        </a:p>
        <a:p>
          <a:r>
            <a:rPr lang="en-IN" sz="1100" baseline="0"/>
            <a:t>Basis our research we have found that historically SG&amp;A expenses are 28% of revenue. OUt of which 2 main expenses Employee benefit and other expenses historically remain at ~4.8% and 23.2% respectively.</a:t>
          </a:r>
        </a:p>
        <a:p>
          <a:endParaRPr lang="en-IN" sz="1100" baseline="0"/>
        </a:p>
        <a:p>
          <a:r>
            <a:rPr lang="en-IN" sz="1100" baseline="0"/>
            <a:t>We assumed total sg&amp;a to hover around same levels in the coming 5 years which also aligns with the street estimate and management guidance.</a:t>
          </a:r>
        </a:p>
      </xdr:txBody>
    </xdr:sp>
    <xdr:clientData/>
  </xdr:twoCellAnchor>
  <xdr:twoCellAnchor>
    <xdr:from>
      <xdr:col>14</xdr:col>
      <xdr:colOff>175260</xdr:colOff>
      <xdr:row>700</xdr:row>
      <xdr:rowOff>171450</xdr:rowOff>
    </xdr:from>
    <xdr:to>
      <xdr:col>21</xdr:col>
      <xdr:colOff>579120</xdr:colOff>
      <xdr:row>710</xdr:row>
      <xdr:rowOff>45720</xdr:rowOff>
    </xdr:to>
    <xdr:graphicFrame macro="">
      <xdr:nvGraphicFramePr>
        <xdr:cNvPr id="22" name="Chart 21">
          <a:extLst>
            <a:ext uri="{FF2B5EF4-FFF2-40B4-BE49-F238E27FC236}">
              <a16:creationId xmlns:a16="http://schemas.microsoft.com/office/drawing/2014/main" id="{1043CF56-11D8-CA60-EFC5-D5403021C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3</xdr:col>
      <xdr:colOff>7621</xdr:colOff>
      <xdr:row>744</xdr:row>
      <xdr:rowOff>76200</xdr:rowOff>
    </xdr:from>
    <xdr:to>
      <xdr:col>5</xdr:col>
      <xdr:colOff>457200</xdr:colOff>
      <xdr:row>756</xdr:row>
      <xdr:rowOff>146937</xdr:rowOff>
    </xdr:to>
    <xdr:pic>
      <xdr:nvPicPr>
        <xdr:cNvPr id="24" name="Picture 23">
          <a:extLst>
            <a:ext uri="{FF2B5EF4-FFF2-40B4-BE49-F238E27FC236}">
              <a16:creationId xmlns:a16="http://schemas.microsoft.com/office/drawing/2014/main" id="{904A2626-27E3-C5A1-9A2B-8AE1D009EF74}"/>
            </a:ext>
          </a:extLst>
        </xdr:cNvPr>
        <xdr:cNvPicPr>
          <a:picLocks noChangeAspect="1"/>
        </xdr:cNvPicPr>
      </xdr:nvPicPr>
      <xdr:blipFill>
        <a:blip xmlns:r="http://schemas.openxmlformats.org/officeDocument/2006/relationships" r:embed="rId29"/>
        <a:stretch>
          <a:fillRect/>
        </a:stretch>
      </xdr:blipFill>
      <xdr:spPr>
        <a:xfrm>
          <a:off x="266701" y="133578600"/>
          <a:ext cx="3916679" cy="2265297"/>
        </a:xfrm>
        <a:prstGeom prst="rect">
          <a:avLst/>
        </a:prstGeom>
      </xdr:spPr>
    </xdr:pic>
    <xdr:clientData/>
  </xdr:twoCellAnchor>
  <xdr:twoCellAnchor>
    <xdr:from>
      <xdr:col>3</xdr:col>
      <xdr:colOff>198120</xdr:colOff>
      <xdr:row>759</xdr:row>
      <xdr:rowOff>0</xdr:rowOff>
    </xdr:from>
    <xdr:to>
      <xdr:col>10</xdr:col>
      <xdr:colOff>449580</xdr:colOff>
      <xdr:row>767</xdr:row>
      <xdr:rowOff>137160</xdr:rowOff>
    </xdr:to>
    <xdr:sp macro="" textlink="">
      <xdr:nvSpPr>
        <xdr:cNvPr id="29" name="TextBox 28">
          <a:extLst>
            <a:ext uri="{FF2B5EF4-FFF2-40B4-BE49-F238E27FC236}">
              <a16:creationId xmlns:a16="http://schemas.microsoft.com/office/drawing/2014/main" id="{664AD020-60D5-4A4B-A1D9-935B73C94C6D}"/>
            </a:ext>
          </a:extLst>
        </xdr:cNvPr>
        <xdr:cNvSpPr txBox="1"/>
      </xdr:nvSpPr>
      <xdr:spPr>
        <a:xfrm>
          <a:off x="457200" y="136245600"/>
          <a:ext cx="736092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The company is moving towards its goal of having all season portfolio, so that the demand is not affected due to seasonal volatility for example bad monsoons etc. The company get an edge in gross profitability because of its effective inventory distrubtion system under their Wimi 2.0 policy .</a:t>
          </a:r>
        </a:p>
        <a:p>
          <a:endParaRPr lang="en-IN" sz="1100" baseline="0"/>
        </a:p>
        <a:p>
          <a:r>
            <a:rPr lang="en-IN" sz="1100" baseline="0"/>
            <a:t>However, the company is maintaining inventory levels ~7% of Revenue. WIth Inventory Turnover ratio being consistent around 13%-15% range and inventroy days of 24 Days. As compared to the peer company ITC, HUL converts its inventory 3x faster. </a:t>
          </a:r>
          <a:br>
            <a:rPr lang="en-IN" sz="1100" baseline="0"/>
          </a:br>
          <a:br>
            <a:rPr lang="en-IN" sz="1100" baseline="0"/>
          </a:br>
          <a:r>
            <a:rPr lang="en-IN" sz="1100" baseline="0"/>
            <a:t>We expect the inventory levels to stay at </a:t>
          </a:r>
          <a:r>
            <a:rPr lang="en-IN" sz="1100" b="1" baseline="0"/>
            <a:t>60 Days </a:t>
          </a:r>
          <a:r>
            <a:rPr lang="en-IN" sz="1100" baseline="0"/>
            <a:t>for the coming years. </a:t>
          </a:r>
        </a:p>
      </xdr:txBody>
    </xdr:sp>
    <xdr:clientData/>
  </xdr:twoCellAnchor>
  <xdr:twoCellAnchor>
    <xdr:from>
      <xdr:col>14</xdr:col>
      <xdr:colOff>160020</xdr:colOff>
      <xdr:row>771</xdr:row>
      <xdr:rowOff>3810</xdr:rowOff>
    </xdr:from>
    <xdr:to>
      <xdr:col>25</xdr:col>
      <xdr:colOff>220980</xdr:colOff>
      <xdr:row>784</xdr:row>
      <xdr:rowOff>91440</xdr:rowOff>
    </xdr:to>
    <xdr:graphicFrame macro="">
      <xdr:nvGraphicFramePr>
        <xdr:cNvPr id="31" name="Chart 30">
          <a:extLst>
            <a:ext uri="{FF2B5EF4-FFF2-40B4-BE49-F238E27FC236}">
              <a16:creationId xmlns:a16="http://schemas.microsoft.com/office/drawing/2014/main" id="{23898534-6DFB-3340-F3E9-408657F16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oneCell">
    <xdr:from>
      <xdr:col>3</xdr:col>
      <xdr:colOff>594359</xdr:colOff>
      <xdr:row>812</xdr:row>
      <xdr:rowOff>60960</xdr:rowOff>
    </xdr:from>
    <xdr:to>
      <xdr:col>11</xdr:col>
      <xdr:colOff>342900</xdr:colOff>
      <xdr:row>828</xdr:row>
      <xdr:rowOff>53340</xdr:rowOff>
    </xdr:to>
    <xdr:pic>
      <xdr:nvPicPr>
        <xdr:cNvPr id="33" name="Picture 32">
          <a:extLst>
            <a:ext uri="{FF2B5EF4-FFF2-40B4-BE49-F238E27FC236}">
              <a16:creationId xmlns:a16="http://schemas.microsoft.com/office/drawing/2014/main" id="{0E1F7471-5DC0-C9A4-3670-B4E9BAD1A1A9}"/>
            </a:ext>
          </a:extLst>
        </xdr:cNvPr>
        <xdr:cNvPicPr>
          <a:picLocks noChangeAspect="1"/>
        </xdr:cNvPicPr>
      </xdr:nvPicPr>
      <xdr:blipFill>
        <a:blip xmlns:r="http://schemas.openxmlformats.org/officeDocument/2006/relationships" r:embed="rId31"/>
        <a:stretch>
          <a:fillRect/>
        </a:stretch>
      </xdr:blipFill>
      <xdr:spPr>
        <a:xfrm>
          <a:off x="853439" y="146227800"/>
          <a:ext cx="7696201" cy="2918460"/>
        </a:xfrm>
        <a:prstGeom prst="rect">
          <a:avLst/>
        </a:prstGeom>
      </xdr:spPr>
    </xdr:pic>
    <xdr:clientData/>
  </xdr:twoCellAnchor>
  <xdr:twoCellAnchor editAs="oneCell">
    <xdr:from>
      <xdr:col>3</xdr:col>
      <xdr:colOff>7620</xdr:colOff>
      <xdr:row>836</xdr:row>
      <xdr:rowOff>0</xdr:rowOff>
    </xdr:from>
    <xdr:to>
      <xdr:col>9</xdr:col>
      <xdr:colOff>548640</xdr:colOff>
      <xdr:row>869</xdr:row>
      <xdr:rowOff>175798</xdr:rowOff>
    </xdr:to>
    <xdr:pic>
      <xdr:nvPicPr>
        <xdr:cNvPr id="35" name="Picture 34">
          <a:extLst>
            <a:ext uri="{FF2B5EF4-FFF2-40B4-BE49-F238E27FC236}">
              <a16:creationId xmlns:a16="http://schemas.microsoft.com/office/drawing/2014/main" id="{7B866F8B-22D0-9B11-1D61-9B6736CB1886}"/>
            </a:ext>
          </a:extLst>
        </xdr:cNvPr>
        <xdr:cNvPicPr>
          <a:picLocks noChangeAspect="1"/>
        </xdr:cNvPicPr>
      </xdr:nvPicPr>
      <xdr:blipFill>
        <a:blip xmlns:r="http://schemas.openxmlformats.org/officeDocument/2006/relationships" r:embed="rId32"/>
        <a:stretch>
          <a:fillRect/>
        </a:stretch>
      </xdr:blipFill>
      <xdr:spPr>
        <a:xfrm>
          <a:off x="266700" y="150555960"/>
          <a:ext cx="6995160" cy="6210838"/>
        </a:xfrm>
        <a:prstGeom prst="rect">
          <a:avLst/>
        </a:prstGeom>
      </xdr:spPr>
    </xdr:pic>
    <xdr:clientData/>
  </xdr:twoCellAnchor>
  <xdr:twoCellAnchor editAs="oneCell">
    <xdr:from>
      <xdr:col>3</xdr:col>
      <xdr:colOff>0</xdr:colOff>
      <xdr:row>959</xdr:row>
      <xdr:rowOff>1</xdr:rowOff>
    </xdr:from>
    <xdr:to>
      <xdr:col>6</xdr:col>
      <xdr:colOff>541020</xdr:colOff>
      <xdr:row>978</xdr:row>
      <xdr:rowOff>15363</xdr:rowOff>
    </xdr:to>
    <xdr:pic>
      <xdr:nvPicPr>
        <xdr:cNvPr id="27" name="Picture 26">
          <a:extLst>
            <a:ext uri="{FF2B5EF4-FFF2-40B4-BE49-F238E27FC236}">
              <a16:creationId xmlns:a16="http://schemas.microsoft.com/office/drawing/2014/main" id="{BFC4E219-9646-ACD9-8022-F2DC55B36EE0}"/>
            </a:ext>
          </a:extLst>
        </xdr:cNvPr>
        <xdr:cNvPicPr>
          <a:picLocks noChangeAspect="1"/>
        </xdr:cNvPicPr>
      </xdr:nvPicPr>
      <xdr:blipFill>
        <a:blip xmlns:r="http://schemas.openxmlformats.org/officeDocument/2006/relationships" r:embed="rId33"/>
        <a:stretch>
          <a:fillRect/>
        </a:stretch>
      </xdr:blipFill>
      <xdr:spPr>
        <a:xfrm>
          <a:off x="388620" y="168181021"/>
          <a:ext cx="4754880" cy="3490082"/>
        </a:xfrm>
        <a:prstGeom prst="rect">
          <a:avLst/>
        </a:prstGeom>
      </xdr:spPr>
    </xdr:pic>
    <xdr:clientData/>
  </xdr:twoCellAnchor>
  <xdr:twoCellAnchor>
    <xdr:from>
      <xdr:col>3</xdr:col>
      <xdr:colOff>327660</xdr:colOff>
      <xdr:row>986</xdr:row>
      <xdr:rowOff>53340</xdr:rowOff>
    </xdr:from>
    <xdr:to>
      <xdr:col>10</xdr:col>
      <xdr:colOff>579120</xdr:colOff>
      <xdr:row>994</xdr:row>
      <xdr:rowOff>68580</xdr:rowOff>
    </xdr:to>
    <xdr:sp macro="" textlink="">
      <xdr:nvSpPr>
        <xdr:cNvPr id="37" name="TextBox 36">
          <a:extLst>
            <a:ext uri="{FF2B5EF4-FFF2-40B4-BE49-F238E27FC236}">
              <a16:creationId xmlns:a16="http://schemas.microsoft.com/office/drawing/2014/main" id="{DDA52B57-7C96-4E2C-882F-AA714BA89971}"/>
            </a:ext>
          </a:extLst>
        </xdr:cNvPr>
        <xdr:cNvSpPr txBox="1"/>
      </xdr:nvSpPr>
      <xdr:spPr>
        <a:xfrm>
          <a:off x="716280" y="173355000"/>
          <a:ext cx="7452360" cy="1478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Historically company has done major growth capex in 2017. The Company is a mature company with almost a century long existence. The COmpany is a market leader in 75% of the area in which it does business. The asset turnover ratio is ~1x. The company has been doing continuos maintenance capex to maintain the ratio. </a:t>
          </a:r>
          <a:br>
            <a:rPr lang="en-IN" sz="1100" baseline="0"/>
          </a:br>
          <a:br>
            <a:rPr lang="en-IN" sz="1100" baseline="0"/>
          </a:br>
          <a:r>
            <a:rPr lang="en-IN" sz="1100" baseline="0"/>
            <a:t>However, the company has announced </a:t>
          </a:r>
          <a:r>
            <a:rPr lang="en-IN" sz="1100" b="1" baseline="0"/>
            <a:t>2000 crores of capex </a:t>
          </a:r>
          <a:r>
            <a:rPr lang="en-IN" sz="1100" baseline="0"/>
            <a:t>in the coming 2 years to expand the manufacturing capacity in fast growing premium segments across B&amp;W and Home Care liquids which will further fuel company's growth. </a:t>
          </a:r>
        </a:p>
        <a:p>
          <a:endParaRPr lang="en-IN" sz="1100" baseline="0"/>
        </a:p>
        <a:p>
          <a:r>
            <a:rPr lang="en-IN" sz="1100" baseline="0"/>
            <a:t>The Capex historically has remained in the range of ~</a:t>
          </a:r>
          <a:r>
            <a:rPr lang="en-IN" sz="1100" b="1" baseline="0"/>
            <a:t>2%-3% . </a:t>
          </a:r>
          <a:r>
            <a:rPr lang="en-IN" sz="1100" b="0" baseline="0"/>
            <a:t>Hence in the terminal year capex will follow that range.</a:t>
          </a:r>
          <a:endParaRPr lang="en-IN" sz="1100" b="1" baseline="0"/>
        </a:p>
      </xdr:txBody>
    </xdr:sp>
    <xdr:clientData/>
  </xdr:twoCellAnchor>
  <xdr:twoCellAnchor>
    <xdr:from>
      <xdr:col>3</xdr:col>
      <xdr:colOff>0</xdr:colOff>
      <xdr:row>1045</xdr:row>
      <xdr:rowOff>0</xdr:rowOff>
    </xdr:from>
    <xdr:to>
      <xdr:col>10</xdr:col>
      <xdr:colOff>251460</xdr:colOff>
      <xdr:row>1048</xdr:row>
      <xdr:rowOff>0</xdr:rowOff>
    </xdr:to>
    <xdr:sp macro="" textlink="">
      <xdr:nvSpPr>
        <xdr:cNvPr id="39" name="TextBox 38">
          <a:extLst>
            <a:ext uri="{FF2B5EF4-FFF2-40B4-BE49-F238E27FC236}">
              <a16:creationId xmlns:a16="http://schemas.microsoft.com/office/drawing/2014/main" id="{8DAA3BCA-FB19-47A6-8539-4F687043A829}"/>
            </a:ext>
          </a:extLst>
        </xdr:cNvPr>
        <xdr:cNvSpPr txBox="1"/>
      </xdr:nvSpPr>
      <xdr:spPr>
        <a:xfrm>
          <a:off x="388620" y="185623200"/>
          <a:ext cx="745236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Historically CWIP has been in the range of 2-3% with an exception of year 2019. Base the overall management guidance of cpaex investment in year 2027 and 2028. I assume the capex level to be in the median range of 2% .</a:t>
          </a:r>
          <a:endParaRPr lang="en-IN" sz="1100" b="1" baseline="0"/>
        </a:p>
      </xdr:txBody>
    </xdr:sp>
    <xdr:clientData/>
  </xdr:twoCellAnchor>
  <xdr:twoCellAnchor>
    <xdr:from>
      <xdr:col>14</xdr:col>
      <xdr:colOff>403860</xdr:colOff>
      <xdr:row>1088</xdr:row>
      <xdr:rowOff>87630</xdr:rowOff>
    </xdr:from>
    <xdr:to>
      <xdr:col>24</xdr:col>
      <xdr:colOff>144780</xdr:colOff>
      <xdr:row>1101</xdr:row>
      <xdr:rowOff>83820</xdr:rowOff>
    </xdr:to>
    <xdr:graphicFrame macro="">
      <xdr:nvGraphicFramePr>
        <xdr:cNvPr id="41" name="Chart 40">
          <a:extLst>
            <a:ext uri="{FF2B5EF4-FFF2-40B4-BE49-F238E27FC236}">
              <a16:creationId xmlns:a16="http://schemas.microsoft.com/office/drawing/2014/main" id="{58B8A747-3837-24C0-5216-F55C42FBB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xdr:col>
      <xdr:colOff>0</xdr:colOff>
      <xdr:row>1115</xdr:row>
      <xdr:rowOff>0</xdr:rowOff>
    </xdr:from>
    <xdr:to>
      <xdr:col>13</xdr:col>
      <xdr:colOff>739140</xdr:colOff>
      <xdr:row>1123</xdr:row>
      <xdr:rowOff>0</xdr:rowOff>
    </xdr:to>
    <xdr:sp macro="" textlink="">
      <xdr:nvSpPr>
        <xdr:cNvPr id="43" name="TextBox 42">
          <a:extLst>
            <a:ext uri="{FF2B5EF4-FFF2-40B4-BE49-F238E27FC236}">
              <a16:creationId xmlns:a16="http://schemas.microsoft.com/office/drawing/2014/main" id="{D6E9C845-37E8-45E7-9B2C-1A3B78BCD0BE}"/>
            </a:ext>
          </a:extLst>
        </xdr:cNvPr>
        <xdr:cNvSpPr txBox="1"/>
      </xdr:nvSpPr>
      <xdr:spPr>
        <a:xfrm>
          <a:off x="388620" y="201152760"/>
          <a:ext cx="1018032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Company has maintained consistent payable of ~157-160 days , ecpet for the COVID year when it touched 176 Days. High TRade payables days than Trade receivable days points to company's commanding nature of business wherein they command the suppliers regarding their payment term. The trade payables are consistentluy 43-44% of COGS and 18%  of revenue.</a:t>
          </a:r>
        </a:p>
        <a:p>
          <a:endParaRPr lang="en-IN" sz="1100" b="1" baseline="0"/>
        </a:p>
        <a:p>
          <a:r>
            <a:rPr lang="en-IN" sz="1100" b="0" baseline="0"/>
            <a:t>The peer companies in the market maintain xx payable days and street estimates suggest that payable days are to remian flat. </a:t>
          </a:r>
        </a:p>
        <a:p>
          <a:endParaRPr lang="en-IN" sz="1100" b="0" baseline="0"/>
        </a:p>
        <a:p>
          <a:r>
            <a:rPr lang="en-IN" sz="1100" b="0" baseline="0"/>
            <a:t>In absense of management guidance and on the basis of ourt research, we assume the payabales days to remian flat at </a:t>
          </a:r>
          <a:r>
            <a:rPr lang="en-IN" sz="1100" b="1" i="0" u="none" strike="noStrike" baseline="0">
              <a:solidFill>
                <a:schemeClr val="dk1"/>
              </a:solidFill>
              <a:effectLst/>
              <a:latin typeface="+mn-lt"/>
              <a:ea typeface="+mn-ea"/>
              <a:cs typeface="+mn-cs"/>
            </a:rPr>
            <a:t>1</a:t>
          </a:r>
          <a:r>
            <a:rPr lang="en-IN" sz="1100" b="1" baseline="0"/>
            <a:t>60 Days.</a:t>
          </a:r>
          <a:r>
            <a:rPr lang="en-IN" sz="1100" b="0" baseline="0"/>
            <a:t> </a:t>
          </a:r>
        </a:p>
      </xdr:txBody>
    </xdr:sp>
    <xdr:clientData/>
  </xdr:twoCellAnchor>
  <xdr:twoCellAnchor>
    <xdr:from>
      <xdr:col>3</xdr:col>
      <xdr:colOff>0</xdr:colOff>
      <xdr:row>1174</xdr:row>
      <xdr:rowOff>0</xdr:rowOff>
    </xdr:from>
    <xdr:to>
      <xdr:col>21</xdr:col>
      <xdr:colOff>464820</xdr:colOff>
      <xdr:row>1182</xdr:row>
      <xdr:rowOff>167640</xdr:rowOff>
    </xdr:to>
    <xdr:sp macro="" textlink="">
      <xdr:nvSpPr>
        <xdr:cNvPr id="44" name="TextBox 43">
          <a:extLst>
            <a:ext uri="{FF2B5EF4-FFF2-40B4-BE49-F238E27FC236}">
              <a16:creationId xmlns:a16="http://schemas.microsoft.com/office/drawing/2014/main" id="{283A40F8-C9DE-4A2A-B332-D71408EFD675}"/>
            </a:ext>
          </a:extLst>
        </xdr:cNvPr>
        <xdr:cNvSpPr txBox="1"/>
      </xdr:nvSpPr>
      <xdr:spPr>
        <a:xfrm>
          <a:off x="388620" y="212735160"/>
          <a:ext cx="12047220" cy="1630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The company has no long term borrowings, And Have massibvely reduced the scarce Short term borrwings too from ~8.4% in 2023 to 0.06% of Total Debt with Debt to equity maintained consistently in the range of ~0.02x to 0.04x making it almost a debt free company, its debt to capital ratio and debt to asset ratio is maintained in the same range ast D/E ratio The company's debt mainly comprise of Lease Liabilties both Long term and short term.</a:t>
          </a:r>
          <a:endParaRPr lang="en-IN" sz="1100" b="0" i="1" u="none" strike="noStrike" baseline="0">
            <a:solidFill>
              <a:schemeClr val="dk1"/>
            </a:solidFill>
            <a:effectLst/>
            <a:latin typeface="+mn-lt"/>
            <a:ea typeface="+mn-ea"/>
            <a:cs typeface="+mn-cs"/>
          </a:endParaRPr>
        </a:p>
        <a:p>
          <a:endParaRPr lang="en-IN" sz="1100" b="0" i="1" u="none" strike="noStrike" baseline="0">
            <a:solidFill>
              <a:schemeClr val="dk1"/>
            </a:solidFill>
            <a:effectLst/>
            <a:latin typeface="+mn-lt"/>
            <a:ea typeface="+mn-ea"/>
            <a:cs typeface="+mn-cs"/>
          </a:endParaRPr>
        </a:p>
        <a:p>
          <a:r>
            <a:rPr lang="en-IN" sz="1100" b="0" i="0" u="none" strike="noStrike" baseline="0">
              <a:solidFill>
                <a:schemeClr val="dk1"/>
              </a:solidFill>
              <a:effectLst/>
              <a:latin typeface="+mn-lt"/>
              <a:ea typeface="+mn-ea"/>
              <a:cs typeface="+mn-cs"/>
            </a:rPr>
            <a:t>The company's commanding position in the market which helps it to take money quickly from the customers but the company makes the payment late to the suppliers, helps it to finance the operations of the company as zero cost financing, as a result the company's requirement to use bank overdraft for its day to day operations has reduced significantly and further led to short term borrowings to be decreased.</a:t>
          </a:r>
        </a:p>
        <a:p>
          <a:endParaRPr lang="en-IN" sz="1100" b="0" i="0" u="none" strike="noStrike" baseline="0">
            <a:solidFill>
              <a:schemeClr val="dk1"/>
            </a:solidFill>
            <a:effectLst/>
            <a:latin typeface="+mn-lt"/>
            <a:ea typeface="+mn-ea"/>
            <a:cs typeface="+mn-cs"/>
          </a:endParaRPr>
        </a:p>
        <a:p>
          <a:r>
            <a:rPr lang="en-IN" sz="1100" b="0" i="0" u="none" strike="noStrike" baseline="0">
              <a:solidFill>
                <a:schemeClr val="dk1"/>
              </a:solidFill>
              <a:effectLst/>
              <a:latin typeface="+mn-lt"/>
              <a:ea typeface="+mn-ea"/>
              <a:cs typeface="+mn-cs"/>
            </a:rPr>
            <a:t>We, Assume the lease liabilities (L) will stay 2% of revenue and </a:t>
          </a:r>
          <a:r>
            <a:rPr lang="en-IN" sz="1100" b="0" i="0" baseline="0">
              <a:solidFill>
                <a:schemeClr val="dk1"/>
              </a:solidFill>
              <a:effectLst/>
              <a:latin typeface="+mn-lt"/>
              <a:ea typeface="+mn-ea"/>
              <a:cs typeface="+mn-cs"/>
            </a:rPr>
            <a:t>the lease liabilities (L) will stay1% of revenue </a:t>
          </a:r>
          <a:r>
            <a:rPr lang="en-IN" sz="1100" b="0" i="0" u="none" strike="noStrike" baseline="0">
              <a:solidFill>
                <a:schemeClr val="dk1"/>
              </a:solidFill>
              <a:effectLst/>
              <a:latin typeface="+mn-lt"/>
              <a:ea typeface="+mn-ea"/>
              <a:cs typeface="+mn-cs"/>
            </a:rPr>
            <a:t>since with growing revenue and tapping in untouched markets more logistics points will be needed in future while short term borrowings to be 0% since company is moving towards zero debt target and also company is cash rich and can finance its own self.</a:t>
          </a:r>
          <a:endParaRPr lang="en-IN" sz="1100" b="0" i="0" baseline="0"/>
        </a:p>
      </xdr:txBody>
    </xdr:sp>
    <xdr:clientData/>
  </xdr:twoCellAnchor>
  <xdr:twoCellAnchor>
    <xdr:from>
      <xdr:col>3</xdr:col>
      <xdr:colOff>0</xdr:colOff>
      <xdr:row>1204</xdr:row>
      <xdr:rowOff>0</xdr:rowOff>
    </xdr:from>
    <xdr:to>
      <xdr:col>8</xdr:col>
      <xdr:colOff>236220</xdr:colOff>
      <xdr:row>1208</xdr:row>
      <xdr:rowOff>91440</xdr:rowOff>
    </xdr:to>
    <xdr:sp macro="" textlink="">
      <xdr:nvSpPr>
        <xdr:cNvPr id="45" name="TextBox 44">
          <a:extLst>
            <a:ext uri="{FF2B5EF4-FFF2-40B4-BE49-F238E27FC236}">
              <a16:creationId xmlns:a16="http://schemas.microsoft.com/office/drawing/2014/main" id="{2454AC89-E4C0-410B-B618-D0AE01A316B8}"/>
            </a:ext>
          </a:extLst>
        </xdr:cNvPr>
        <xdr:cNvSpPr txBox="1"/>
      </xdr:nvSpPr>
      <xdr:spPr>
        <a:xfrm>
          <a:off x="388620" y="218351100"/>
          <a:ext cx="594360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As the company is a net debt free company, the interest expenses are mostly accounting cost which are unwinding of discounts. To Forcast the interest costs we have taken it as % sales for clarity purposes since other interst costs are also involved and to marginally calculate each item is not a fruitful exercise.</a:t>
          </a:r>
          <a:endParaRPr lang="en-IN" sz="1100" b="0" i="0" baseline="0"/>
        </a:p>
      </xdr:txBody>
    </xdr:sp>
    <xdr:clientData/>
  </xdr:twoCellAnchor>
  <xdr:twoCellAnchor editAs="oneCell">
    <xdr:from>
      <xdr:col>3</xdr:col>
      <xdr:colOff>15241</xdr:colOff>
      <xdr:row>445</xdr:row>
      <xdr:rowOff>15241</xdr:rowOff>
    </xdr:from>
    <xdr:to>
      <xdr:col>5</xdr:col>
      <xdr:colOff>251461</xdr:colOff>
      <xdr:row>457</xdr:row>
      <xdr:rowOff>160020</xdr:rowOff>
    </xdr:to>
    <xdr:pic>
      <xdr:nvPicPr>
        <xdr:cNvPr id="46" name="Picture 45">
          <a:extLst>
            <a:ext uri="{FF2B5EF4-FFF2-40B4-BE49-F238E27FC236}">
              <a16:creationId xmlns:a16="http://schemas.microsoft.com/office/drawing/2014/main" id="{C0612B7A-E5E2-AEDF-BAE5-D62971DA16DE}"/>
            </a:ext>
          </a:extLst>
        </xdr:cNvPr>
        <xdr:cNvPicPr>
          <a:picLocks noChangeAspect="1"/>
        </xdr:cNvPicPr>
      </xdr:nvPicPr>
      <xdr:blipFill>
        <a:blip xmlns:r="http://schemas.openxmlformats.org/officeDocument/2006/relationships" r:embed="rId35"/>
        <a:stretch>
          <a:fillRect/>
        </a:stretch>
      </xdr:blipFill>
      <xdr:spPr>
        <a:xfrm>
          <a:off x="403861" y="81153001"/>
          <a:ext cx="3703320" cy="2339339"/>
        </a:xfrm>
        <a:prstGeom prst="rect">
          <a:avLst/>
        </a:prstGeom>
      </xdr:spPr>
    </xdr:pic>
    <xdr:clientData/>
  </xdr:twoCellAnchor>
  <xdr:twoCellAnchor editAs="oneCell">
    <xdr:from>
      <xdr:col>5</xdr:col>
      <xdr:colOff>449579</xdr:colOff>
      <xdr:row>445</xdr:row>
      <xdr:rowOff>53341</xdr:rowOff>
    </xdr:from>
    <xdr:to>
      <xdr:col>10</xdr:col>
      <xdr:colOff>411480</xdr:colOff>
      <xdr:row>457</xdr:row>
      <xdr:rowOff>137160</xdr:rowOff>
    </xdr:to>
    <xdr:pic>
      <xdr:nvPicPr>
        <xdr:cNvPr id="47" name="Picture 46">
          <a:extLst>
            <a:ext uri="{FF2B5EF4-FFF2-40B4-BE49-F238E27FC236}">
              <a16:creationId xmlns:a16="http://schemas.microsoft.com/office/drawing/2014/main" id="{2597E054-5B90-237A-B498-BCD751DCC246}"/>
            </a:ext>
          </a:extLst>
        </xdr:cNvPr>
        <xdr:cNvPicPr>
          <a:picLocks noChangeAspect="1"/>
        </xdr:cNvPicPr>
      </xdr:nvPicPr>
      <xdr:blipFill>
        <a:blip xmlns:r="http://schemas.openxmlformats.org/officeDocument/2006/relationships" r:embed="rId36"/>
        <a:stretch>
          <a:fillRect/>
        </a:stretch>
      </xdr:blipFill>
      <xdr:spPr>
        <a:xfrm>
          <a:off x="4305299" y="81191101"/>
          <a:ext cx="3695701" cy="2278379"/>
        </a:xfrm>
        <a:prstGeom prst="rect">
          <a:avLst/>
        </a:prstGeom>
      </xdr:spPr>
    </xdr:pic>
    <xdr:clientData/>
  </xdr:twoCellAnchor>
  <xdr:twoCellAnchor editAs="oneCell">
    <xdr:from>
      <xdr:col>2</xdr:col>
      <xdr:colOff>60960</xdr:colOff>
      <xdr:row>471</xdr:row>
      <xdr:rowOff>129541</xdr:rowOff>
    </xdr:from>
    <xdr:to>
      <xdr:col>4</xdr:col>
      <xdr:colOff>198120</xdr:colOff>
      <xdr:row>481</xdr:row>
      <xdr:rowOff>65533</xdr:rowOff>
    </xdr:to>
    <xdr:pic>
      <xdr:nvPicPr>
        <xdr:cNvPr id="48" name="Picture 47">
          <a:extLst>
            <a:ext uri="{FF2B5EF4-FFF2-40B4-BE49-F238E27FC236}">
              <a16:creationId xmlns:a16="http://schemas.microsoft.com/office/drawing/2014/main" id="{FA49D335-9615-C1EE-504F-E31948639F75}"/>
            </a:ext>
          </a:extLst>
        </xdr:cNvPr>
        <xdr:cNvPicPr>
          <a:picLocks noChangeAspect="1"/>
        </xdr:cNvPicPr>
      </xdr:nvPicPr>
      <xdr:blipFill>
        <a:blip xmlns:r="http://schemas.openxmlformats.org/officeDocument/2006/relationships" r:embed="rId37"/>
        <a:stretch>
          <a:fillRect/>
        </a:stretch>
      </xdr:blipFill>
      <xdr:spPr>
        <a:xfrm>
          <a:off x="320040" y="86052661"/>
          <a:ext cx="2941320" cy="1764792"/>
        </a:xfrm>
        <a:prstGeom prst="rect">
          <a:avLst/>
        </a:prstGeom>
      </xdr:spPr>
    </xdr:pic>
    <xdr:clientData/>
  </xdr:twoCellAnchor>
  <xdr:twoCellAnchor editAs="oneCell">
    <xdr:from>
      <xdr:col>3</xdr:col>
      <xdr:colOff>30481</xdr:colOff>
      <xdr:row>509</xdr:row>
      <xdr:rowOff>106681</xdr:rowOff>
    </xdr:from>
    <xdr:to>
      <xdr:col>5</xdr:col>
      <xdr:colOff>434341</xdr:colOff>
      <xdr:row>525</xdr:row>
      <xdr:rowOff>13582</xdr:rowOff>
    </xdr:to>
    <xdr:pic>
      <xdr:nvPicPr>
        <xdr:cNvPr id="49" name="Picture 48">
          <a:extLst>
            <a:ext uri="{FF2B5EF4-FFF2-40B4-BE49-F238E27FC236}">
              <a16:creationId xmlns:a16="http://schemas.microsoft.com/office/drawing/2014/main" id="{4786DE0B-3B09-4196-616E-CAA1FF36E522}"/>
            </a:ext>
          </a:extLst>
        </xdr:cNvPr>
        <xdr:cNvPicPr>
          <a:picLocks noChangeAspect="1"/>
        </xdr:cNvPicPr>
      </xdr:nvPicPr>
      <xdr:blipFill>
        <a:blip xmlns:r="http://schemas.openxmlformats.org/officeDocument/2006/relationships" r:embed="rId38"/>
        <a:stretch>
          <a:fillRect/>
        </a:stretch>
      </xdr:blipFill>
      <xdr:spPr>
        <a:xfrm>
          <a:off x="419101" y="93367861"/>
          <a:ext cx="3870960" cy="283298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2903220</xdr:colOff>
      <xdr:row>7</xdr:row>
      <xdr:rowOff>179070</xdr:rowOff>
    </xdr:from>
    <xdr:to>
      <xdr:col>1</xdr:col>
      <xdr:colOff>7132320</xdr:colOff>
      <xdr:row>22</xdr:row>
      <xdr:rowOff>179070</xdr:rowOff>
    </xdr:to>
    <xdr:graphicFrame macro="">
      <xdr:nvGraphicFramePr>
        <xdr:cNvPr id="2" name="Chart 1">
          <a:extLst>
            <a:ext uri="{FF2B5EF4-FFF2-40B4-BE49-F238E27FC236}">
              <a16:creationId xmlns:a16="http://schemas.microsoft.com/office/drawing/2014/main" id="{67FA736D-42B8-555F-267F-08756243B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xdr:colOff>
      <xdr:row>252</xdr:row>
      <xdr:rowOff>179070</xdr:rowOff>
    </xdr:from>
    <xdr:to>
      <xdr:col>11</xdr:col>
      <xdr:colOff>411480</xdr:colOff>
      <xdr:row>267</xdr:row>
      <xdr:rowOff>179070</xdr:rowOff>
    </xdr:to>
    <xdr:graphicFrame macro="">
      <xdr:nvGraphicFramePr>
        <xdr:cNvPr id="3" name="Chart 2">
          <a:extLst>
            <a:ext uri="{FF2B5EF4-FFF2-40B4-BE49-F238E27FC236}">
              <a16:creationId xmlns:a16="http://schemas.microsoft.com/office/drawing/2014/main" id="{A307E65D-C8B3-9DE4-9312-A671012BB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271</xdr:row>
      <xdr:rowOff>167640</xdr:rowOff>
    </xdr:from>
    <xdr:to>
      <xdr:col>10</xdr:col>
      <xdr:colOff>80554</xdr:colOff>
      <xdr:row>281</xdr:row>
      <xdr:rowOff>152399</xdr:rowOff>
    </xdr:to>
    <xdr:pic>
      <xdr:nvPicPr>
        <xdr:cNvPr id="4" name="Picture 3">
          <a:extLst>
            <a:ext uri="{FF2B5EF4-FFF2-40B4-BE49-F238E27FC236}">
              <a16:creationId xmlns:a16="http://schemas.microsoft.com/office/drawing/2014/main" id="{32B5230A-7332-4046-AA4C-CBFA609660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76900" y="51793140"/>
          <a:ext cx="3291840" cy="1813559"/>
        </a:xfrm>
        <a:prstGeom prst="rect">
          <a:avLst/>
        </a:prstGeom>
      </xdr:spPr>
    </xdr:pic>
    <xdr:clientData/>
  </xdr:twoCellAnchor>
  <xdr:twoCellAnchor editAs="oneCell">
    <xdr:from>
      <xdr:col>9</xdr:col>
      <xdr:colOff>0</xdr:colOff>
      <xdr:row>283</xdr:row>
      <xdr:rowOff>0</xdr:rowOff>
    </xdr:from>
    <xdr:to>
      <xdr:col>12</xdr:col>
      <xdr:colOff>500127</xdr:colOff>
      <xdr:row>291</xdr:row>
      <xdr:rowOff>144780</xdr:rowOff>
    </xdr:to>
    <xdr:pic>
      <xdr:nvPicPr>
        <xdr:cNvPr id="5" name="Picture 4">
          <a:extLst>
            <a:ext uri="{FF2B5EF4-FFF2-40B4-BE49-F238E27FC236}">
              <a16:creationId xmlns:a16="http://schemas.microsoft.com/office/drawing/2014/main" id="{544E75E5-1E6E-498E-B737-C1D9CE426A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15300" y="53820060"/>
          <a:ext cx="2426898" cy="1607820"/>
        </a:xfrm>
        <a:prstGeom prst="rect">
          <a:avLst/>
        </a:prstGeom>
      </xdr:spPr>
    </xdr:pic>
    <xdr:clientData/>
  </xdr:twoCellAnchor>
  <xdr:twoCellAnchor>
    <xdr:from>
      <xdr:col>1</xdr:col>
      <xdr:colOff>1973580</xdr:colOff>
      <xdr:row>285</xdr:row>
      <xdr:rowOff>87630</xdr:rowOff>
    </xdr:from>
    <xdr:to>
      <xdr:col>7</xdr:col>
      <xdr:colOff>259080</xdr:colOff>
      <xdr:row>300</xdr:row>
      <xdr:rowOff>87630</xdr:rowOff>
    </xdr:to>
    <xdr:graphicFrame macro="">
      <xdr:nvGraphicFramePr>
        <xdr:cNvPr id="6" name="Chart 5">
          <a:extLst>
            <a:ext uri="{FF2B5EF4-FFF2-40B4-BE49-F238E27FC236}">
              <a16:creationId xmlns:a16="http://schemas.microsoft.com/office/drawing/2014/main" id="{2511348B-0D89-5279-CE95-02AC11D42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251460</xdr:colOff>
      <xdr:row>294</xdr:row>
      <xdr:rowOff>72390</xdr:rowOff>
    </xdr:from>
    <xdr:to>
      <xdr:col>10</xdr:col>
      <xdr:colOff>359229</xdr:colOff>
      <xdr:row>310</xdr:row>
      <xdr:rowOff>141514</xdr:rowOff>
    </xdr:to>
    <xdr:graphicFrame macro="">
      <xdr:nvGraphicFramePr>
        <xdr:cNvPr id="7" name="Chart 6">
          <a:extLst>
            <a:ext uri="{FF2B5EF4-FFF2-40B4-BE49-F238E27FC236}">
              <a16:creationId xmlns:a16="http://schemas.microsoft.com/office/drawing/2014/main" id="{50F2657E-D3E0-DA14-B57B-D6EEED7DF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576944</xdr:colOff>
      <xdr:row>315</xdr:row>
      <xdr:rowOff>119743</xdr:rowOff>
    </xdr:from>
    <xdr:to>
      <xdr:col>2</xdr:col>
      <xdr:colOff>424542</xdr:colOff>
      <xdr:row>325</xdr:row>
      <xdr:rowOff>87086</xdr:rowOff>
    </xdr:to>
    <xdr:graphicFrame macro="">
      <xdr:nvGraphicFramePr>
        <xdr:cNvPr id="8" name="Chart 7">
          <a:extLst>
            <a:ext uri="{FF2B5EF4-FFF2-40B4-BE49-F238E27FC236}">
              <a16:creationId xmlns:a16="http://schemas.microsoft.com/office/drawing/2014/main" id="{E4FD338D-8C31-5461-1EDA-8C27D8B43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141515</xdr:colOff>
      <xdr:row>298</xdr:row>
      <xdr:rowOff>1</xdr:rowOff>
    </xdr:from>
    <xdr:to>
      <xdr:col>17</xdr:col>
      <xdr:colOff>185058</xdr:colOff>
      <xdr:row>312</xdr:row>
      <xdr:rowOff>65315</xdr:rowOff>
    </xdr:to>
    <xdr:pic>
      <xdr:nvPicPr>
        <xdr:cNvPr id="9" name="Picture 8">
          <a:extLst>
            <a:ext uri="{FF2B5EF4-FFF2-40B4-BE49-F238E27FC236}">
              <a16:creationId xmlns:a16="http://schemas.microsoft.com/office/drawing/2014/main" id="{5F0C4747-3591-4C84-92D1-B1E49D3BB86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75372" y="60992658"/>
          <a:ext cx="4201886" cy="2656114"/>
        </a:xfrm>
        <a:prstGeom prst="rect">
          <a:avLst/>
        </a:prstGeom>
      </xdr:spPr>
    </xdr:pic>
    <xdr:clientData/>
  </xdr:twoCellAnchor>
  <xdr:twoCellAnchor>
    <xdr:from>
      <xdr:col>10</xdr:col>
      <xdr:colOff>32657</xdr:colOff>
      <xdr:row>456</xdr:row>
      <xdr:rowOff>65315</xdr:rowOff>
    </xdr:from>
    <xdr:to>
      <xdr:col>16</xdr:col>
      <xdr:colOff>522514</xdr:colOff>
      <xdr:row>463</xdr:row>
      <xdr:rowOff>87087</xdr:rowOff>
    </xdr:to>
    <xdr:graphicFrame macro="">
      <xdr:nvGraphicFramePr>
        <xdr:cNvPr id="10" name="Chart 9">
          <a:extLst>
            <a:ext uri="{FF2B5EF4-FFF2-40B4-BE49-F238E27FC236}">
              <a16:creationId xmlns:a16="http://schemas.microsoft.com/office/drawing/2014/main" id="{FD3C9438-35A3-2512-AAEE-A089478DD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174171</xdr:colOff>
      <xdr:row>454</xdr:row>
      <xdr:rowOff>76199</xdr:rowOff>
    </xdr:from>
    <xdr:to>
      <xdr:col>27</xdr:col>
      <xdr:colOff>21771</xdr:colOff>
      <xdr:row>462</xdr:row>
      <xdr:rowOff>609600</xdr:rowOff>
    </xdr:to>
    <xdr:graphicFrame macro="">
      <xdr:nvGraphicFramePr>
        <xdr:cNvPr id="12" name="Chart 11">
          <a:extLst>
            <a:ext uri="{FF2B5EF4-FFF2-40B4-BE49-F238E27FC236}">
              <a16:creationId xmlns:a16="http://schemas.microsoft.com/office/drawing/2014/main" id="{33800BB6-35B2-0A4B-1985-7340DE75D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533399</xdr:colOff>
      <xdr:row>496</xdr:row>
      <xdr:rowOff>54429</xdr:rowOff>
    </xdr:from>
    <xdr:to>
      <xdr:col>21</xdr:col>
      <xdr:colOff>348343</xdr:colOff>
      <xdr:row>516</xdr:row>
      <xdr:rowOff>97971</xdr:rowOff>
    </xdr:to>
    <xdr:pic>
      <xdr:nvPicPr>
        <xdr:cNvPr id="13" name="Picture 12">
          <a:extLst>
            <a:ext uri="{FF2B5EF4-FFF2-40B4-BE49-F238E27FC236}">
              <a16:creationId xmlns:a16="http://schemas.microsoft.com/office/drawing/2014/main" id="{B6739B89-3DB6-DCDE-A84D-F5852522EF58}"/>
            </a:ext>
          </a:extLst>
        </xdr:cNvPr>
        <xdr:cNvPicPr>
          <a:picLocks noChangeAspect="1"/>
        </xdr:cNvPicPr>
      </xdr:nvPicPr>
      <xdr:blipFill>
        <a:blip xmlns:r="http://schemas.openxmlformats.org/officeDocument/2006/relationships" r:embed="rId10"/>
        <a:stretch>
          <a:fillRect/>
        </a:stretch>
      </xdr:blipFill>
      <xdr:spPr>
        <a:xfrm>
          <a:off x="10809513" y="80260372"/>
          <a:ext cx="5878287" cy="3744685"/>
        </a:xfrm>
        <a:prstGeom prst="rect">
          <a:avLst/>
        </a:prstGeom>
      </xdr:spPr>
    </xdr:pic>
    <xdr:clientData/>
  </xdr:twoCellAnchor>
  <xdr:twoCellAnchor editAs="oneCell">
    <xdr:from>
      <xdr:col>9</xdr:col>
      <xdr:colOff>326571</xdr:colOff>
      <xdr:row>518</xdr:row>
      <xdr:rowOff>130629</xdr:rowOff>
    </xdr:from>
    <xdr:to>
      <xdr:col>17</xdr:col>
      <xdr:colOff>598714</xdr:colOff>
      <xdr:row>537</xdr:row>
      <xdr:rowOff>43543</xdr:rowOff>
    </xdr:to>
    <xdr:pic>
      <xdr:nvPicPr>
        <xdr:cNvPr id="14" name="Picture 13">
          <a:extLst>
            <a:ext uri="{FF2B5EF4-FFF2-40B4-BE49-F238E27FC236}">
              <a16:creationId xmlns:a16="http://schemas.microsoft.com/office/drawing/2014/main" id="{E2C289C7-9F75-CCBE-10C4-D12EAC5B2E82}"/>
            </a:ext>
          </a:extLst>
        </xdr:cNvPr>
        <xdr:cNvPicPr>
          <a:picLocks noChangeAspect="1"/>
        </xdr:cNvPicPr>
      </xdr:nvPicPr>
      <xdr:blipFill>
        <a:blip xmlns:r="http://schemas.openxmlformats.org/officeDocument/2006/relationships" r:embed="rId11"/>
        <a:stretch>
          <a:fillRect/>
        </a:stretch>
      </xdr:blipFill>
      <xdr:spPr>
        <a:xfrm>
          <a:off x="8675914" y="84407829"/>
          <a:ext cx="5715000" cy="3429000"/>
        </a:xfrm>
        <a:prstGeom prst="rect">
          <a:avLst/>
        </a:prstGeom>
      </xdr:spPr>
    </xdr:pic>
    <xdr:clientData/>
  </xdr:twoCellAnchor>
  <xdr:twoCellAnchor editAs="oneCell">
    <xdr:from>
      <xdr:col>0</xdr:col>
      <xdr:colOff>185057</xdr:colOff>
      <xdr:row>520</xdr:row>
      <xdr:rowOff>21771</xdr:rowOff>
    </xdr:from>
    <xdr:to>
      <xdr:col>4</xdr:col>
      <xdr:colOff>293553</xdr:colOff>
      <xdr:row>538</xdr:row>
      <xdr:rowOff>97971</xdr:rowOff>
    </xdr:to>
    <xdr:pic>
      <xdr:nvPicPr>
        <xdr:cNvPr id="15" name="Picture 14">
          <a:extLst>
            <a:ext uri="{FF2B5EF4-FFF2-40B4-BE49-F238E27FC236}">
              <a16:creationId xmlns:a16="http://schemas.microsoft.com/office/drawing/2014/main" id="{752CD2B7-0949-4AA1-A7BD-10336EBC3D42}"/>
            </a:ext>
          </a:extLst>
        </xdr:cNvPr>
        <xdr:cNvPicPr>
          <a:picLocks noChangeAspect="1"/>
        </xdr:cNvPicPr>
      </xdr:nvPicPr>
      <xdr:blipFill>
        <a:blip xmlns:r="http://schemas.openxmlformats.org/officeDocument/2006/relationships" r:embed="rId12"/>
        <a:stretch>
          <a:fillRect/>
        </a:stretch>
      </xdr:blipFill>
      <xdr:spPr>
        <a:xfrm>
          <a:off x="185057" y="84669085"/>
          <a:ext cx="6248039" cy="3407229"/>
        </a:xfrm>
        <a:prstGeom prst="rect">
          <a:avLst/>
        </a:prstGeom>
      </xdr:spPr>
    </xdr:pic>
    <xdr:clientData/>
  </xdr:twoCellAnchor>
  <xdr:twoCellAnchor editAs="oneCell">
    <xdr:from>
      <xdr:col>1</xdr:col>
      <xdr:colOff>1382485</xdr:colOff>
      <xdr:row>498</xdr:row>
      <xdr:rowOff>87086</xdr:rowOff>
    </xdr:from>
    <xdr:to>
      <xdr:col>5</xdr:col>
      <xdr:colOff>500742</xdr:colOff>
      <xdr:row>518</xdr:row>
      <xdr:rowOff>21770</xdr:rowOff>
    </xdr:to>
    <xdr:pic>
      <xdr:nvPicPr>
        <xdr:cNvPr id="17" name="Picture 16">
          <a:extLst>
            <a:ext uri="{FF2B5EF4-FFF2-40B4-BE49-F238E27FC236}">
              <a16:creationId xmlns:a16="http://schemas.microsoft.com/office/drawing/2014/main" id="{7BAE2F7C-AAF9-9862-3BC5-A65DA952773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92085" y="80663143"/>
          <a:ext cx="5290457" cy="3635827"/>
        </a:xfrm>
        <a:prstGeom prst="rect">
          <a:avLst/>
        </a:prstGeom>
      </xdr:spPr>
    </xdr:pic>
    <xdr:clientData/>
  </xdr:twoCellAnchor>
  <xdr:twoCellAnchor>
    <xdr:from>
      <xdr:col>5</xdr:col>
      <xdr:colOff>489856</xdr:colOff>
      <xdr:row>542</xdr:row>
      <xdr:rowOff>65314</xdr:rowOff>
    </xdr:from>
    <xdr:to>
      <xdr:col>13</xdr:col>
      <xdr:colOff>348342</xdr:colOff>
      <xdr:row>559</xdr:row>
      <xdr:rowOff>54428</xdr:rowOff>
    </xdr:to>
    <xdr:graphicFrame macro="">
      <xdr:nvGraphicFramePr>
        <xdr:cNvPr id="18" name="Chart 17">
          <a:extLst>
            <a:ext uri="{FF2B5EF4-FFF2-40B4-BE49-F238E27FC236}">
              <a16:creationId xmlns:a16="http://schemas.microsoft.com/office/drawing/2014/main" id="{DDAC6596-6071-65B6-0D03-3B5849C08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293915</xdr:colOff>
      <xdr:row>560</xdr:row>
      <xdr:rowOff>10885</xdr:rowOff>
    </xdr:from>
    <xdr:to>
      <xdr:col>13</xdr:col>
      <xdr:colOff>544286</xdr:colOff>
      <xdr:row>581</xdr:row>
      <xdr:rowOff>108858</xdr:rowOff>
    </xdr:to>
    <xdr:graphicFrame macro="">
      <xdr:nvGraphicFramePr>
        <xdr:cNvPr id="19" name="Chart 18">
          <a:extLst>
            <a:ext uri="{FF2B5EF4-FFF2-40B4-BE49-F238E27FC236}">
              <a16:creationId xmlns:a16="http://schemas.microsoft.com/office/drawing/2014/main" id="{72E428B5-ED98-C264-895C-EC6BEE47E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283028</xdr:colOff>
      <xdr:row>582</xdr:row>
      <xdr:rowOff>130627</xdr:rowOff>
    </xdr:from>
    <xdr:to>
      <xdr:col>16</xdr:col>
      <xdr:colOff>76199</xdr:colOff>
      <xdr:row>604</xdr:row>
      <xdr:rowOff>141513</xdr:rowOff>
    </xdr:to>
    <xdr:graphicFrame macro="">
      <xdr:nvGraphicFramePr>
        <xdr:cNvPr id="20" name="Chart 19">
          <a:extLst>
            <a:ext uri="{FF2B5EF4-FFF2-40B4-BE49-F238E27FC236}">
              <a16:creationId xmlns:a16="http://schemas.microsoft.com/office/drawing/2014/main" id="{88DC6840-073A-38CE-42DC-FBB3061E3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348342</xdr:colOff>
      <xdr:row>605</xdr:row>
      <xdr:rowOff>54427</xdr:rowOff>
    </xdr:from>
    <xdr:to>
      <xdr:col>9</xdr:col>
      <xdr:colOff>500743</xdr:colOff>
      <xdr:row>622</xdr:row>
      <xdr:rowOff>141513</xdr:rowOff>
    </xdr:to>
    <xdr:graphicFrame macro="">
      <xdr:nvGraphicFramePr>
        <xdr:cNvPr id="21" name="Chart 20">
          <a:extLst>
            <a:ext uri="{FF2B5EF4-FFF2-40B4-BE49-F238E27FC236}">
              <a16:creationId xmlns:a16="http://schemas.microsoft.com/office/drawing/2014/main" id="{A54DBCB2-3263-2D4D-38ED-F961B029C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54429</xdr:colOff>
      <xdr:row>312</xdr:row>
      <xdr:rowOff>163287</xdr:rowOff>
    </xdr:from>
    <xdr:to>
      <xdr:col>10</xdr:col>
      <xdr:colOff>631372</xdr:colOff>
      <xdr:row>325</xdr:row>
      <xdr:rowOff>174173</xdr:rowOff>
    </xdr:to>
    <xdr:graphicFrame macro="">
      <xdr:nvGraphicFramePr>
        <xdr:cNvPr id="22" name="Chart 21">
          <a:extLst>
            <a:ext uri="{FF2B5EF4-FFF2-40B4-BE49-F238E27FC236}">
              <a16:creationId xmlns:a16="http://schemas.microsoft.com/office/drawing/2014/main" id="{2672A017-3082-5B95-0316-93825A8B5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35</xdr:col>
      <xdr:colOff>478969</xdr:colOff>
      <xdr:row>325</xdr:row>
      <xdr:rowOff>32655</xdr:rowOff>
    </xdr:from>
    <xdr:to>
      <xdr:col>41</xdr:col>
      <xdr:colOff>228598</xdr:colOff>
      <xdr:row>336</xdr:row>
      <xdr:rowOff>54428</xdr:rowOff>
    </xdr:to>
    <xdr:graphicFrame macro="">
      <xdr:nvGraphicFramePr>
        <xdr:cNvPr id="23" name="Chart 22">
          <a:extLst>
            <a:ext uri="{FF2B5EF4-FFF2-40B4-BE49-F238E27FC236}">
              <a16:creationId xmlns:a16="http://schemas.microsoft.com/office/drawing/2014/main" id="{41DC3D10-3E64-A523-3B96-8A1309873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381000</xdr:colOff>
      <xdr:row>339</xdr:row>
      <xdr:rowOff>174172</xdr:rowOff>
    </xdr:from>
    <xdr:to>
      <xdr:col>42</xdr:col>
      <xdr:colOff>76200</xdr:colOff>
      <xdr:row>354</xdr:row>
      <xdr:rowOff>141515</xdr:rowOff>
    </xdr:to>
    <xdr:graphicFrame macro="">
      <xdr:nvGraphicFramePr>
        <xdr:cNvPr id="25" name="Chart 24">
          <a:extLst>
            <a:ext uri="{FF2B5EF4-FFF2-40B4-BE49-F238E27FC236}">
              <a16:creationId xmlns:a16="http://schemas.microsoft.com/office/drawing/2014/main" id="{BFA70601-B29F-1215-AF27-9723E4B27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36</xdr:col>
      <xdr:colOff>576943</xdr:colOff>
      <xdr:row>352</xdr:row>
      <xdr:rowOff>152401</xdr:rowOff>
    </xdr:from>
    <xdr:to>
      <xdr:col>45</xdr:col>
      <xdr:colOff>97972</xdr:colOff>
      <xdr:row>366</xdr:row>
      <xdr:rowOff>141514</xdr:rowOff>
    </xdr:to>
    <xdr:graphicFrame macro="">
      <xdr:nvGraphicFramePr>
        <xdr:cNvPr id="26" name="Chart 25">
          <a:extLst>
            <a:ext uri="{FF2B5EF4-FFF2-40B4-BE49-F238E27FC236}">
              <a16:creationId xmlns:a16="http://schemas.microsoft.com/office/drawing/2014/main" id="{7B4B042A-3714-BE4E-B987-18F952E6B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33</xdr:col>
      <xdr:colOff>402772</xdr:colOff>
      <xdr:row>367</xdr:row>
      <xdr:rowOff>1</xdr:rowOff>
    </xdr:from>
    <xdr:to>
      <xdr:col>38</xdr:col>
      <xdr:colOff>511628</xdr:colOff>
      <xdr:row>380</xdr:row>
      <xdr:rowOff>43543</xdr:rowOff>
    </xdr:to>
    <xdr:graphicFrame macro="">
      <xdr:nvGraphicFramePr>
        <xdr:cNvPr id="27" name="Chart 26">
          <a:extLst>
            <a:ext uri="{FF2B5EF4-FFF2-40B4-BE49-F238E27FC236}">
              <a16:creationId xmlns:a16="http://schemas.microsoft.com/office/drawing/2014/main" id="{92108482-C830-C397-0F99-F74485F48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31</xdr:col>
      <xdr:colOff>239485</xdr:colOff>
      <xdr:row>353</xdr:row>
      <xdr:rowOff>108856</xdr:rowOff>
    </xdr:from>
    <xdr:to>
      <xdr:col>38</xdr:col>
      <xdr:colOff>544285</xdr:colOff>
      <xdr:row>369</xdr:row>
      <xdr:rowOff>76199</xdr:rowOff>
    </xdr:to>
    <xdr:graphicFrame macro="">
      <xdr:nvGraphicFramePr>
        <xdr:cNvPr id="28" name="Chart 27">
          <a:extLst>
            <a:ext uri="{FF2B5EF4-FFF2-40B4-BE49-F238E27FC236}">
              <a16:creationId xmlns:a16="http://schemas.microsoft.com/office/drawing/2014/main" id="{C5474F8C-4998-DDB1-874F-6C3A6B7E8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24</xdr:col>
      <xdr:colOff>239486</xdr:colOff>
      <xdr:row>376</xdr:row>
      <xdr:rowOff>1</xdr:rowOff>
    </xdr:from>
    <xdr:to>
      <xdr:col>31</xdr:col>
      <xdr:colOff>544286</xdr:colOff>
      <xdr:row>390</xdr:row>
      <xdr:rowOff>152401</xdr:rowOff>
    </xdr:to>
    <xdr:graphicFrame macro="">
      <xdr:nvGraphicFramePr>
        <xdr:cNvPr id="29" name="Chart 28">
          <a:extLst>
            <a:ext uri="{FF2B5EF4-FFF2-40B4-BE49-F238E27FC236}">
              <a16:creationId xmlns:a16="http://schemas.microsoft.com/office/drawing/2014/main" id="{4D1DCBB5-83E1-F9F4-28B4-E51847ADF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40</xdr:col>
      <xdr:colOff>598716</xdr:colOff>
      <xdr:row>377</xdr:row>
      <xdr:rowOff>1</xdr:rowOff>
    </xdr:from>
    <xdr:to>
      <xdr:col>48</xdr:col>
      <xdr:colOff>293916</xdr:colOff>
      <xdr:row>391</xdr:row>
      <xdr:rowOff>152401</xdr:rowOff>
    </xdr:to>
    <xdr:graphicFrame macro="">
      <xdr:nvGraphicFramePr>
        <xdr:cNvPr id="31" name="Chart 30">
          <a:extLst>
            <a:ext uri="{FF2B5EF4-FFF2-40B4-BE49-F238E27FC236}">
              <a16:creationId xmlns:a16="http://schemas.microsoft.com/office/drawing/2014/main" id="{D35C4FB0-63B3-2874-C300-FE49821CC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32</xdr:col>
      <xdr:colOff>293915</xdr:colOff>
      <xdr:row>385</xdr:row>
      <xdr:rowOff>152400</xdr:rowOff>
    </xdr:from>
    <xdr:to>
      <xdr:col>39</xdr:col>
      <xdr:colOff>598715</xdr:colOff>
      <xdr:row>443</xdr:row>
      <xdr:rowOff>119743</xdr:rowOff>
    </xdr:to>
    <xdr:graphicFrame macro="">
      <xdr:nvGraphicFramePr>
        <xdr:cNvPr id="32" name="Chart 31">
          <a:extLst>
            <a:ext uri="{FF2B5EF4-FFF2-40B4-BE49-F238E27FC236}">
              <a16:creationId xmlns:a16="http://schemas.microsoft.com/office/drawing/2014/main" id="{0C564D9D-20CC-A7EE-FCE3-62615C831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478971</xdr:colOff>
      <xdr:row>393</xdr:row>
      <xdr:rowOff>185056</xdr:rowOff>
    </xdr:from>
    <xdr:to>
      <xdr:col>30</xdr:col>
      <xdr:colOff>21771</xdr:colOff>
      <xdr:row>411</xdr:row>
      <xdr:rowOff>130628</xdr:rowOff>
    </xdr:to>
    <xdr:graphicFrame macro="">
      <xdr:nvGraphicFramePr>
        <xdr:cNvPr id="33" name="Chart 32">
          <a:extLst>
            <a:ext uri="{FF2B5EF4-FFF2-40B4-BE49-F238E27FC236}">
              <a16:creationId xmlns:a16="http://schemas.microsoft.com/office/drawing/2014/main" id="{DDEA7EAD-0E4E-8551-07BB-B8A5F5D57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587828</xdr:colOff>
      <xdr:row>432</xdr:row>
      <xdr:rowOff>119742</xdr:rowOff>
    </xdr:from>
    <xdr:to>
      <xdr:col>2</xdr:col>
      <xdr:colOff>1306285</xdr:colOff>
      <xdr:row>447</xdr:row>
      <xdr:rowOff>87085</xdr:rowOff>
    </xdr:to>
    <xdr:graphicFrame macro="">
      <xdr:nvGraphicFramePr>
        <xdr:cNvPr id="37" name="Chart 36">
          <a:extLst>
            <a:ext uri="{FF2B5EF4-FFF2-40B4-BE49-F238E27FC236}">
              <a16:creationId xmlns:a16="http://schemas.microsoft.com/office/drawing/2014/main" id="{9AEAD50E-865A-9F73-EF86-68D3F0DC9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337458</xdr:colOff>
      <xdr:row>428</xdr:row>
      <xdr:rowOff>21770</xdr:rowOff>
    </xdr:from>
    <xdr:to>
      <xdr:col>16</xdr:col>
      <xdr:colOff>446314</xdr:colOff>
      <xdr:row>447</xdr:row>
      <xdr:rowOff>-1</xdr:rowOff>
    </xdr:to>
    <xdr:graphicFrame macro="">
      <xdr:nvGraphicFramePr>
        <xdr:cNvPr id="38" name="Chart 37">
          <a:extLst>
            <a:ext uri="{FF2B5EF4-FFF2-40B4-BE49-F238E27FC236}">
              <a16:creationId xmlns:a16="http://schemas.microsoft.com/office/drawing/2014/main" id="{24C1C848-623C-59CD-4722-FD7056423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19</xdr:col>
      <xdr:colOff>206828</xdr:colOff>
      <xdr:row>358</xdr:row>
      <xdr:rowOff>76200</xdr:rowOff>
    </xdr:from>
    <xdr:to>
      <xdr:col>26</xdr:col>
      <xdr:colOff>511628</xdr:colOff>
      <xdr:row>373</xdr:row>
      <xdr:rowOff>43543</xdr:rowOff>
    </xdr:to>
    <xdr:graphicFrame macro="">
      <xdr:nvGraphicFramePr>
        <xdr:cNvPr id="40" name="Chart 39">
          <a:extLst>
            <a:ext uri="{FF2B5EF4-FFF2-40B4-BE49-F238E27FC236}">
              <a16:creationId xmlns:a16="http://schemas.microsoft.com/office/drawing/2014/main" id="{1E34AE87-04B6-2992-2A9A-8056ED2B9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19</xdr:col>
      <xdr:colOff>576943</xdr:colOff>
      <xdr:row>341</xdr:row>
      <xdr:rowOff>76200</xdr:rowOff>
    </xdr:from>
    <xdr:to>
      <xdr:col>27</xdr:col>
      <xdr:colOff>272143</xdr:colOff>
      <xdr:row>356</xdr:row>
      <xdr:rowOff>43543</xdr:rowOff>
    </xdr:to>
    <xdr:graphicFrame macro="">
      <xdr:nvGraphicFramePr>
        <xdr:cNvPr id="41" name="Chart 40">
          <a:extLst>
            <a:ext uri="{FF2B5EF4-FFF2-40B4-BE49-F238E27FC236}">
              <a16:creationId xmlns:a16="http://schemas.microsoft.com/office/drawing/2014/main" id="{1AA1F9BE-E387-1E59-4D4A-1057BC8CB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121920</xdr:colOff>
      <xdr:row>31</xdr:row>
      <xdr:rowOff>91440</xdr:rowOff>
    </xdr:from>
    <xdr:to>
      <xdr:col>5</xdr:col>
      <xdr:colOff>586740</xdr:colOff>
      <xdr:row>43</xdr:row>
      <xdr:rowOff>60992</xdr:rowOff>
    </xdr:to>
    <xdr:pic>
      <xdr:nvPicPr>
        <xdr:cNvPr id="2" name="Picture 1">
          <a:extLst>
            <a:ext uri="{FF2B5EF4-FFF2-40B4-BE49-F238E27FC236}">
              <a16:creationId xmlns:a16="http://schemas.microsoft.com/office/drawing/2014/main" id="{1E91A391-EF8F-4D97-912C-44D087C4F3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460" y="5760720"/>
          <a:ext cx="2903220" cy="2164112"/>
        </a:xfrm>
        <a:prstGeom prst="rect">
          <a:avLst/>
        </a:prstGeom>
      </xdr:spPr>
    </xdr:pic>
    <xdr:clientData/>
  </xdr:twoCellAnchor>
  <xdr:twoCellAnchor editAs="oneCell">
    <xdr:from>
      <xdr:col>1</xdr:col>
      <xdr:colOff>91440</xdr:colOff>
      <xdr:row>15</xdr:row>
      <xdr:rowOff>30481</xdr:rowOff>
    </xdr:from>
    <xdr:to>
      <xdr:col>8</xdr:col>
      <xdr:colOff>601980</xdr:colOff>
      <xdr:row>30</xdr:row>
      <xdr:rowOff>15006</xdr:rowOff>
    </xdr:to>
    <xdr:pic>
      <xdr:nvPicPr>
        <xdr:cNvPr id="4" name="Picture 3">
          <a:extLst>
            <a:ext uri="{FF2B5EF4-FFF2-40B4-BE49-F238E27FC236}">
              <a16:creationId xmlns:a16="http://schemas.microsoft.com/office/drawing/2014/main" id="{D3A031BA-854C-6913-F204-46BADF6BB4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980" y="2773681"/>
          <a:ext cx="4777740" cy="2727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yas\Downloads\Hind.%20Unilever.xlsx" TargetMode="External"/><Relationship Id="rId1" Type="http://schemas.openxmlformats.org/officeDocument/2006/relationships/externalLinkPath" Target="file:///C:\Users\suyas\Downloads\Hind.%20Unilev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arterly Results"/>
      <sheetName val="Balance Sheet"/>
      <sheetName val="Profit &amp; Loss"/>
      <sheetName val="Cash Flow"/>
      <sheetName val="Ratio Analysis"/>
      <sheetName val="Common Size Statement"/>
      <sheetName val="DuPont Analysis"/>
      <sheetName val="ROIIC Profiling- Saber"/>
      <sheetName val="Forensic Analysis"/>
      <sheetName val="Annual Report"/>
      <sheetName val="Screener"/>
      <sheetName val="Valuation&gt;"/>
      <sheetName val="DCF"/>
      <sheetName val="$1 Test"/>
      <sheetName val="DO NOT TOUCH&gt;"/>
      <sheetName val="Data Sheet"/>
      <sheetName val="Sector Data"/>
      <sheetName val="Customization"/>
      <sheetName val="List of Stocks"/>
    </sheetNames>
    <sheetDataSet>
      <sheetData sheetId="0"/>
      <sheetData sheetId="1"/>
      <sheetData sheetId="2">
        <row r="29">
          <cell r="C29">
            <v>4151</v>
          </cell>
          <cell r="D29">
            <v>4490</v>
          </cell>
          <cell r="E29">
            <v>5227</v>
          </cell>
          <cell r="F29">
            <v>6060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
          <cell r="B1" t="str">
            <v>HINDUSTAN UNILEVER LTD</v>
          </cell>
        </row>
      </sheetData>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Suyash Mandhana" id="{0C4B545F-E588-4A8A-BA03-5DC469BCE510}" userId="e4ac7544383a938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30" dT="2026-03-14T11:08:25.70" personId="{0C4B545F-E588-4A8A-BA03-5DC469BCE510}" id="{F1B480D7-4FA2-49AA-8647-8EAD1EB0CAD8}">
    <text>Additions of items from original cash flow statement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C3F7D6-60EB-44A3-BB5B-42996013DB40}">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4.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8" Type="http://schemas.openxmlformats.org/officeDocument/2006/relationships/hyperlink" Target="https://www.livemint.com/companies/young-consumers-ecofriendly-homecare-personal-care-fmcg-startups-detergents-11730778011455.html" TargetMode="External"/><Relationship Id="rId13" Type="http://schemas.openxmlformats.org/officeDocument/2006/relationships/hyperlink" Target="https://mfs.cii.in/assets/pdf/Beauty_and_Cosmetic_Products.pdf" TargetMode="External"/><Relationship Id="rId18" Type="http://schemas.openxmlformats.org/officeDocument/2006/relationships/hyperlink" Target="https://www.hul.co.in/news/press-releases/2026/hul-to-invest-up-to-2000-crore-in-capacity-expansion/" TargetMode="External"/><Relationship Id="rId3" Type="http://schemas.openxmlformats.org/officeDocument/2006/relationships/hyperlink" Target="https://www.researchandmarkets.com/report/india-pre-packed-food-market?srsltid=AfmBOoqyDa4POZC3vU0_T4cLQl4qwjTKGMUzPanGqqatd7UPLblN-K2Q" TargetMode="External"/><Relationship Id="rId21" Type="http://schemas.openxmlformats.org/officeDocument/2006/relationships/hyperlink" Target="https://www.wwf.org.uk/updates/8-things-know-about-palm-oil" TargetMode="External"/><Relationship Id="rId7" Type="http://schemas.openxmlformats.org/officeDocument/2006/relationships/hyperlink" Target="https://www.globaldata.com/store/report/india-household-products-market-analysis/" TargetMode="External"/><Relationship Id="rId12" Type="http://schemas.openxmlformats.org/officeDocument/2006/relationships/hyperlink" Target="https://www.ibef.org/news/india-you-e-beauty-the-blush-and-glow-of-the-new-billion-dollar-boom" TargetMode="External"/><Relationship Id="rId17" Type="http://schemas.openxmlformats.org/officeDocument/2006/relationships/hyperlink" Target="https://www.statista.com/outlook/cmo/beauty-personal-care/india?srsltid=AfmBOor06dOydgZypRHA7v9iUQLdqunxwMCtZrRF0v_vwnIV254NUChX" TargetMode="External"/><Relationship Id="rId2" Type="http://schemas.openxmlformats.org/officeDocument/2006/relationships/hyperlink" Target="https://www.imarcgroup.com/india-packaged-food-market" TargetMode="External"/><Relationship Id="rId16" Type="http://schemas.openxmlformats.org/officeDocument/2006/relationships/hyperlink" Target="https://redseer.com/reports/indias-40bn-beauty-personal-care-market-growth-shifts-and-opportunities-for-2030/" TargetMode="External"/><Relationship Id="rId20" Type="http://schemas.openxmlformats.org/officeDocument/2006/relationships/hyperlink" Target="https://www.undp.org/foodsystems/indonesia-sustainable-palm-oil" TargetMode="External"/><Relationship Id="rId1" Type="http://schemas.openxmlformats.org/officeDocument/2006/relationships/hyperlink" Target="https://www.techsciresearch.com/report/india-packaged-food-market/26991.html" TargetMode="External"/><Relationship Id="rId6" Type="http://schemas.openxmlformats.org/officeDocument/2006/relationships/hyperlink" Target="https://www.bdo.in/getmedia/9159e0b0-4438-4da7-ba1b-16fcec8ceb1e/Packaging-India%E2%80%99s-Evolving-Food-Consumption_BDO-India-(1).pdf" TargetMode="External"/><Relationship Id="rId11" Type="http://schemas.openxmlformats.org/officeDocument/2006/relationships/hyperlink" Target="https://trendlyne.com/equity/consensus-estimates/560/HINDUNILVR/hindustan-unilever-ltd/" TargetMode="External"/><Relationship Id="rId24" Type="http://schemas.openxmlformats.org/officeDocument/2006/relationships/drawing" Target="../drawings/drawing10.xml"/><Relationship Id="rId5" Type="http://schemas.openxmlformats.org/officeDocument/2006/relationships/hyperlink" Target="https://www.ibef.org/blogs/the-future-of-food-processing-in-india-growth-opportunities-and-challenges" TargetMode="External"/><Relationship Id="rId15" Type="http://schemas.openxmlformats.org/officeDocument/2006/relationships/hyperlink" Target="https://www.imarcgroup.com/india-beauty-personal-care-market" TargetMode="External"/><Relationship Id="rId23" Type="http://schemas.openxmlformats.org/officeDocument/2006/relationships/hyperlink" Target="https://www.musimmas.com/resources/blogs/how-is-palm-oil-transported-from-plantation-to-supermarket-shelf/" TargetMode="External"/><Relationship Id="rId10" Type="http://schemas.openxmlformats.org/officeDocument/2006/relationships/hyperlink" Target="https://www.kantar.com/inspiration/fmcg/personal-and-household-care-categories-lead-fmcg-in-india" TargetMode="External"/><Relationship Id="rId19" Type="http://schemas.openxmlformats.org/officeDocument/2006/relationships/hyperlink" Target="https://www.technavio.com/report/palm-oil-market-industry-analysis" TargetMode="External"/><Relationship Id="rId4" Type="http://schemas.openxmlformats.org/officeDocument/2006/relationships/hyperlink" Target="https://www.industryarc.com/Research/india-packaged-food-market.html-1654685827" TargetMode="External"/><Relationship Id="rId9" Type="http://schemas.openxmlformats.org/officeDocument/2006/relationships/hyperlink" Target="https://www.grandviewresearch.com/horizon/outlook/home-and-laundry-care-market/india" TargetMode="External"/><Relationship Id="rId14" Type="http://schemas.openxmlformats.org/officeDocument/2006/relationships/hyperlink" Target="https://www.bdo.in/getmedia/867ab988-ddd3-4272-9441-011fe6b54cd4/The-Beauty-Revolution-in-the-Indian-Market_BDO-India.pdf" TargetMode="External"/><Relationship Id="rId22" Type="http://schemas.openxmlformats.org/officeDocument/2006/relationships/hyperlink" Target="https://www.technavio.com/report/tea-market-industry-analysis"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www.livemint.com/companies/young-consumers-ecofriendly-homecare-personal-care-fmcg-startups-detergents-11730778011455.html"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C12:S36"/>
  <sheetViews>
    <sheetView showGridLines="0" tabSelected="1" topLeftCell="A13" workbookViewId="0">
      <selection activeCell="M18" sqref="M18"/>
    </sheetView>
  </sheetViews>
  <sheetFormatPr defaultRowHeight="14.4"/>
  <cols>
    <col min="1" max="1" width="1.88671875" style="727" customWidth="1"/>
    <col min="2" max="2" width="12.21875" style="727" bestFit="1" customWidth="1"/>
    <col min="3" max="16384" width="8.88671875" style="727"/>
  </cols>
  <sheetData>
    <row r="12" spans="3:3">
      <c r="C12" s="726"/>
    </row>
    <row r="13" spans="3:3">
      <c r="C13" s="726"/>
    </row>
    <row r="14" spans="3:3">
      <c r="C14" s="726"/>
    </row>
    <row r="15" spans="3:3">
      <c r="C15" s="726"/>
    </row>
    <row r="16" spans="3:3">
      <c r="C16" s="728"/>
    </row>
    <row r="23" spans="7:19" ht="14.4" customHeight="1">
      <c r="G23" s="730" t="s">
        <v>1342</v>
      </c>
      <c r="H23" s="730"/>
      <c r="I23" s="730"/>
      <c r="J23" s="730"/>
      <c r="K23" s="730"/>
      <c r="L23" s="730"/>
      <c r="M23" s="730"/>
      <c r="N23" s="730"/>
      <c r="O23" s="730"/>
      <c r="P23" s="730"/>
      <c r="Q23" s="730"/>
      <c r="R23" s="730"/>
      <c r="S23" s="730"/>
    </row>
    <row r="24" spans="7:19" ht="14.4" customHeight="1">
      <c r="G24" s="730"/>
      <c r="H24" s="730"/>
      <c r="I24" s="730"/>
      <c r="J24" s="730"/>
      <c r="K24" s="730"/>
      <c r="L24" s="730"/>
      <c r="M24" s="730"/>
      <c r="N24" s="730"/>
      <c r="O24" s="730"/>
      <c r="P24" s="730"/>
      <c r="Q24" s="730"/>
      <c r="R24" s="730"/>
      <c r="S24" s="730"/>
    </row>
    <row r="25" spans="7:19" ht="14.4" customHeight="1">
      <c r="G25" s="730"/>
      <c r="H25" s="730"/>
      <c r="I25" s="730"/>
      <c r="J25" s="730"/>
      <c r="K25" s="730"/>
      <c r="L25" s="730"/>
      <c r="M25" s="730"/>
      <c r="N25" s="730"/>
      <c r="O25" s="730"/>
      <c r="P25" s="730"/>
      <c r="Q25" s="730"/>
      <c r="R25" s="730"/>
      <c r="S25" s="730"/>
    </row>
    <row r="26" spans="7:19" ht="14.4" customHeight="1">
      <c r="G26" s="730"/>
      <c r="H26" s="730"/>
      <c r="I26" s="730"/>
      <c r="J26" s="730"/>
      <c r="K26" s="730"/>
      <c r="L26" s="730"/>
      <c r="M26" s="730"/>
      <c r="N26" s="730"/>
      <c r="O26" s="730"/>
      <c r="P26" s="730"/>
      <c r="Q26" s="730"/>
      <c r="R26" s="730"/>
      <c r="S26" s="730"/>
    </row>
    <row r="27" spans="7:19" ht="14.4" customHeight="1">
      <c r="G27" s="730"/>
      <c r="H27" s="730"/>
      <c r="I27" s="730"/>
      <c r="J27" s="730"/>
      <c r="K27" s="730"/>
      <c r="L27" s="730"/>
      <c r="M27" s="730"/>
      <c r="N27" s="730"/>
      <c r="O27" s="730"/>
      <c r="P27" s="730"/>
      <c r="Q27" s="730"/>
      <c r="R27" s="730"/>
      <c r="S27" s="730"/>
    </row>
    <row r="28" spans="7:19" ht="14.4" customHeight="1">
      <c r="G28" s="730"/>
      <c r="H28" s="730"/>
      <c r="I28" s="730"/>
      <c r="J28" s="730"/>
      <c r="K28" s="730"/>
      <c r="L28" s="730"/>
      <c r="M28" s="730"/>
      <c r="N28" s="730"/>
      <c r="O28" s="730"/>
      <c r="P28" s="730"/>
      <c r="Q28" s="730"/>
      <c r="R28" s="730"/>
      <c r="S28" s="730"/>
    </row>
    <row r="29" spans="7:19" ht="14.4" customHeight="1">
      <c r="G29" s="730"/>
      <c r="H29" s="730"/>
      <c r="I29" s="730"/>
      <c r="J29" s="730"/>
      <c r="K29" s="730"/>
      <c r="L29" s="730"/>
      <c r="M29" s="730"/>
      <c r="N29" s="730"/>
      <c r="O29" s="730"/>
      <c r="P29" s="730"/>
      <c r="Q29" s="730"/>
      <c r="R29" s="730"/>
      <c r="S29" s="730"/>
    </row>
    <row r="30" spans="7:19" ht="14.4" customHeight="1">
      <c r="G30" s="730"/>
      <c r="H30" s="730"/>
      <c r="I30" s="730"/>
      <c r="J30" s="730"/>
      <c r="K30" s="730"/>
      <c r="L30" s="730"/>
      <c r="M30" s="730"/>
      <c r="N30" s="730"/>
      <c r="O30" s="730"/>
      <c r="P30" s="730"/>
      <c r="Q30" s="730"/>
      <c r="R30" s="730"/>
      <c r="S30" s="730"/>
    </row>
    <row r="31" spans="7:19" ht="14.4" customHeight="1">
      <c r="G31" s="730"/>
      <c r="H31" s="730"/>
      <c r="I31" s="730"/>
      <c r="J31" s="730"/>
      <c r="K31" s="730"/>
      <c r="L31" s="730"/>
      <c r="M31" s="730"/>
      <c r="N31" s="730"/>
      <c r="O31" s="730"/>
      <c r="P31" s="730"/>
      <c r="Q31" s="730"/>
      <c r="R31" s="730"/>
      <c r="S31" s="730"/>
    </row>
    <row r="32" spans="7:19" ht="14.4" customHeight="1">
      <c r="G32" s="730"/>
      <c r="H32" s="730"/>
      <c r="I32" s="730"/>
      <c r="J32" s="730"/>
      <c r="K32" s="730"/>
      <c r="L32" s="730"/>
      <c r="M32" s="730"/>
      <c r="N32" s="730"/>
      <c r="O32" s="730"/>
      <c r="P32" s="730"/>
      <c r="Q32" s="730"/>
      <c r="R32" s="730"/>
      <c r="S32" s="730"/>
    </row>
    <row r="33" spans="7:19">
      <c r="G33" s="730"/>
      <c r="H33" s="730"/>
      <c r="I33" s="730"/>
      <c r="J33" s="730"/>
      <c r="K33" s="730"/>
      <c r="L33" s="730"/>
      <c r="M33" s="730"/>
      <c r="N33" s="730"/>
      <c r="O33" s="730"/>
      <c r="P33" s="730"/>
      <c r="Q33" s="730"/>
      <c r="R33" s="730"/>
      <c r="S33" s="730"/>
    </row>
    <row r="34" spans="7:19">
      <c r="G34" s="730"/>
      <c r="H34" s="730"/>
      <c r="I34" s="730"/>
      <c r="J34" s="730"/>
      <c r="K34" s="730"/>
      <c r="L34" s="730"/>
      <c r="M34" s="730"/>
      <c r="N34" s="730"/>
      <c r="O34" s="730"/>
      <c r="P34" s="730"/>
      <c r="Q34" s="730"/>
      <c r="R34" s="730"/>
      <c r="S34" s="730"/>
    </row>
    <row r="35" spans="7:19">
      <c r="G35" s="730"/>
      <c r="H35" s="730"/>
      <c r="I35" s="730"/>
      <c r="J35" s="730"/>
      <c r="K35" s="730"/>
      <c r="L35" s="730"/>
      <c r="M35" s="730"/>
      <c r="N35" s="730"/>
      <c r="O35" s="730"/>
      <c r="P35" s="730"/>
      <c r="Q35" s="730"/>
      <c r="R35" s="730"/>
      <c r="S35" s="730"/>
    </row>
    <row r="36" spans="7:19">
      <c r="G36" s="730"/>
      <c r="H36" s="730"/>
      <c r="I36" s="730"/>
      <c r="J36" s="730"/>
      <c r="K36" s="730"/>
      <c r="L36" s="730"/>
      <c r="M36" s="730"/>
      <c r="N36" s="730"/>
      <c r="O36" s="730"/>
      <c r="P36" s="730"/>
      <c r="Q36" s="730"/>
      <c r="R36" s="730"/>
      <c r="S36" s="730"/>
    </row>
  </sheetData>
  <mergeCells count="1">
    <mergeCell ref="G23:S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19B3-D5D5-469E-9A33-ECAC17B70411}">
  <dimension ref="B4:M25"/>
  <sheetViews>
    <sheetView showGridLines="0" workbookViewId="0">
      <selection activeCell="C6" sqref="C6"/>
    </sheetView>
  </sheetViews>
  <sheetFormatPr defaultRowHeight="14.4"/>
  <cols>
    <col min="1" max="1" width="1.88671875" customWidth="1"/>
    <col min="2" max="2" width="71.5546875" customWidth="1"/>
    <col min="3" max="3" width="25.77734375" customWidth="1"/>
  </cols>
  <sheetData>
    <row r="4" spans="2:13" ht="21">
      <c r="B4" s="704" t="s">
        <v>738</v>
      </c>
      <c r="C4" s="704"/>
      <c r="L4" s="109" t="s">
        <v>956</v>
      </c>
      <c r="M4" s="109" t="s">
        <v>958</v>
      </c>
    </row>
    <row r="5" spans="2:13">
      <c r="L5" s="109" t="s">
        <v>957</v>
      </c>
      <c r="M5" s="109" t="s">
        <v>959</v>
      </c>
    </row>
    <row r="6" spans="2:13" ht="18">
      <c r="B6" s="393" t="s">
        <v>739</v>
      </c>
      <c r="C6" s="394" t="s">
        <v>162</v>
      </c>
    </row>
    <row r="8" spans="2:13" ht="18">
      <c r="B8" s="207" t="s">
        <v>740</v>
      </c>
      <c r="C8" s="392"/>
    </row>
    <row r="9" spans="2:13" ht="18">
      <c r="B9" s="393" t="s">
        <v>741</v>
      </c>
      <c r="C9" s="398" t="s">
        <v>836</v>
      </c>
    </row>
    <row r="10" spans="2:13" ht="18">
      <c r="B10" s="393" t="s">
        <v>742</v>
      </c>
      <c r="C10" s="399">
        <v>6.6790000000000002E-2</v>
      </c>
    </row>
    <row r="11" spans="2:13" ht="18">
      <c r="B11" s="393" t="str">
        <f>C9&amp;"'s"&amp;" Moody's Sovereign Rating"</f>
        <v>India's Moody's Sovereign Rating</v>
      </c>
      <c r="C11" s="398" t="str">
        <f>VLOOKUP(C9,'Damodaran Data'!B4:C160,2,FALSE)</f>
        <v>Baa3</v>
      </c>
    </row>
    <row r="12" spans="2:13" ht="18">
      <c r="B12" s="393" t="str">
        <f>C9&amp;"'s"&amp;" Credit Default Spread as per Dr Damodaran"</f>
        <v>India's Credit Default Spread as per Dr Damodaran</v>
      </c>
      <c r="C12" s="399">
        <f>VLOOKUP(C9,'Damodaran Data'!B4:D160,3,FALSE)</f>
        <v>1.8700000000000001E-2</v>
      </c>
    </row>
    <row r="13" spans="2:13" ht="18">
      <c r="B13" s="393" t="s">
        <v>743</v>
      </c>
      <c r="C13" s="399">
        <v>4.3799999999999999E-2</v>
      </c>
    </row>
    <row r="14" spans="2:13" ht="18">
      <c r="B14" s="393" t="s">
        <v>744</v>
      </c>
      <c r="C14" s="398">
        <v>0.68</v>
      </c>
    </row>
    <row r="15" spans="2:13" ht="18">
      <c r="B15" s="393" t="s">
        <v>745</v>
      </c>
      <c r="C15" s="398">
        <v>0.01</v>
      </c>
    </row>
    <row r="16" spans="2:13" ht="18">
      <c r="B16" s="393" t="s">
        <v>1015</v>
      </c>
      <c r="C16" s="399">
        <f>'Assumptions Working'!J1155</f>
        <v>3.3205822374832723E-2</v>
      </c>
    </row>
    <row r="17" spans="2:3" ht="18">
      <c r="B17" s="393" t="s">
        <v>746</v>
      </c>
      <c r="C17" s="399">
        <f>'Assumptions Working'!J1156</f>
        <v>3.2138198532748241E-2</v>
      </c>
    </row>
    <row r="18" spans="2:3" ht="18">
      <c r="B18" s="393" t="s">
        <v>33</v>
      </c>
      <c r="C18" s="399">
        <v>0.3</v>
      </c>
    </row>
    <row r="19" spans="2:3" ht="18">
      <c r="B19" s="393" t="s">
        <v>930</v>
      </c>
      <c r="C19" s="398" t="s">
        <v>958</v>
      </c>
    </row>
    <row r="20" spans="2:3" ht="18">
      <c r="B20" s="393" t="s">
        <v>960</v>
      </c>
      <c r="C20" s="398" t="s">
        <v>956</v>
      </c>
    </row>
    <row r="21" spans="2:3" ht="18">
      <c r="B21" s="393" t="s">
        <v>747</v>
      </c>
      <c r="C21" s="398" t="s">
        <v>951</v>
      </c>
    </row>
    <row r="22" spans="2:3" ht="18">
      <c r="B22" s="393" t="s">
        <v>122</v>
      </c>
      <c r="C22" s="417">
        <f>'3Statement Model'!I28/-'3Statement Model'!I32</f>
        <v>34.167088607594934</v>
      </c>
    </row>
    <row r="23" spans="2:3" ht="18">
      <c r="B23" s="393" t="s">
        <v>975</v>
      </c>
      <c r="C23" s="399">
        <f>IF(C20="L",VLOOKUP('Input Sheet'!C22,'Damodaran Data'!H5:K20,4,TRUE),VLOOKUP(C22,'Damodaran Data'!H26:K41,4,TRUE))</f>
        <v>4.0000000000000001E-3</v>
      </c>
    </row>
    <row r="24" spans="2:3" ht="18">
      <c r="B24" s="393" t="s">
        <v>748</v>
      </c>
      <c r="C24" s="395"/>
    </row>
    <row r="25" spans="2:3" ht="18">
      <c r="B25" s="393" t="s">
        <v>749</v>
      </c>
      <c r="C25" s="395"/>
    </row>
  </sheetData>
  <mergeCells count="1">
    <mergeCell ref="B4:C4"/>
  </mergeCells>
  <dataValidations count="2">
    <dataValidation type="list" allowBlank="1" showInputMessage="1" showErrorMessage="1" sqref="C19" xr:uid="{98377EAF-FAEB-465B-B8AF-990A077A52B0}">
      <formula1>$M$4:$M$5</formula1>
    </dataValidation>
    <dataValidation type="list" allowBlank="1" showInputMessage="1" showErrorMessage="1" sqref="C20" xr:uid="{2F02A80F-6F8E-452F-AADA-BB3F4F799AB4}">
      <formula1>$L$4:$L$5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7A9BBE4-6CC8-4D6A-A00A-EF618FE94B06}">
          <x14:formula1>
            <xm:f>'Damodaran Data'!$B$4:$B$160</xm:f>
          </x14:formula1>
          <xm:sqref>C9</xm:sqref>
        </x14:dataValidation>
        <x14:dataValidation type="list" allowBlank="1" showInputMessage="1" showErrorMessage="1" xr:uid="{A026A906-7F00-45A0-BCC5-7DFBE0B24A0B}">
          <x14:formula1>
            <xm:f>'Damodaran Data'!$J$6:$J$20</xm:f>
          </x14:formula1>
          <xm:sqref>C21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99CA-7B91-43BB-BE84-DD747217CEBB}">
  <dimension ref="B3:Q160"/>
  <sheetViews>
    <sheetView showGridLines="0" workbookViewId="0">
      <selection activeCell="K20" sqref="K20"/>
    </sheetView>
  </sheetViews>
  <sheetFormatPr defaultRowHeight="14.4"/>
  <cols>
    <col min="1" max="1" width="1.88671875" customWidth="1"/>
    <col min="2" max="2" width="27.21875" bestFit="1" customWidth="1"/>
    <col min="3" max="3" width="15.109375" bestFit="1" customWidth="1"/>
    <col min="4" max="4" width="28" bestFit="1" customWidth="1"/>
  </cols>
  <sheetData>
    <row r="3" spans="2:17" ht="15.6">
      <c r="B3" s="397" t="s">
        <v>741</v>
      </c>
      <c r="C3" s="397" t="s">
        <v>750</v>
      </c>
      <c r="D3" s="397" t="s">
        <v>751</v>
      </c>
      <c r="H3" s="401" t="s">
        <v>931</v>
      </c>
      <c r="I3" s="400"/>
      <c r="J3" s="400"/>
      <c r="K3" s="400"/>
      <c r="N3" s="401" t="s">
        <v>952</v>
      </c>
      <c r="O3" s="400"/>
      <c r="P3" s="400"/>
      <c r="Q3" s="400"/>
    </row>
    <row r="4" spans="2:17">
      <c r="B4" s="364" t="s">
        <v>836</v>
      </c>
      <c r="C4" s="364" t="s">
        <v>764</v>
      </c>
      <c r="D4" s="363">
        <v>1.8700000000000001E-2</v>
      </c>
      <c r="H4" s="402" t="s">
        <v>932</v>
      </c>
      <c r="I4" s="402"/>
      <c r="J4" s="403"/>
      <c r="K4" s="403"/>
      <c r="N4" s="411" t="s">
        <v>953</v>
      </c>
      <c r="O4" s="412"/>
      <c r="P4" s="410"/>
      <c r="Q4" s="410"/>
    </row>
    <row r="5" spans="2:17">
      <c r="B5" s="364" t="s">
        <v>909</v>
      </c>
      <c r="C5" s="364" t="s">
        <v>766</v>
      </c>
      <c r="D5" s="363">
        <v>0</v>
      </c>
      <c r="H5" s="404" t="s">
        <v>933</v>
      </c>
      <c r="I5" s="404" t="s">
        <v>934</v>
      </c>
      <c r="J5" s="404" t="s">
        <v>935</v>
      </c>
      <c r="K5" s="408" t="s">
        <v>936</v>
      </c>
      <c r="N5" s="413" t="s">
        <v>954</v>
      </c>
      <c r="O5" s="413" t="s">
        <v>934</v>
      </c>
      <c r="P5" s="413" t="s">
        <v>935</v>
      </c>
      <c r="Q5" s="413" t="s">
        <v>936</v>
      </c>
    </row>
    <row r="6" spans="2:17">
      <c r="B6" s="364" t="s">
        <v>922</v>
      </c>
      <c r="C6" s="364" t="s">
        <v>779</v>
      </c>
      <c r="D6" s="363">
        <v>5.1000000000000004E-3</v>
      </c>
      <c r="H6" s="405">
        <v>-100000</v>
      </c>
      <c r="I6" s="405">
        <v>0.19999900000000001</v>
      </c>
      <c r="J6" s="407" t="s">
        <v>937</v>
      </c>
      <c r="K6" s="409">
        <v>0.19</v>
      </c>
      <c r="N6" s="413">
        <v>-100000</v>
      </c>
      <c r="O6" s="413">
        <v>4.9999000000000002E-2</v>
      </c>
      <c r="P6" s="414" t="s">
        <v>937</v>
      </c>
      <c r="Q6" s="409">
        <v>0.19</v>
      </c>
    </row>
    <row r="7" spans="2:17">
      <c r="B7" s="364" t="s">
        <v>923</v>
      </c>
      <c r="C7" s="364" t="s">
        <v>768</v>
      </c>
      <c r="D7" s="363">
        <v>2.3E-3</v>
      </c>
      <c r="H7" s="405">
        <v>0.2</v>
      </c>
      <c r="I7" s="405">
        <v>0.64999899999999999</v>
      </c>
      <c r="J7" s="407" t="s">
        <v>938</v>
      </c>
      <c r="K7" s="409">
        <v>0.16</v>
      </c>
      <c r="N7" s="413">
        <v>0.05</v>
      </c>
      <c r="O7" s="413">
        <v>9.9999000000000005E-2</v>
      </c>
      <c r="P7" s="414" t="s">
        <v>938</v>
      </c>
      <c r="Q7" s="409">
        <v>0.16</v>
      </c>
    </row>
    <row r="8" spans="2:17">
      <c r="B8" s="364" t="s">
        <v>752</v>
      </c>
      <c r="C8" s="364" t="s">
        <v>753</v>
      </c>
      <c r="D8" s="363">
        <v>4.1999999999999997E-3</v>
      </c>
      <c r="H8" s="405">
        <v>0.65</v>
      </c>
      <c r="I8" s="405">
        <v>0.79999900000000002</v>
      </c>
      <c r="J8" s="407" t="s">
        <v>939</v>
      </c>
      <c r="K8" s="409">
        <v>0.12609999999999999</v>
      </c>
      <c r="N8" s="413">
        <v>0.1</v>
      </c>
      <c r="O8" s="413">
        <v>0.19999900000000001</v>
      </c>
      <c r="P8" s="414" t="s">
        <v>939</v>
      </c>
      <c r="Q8" s="409">
        <v>0.12609999999999999</v>
      </c>
    </row>
    <row r="9" spans="2:17">
      <c r="B9" s="364" t="s">
        <v>754</v>
      </c>
      <c r="C9" s="364" t="s">
        <v>755</v>
      </c>
      <c r="D9" s="363">
        <v>3.0599999999999999E-2</v>
      </c>
      <c r="H9" s="405">
        <v>0.8</v>
      </c>
      <c r="I9" s="405">
        <v>1.2499990000000001</v>
      </c>
      <c r="J9" s="407" t="s">
        <v>940</v>
      </c>
      <c r="K9" s="409">
        <v>8.8499999999999995E-2</v>
      </c>
      <c r="N9" s="413">
        <v>0.2</v>
      </c>
      <c r="O9" s="413">
        <v>0.29999900000000002</v>
      </c>
      <c r="P9" s="414" t="s">
        <v>940</v>
      </c>
      <c r="Q9" s="409">
        <v>8.8499999999999995E-2</v>
      </c>
    </row>
    <row r="10" spans="2:17">
      <c r="B10" s="364" t="s">
        <v>756</v>
      </c>
      <c r="C10" s="364" t="s">
        <v>757</v>
      </c>
      <c r="D10" s="363">
        <v>1.3599999999999999E-2</v>
      </c>
      <c r="H10" s="405">
        <v>1.25</v>
      </c>
      <c r="I10" s="405">
        <v>1.4999990000000001</v>
      </c>
      <c r="J10" s="407" t="s">
        <v>941</v>
      </c>
      <c r="K10" s="409">
        <v>5.0900000000000001E-2</v>
      </c>
      <c r="N10" s="413">
        <v>0.3</v>
      </c>
      <c r="O10" s="413">
        <v>0.39999899999999999</v>
      </c>
      <c r="P10" s="414" t="s">
        <v>941</v>
      </c>
      <c r="Q10" s="409">
        <v>5.0900000000000001E-2</v>
      </c>
    </row>
    <row r="11" spans="2:17">
      <c r="B11" s="364" t="s">
        <v>758</v>
      </c>
      <c r="C11" s="364" t="s">
        <v>759</v>
      </c>
      <c r="D11" s="363">
        <v>5.5199999999999999E-2</v>
      </c>
      <c r="H11" s="405">
        <v>1.5</v>
      </c>
      <c r="I11" s="405">
        <v>1.7499990000000001</v>
      </c>
      <c r="J11" s="407" t="s">
        <v>942</v>
      </c>
      <c r="K11" s="409">
        <v>3.2099999999999997E-2</v>
      </c>
      <c r="N11" s="413">
        <v>0.4</v>
      </c>
      <c r="O11" s="413">
        <v>0.49999900000000003</v>
      </c>
      <c r="P11" s="414" t="s">
        <v>942</v>
      </c>
      <c r="Q11" s="409">
        <v>3.2099999999999997E-2</v>
      </c>
    </row>
    <row r="12" spans="2:17">
      <c r="B12" s="364" t="s">
        <v>760</v>
      </c>
      <c r="C12" s="364" t="s">
        <v>761</v>
      </c>
      <c r="D12" s="363">
        <v>6.3700000000000007E-2</v>
      </c>
      <c r="H12" s="405">
        <v>1.75</v>
      </c>
      <c r="I12" s="405">
        <v>1.9999990000000001</v>
      </c>
      <c r="J12" s="407" t="s">
        <v>943</v>
      </c>
      <c r="K12" s="409">
        <v>2.75E-2</v>
      </c>
      <c r="N12" s="413">
        <v>0.5</v>
      </c>
      <c r="O12" s="413">
        <v>0.59999899999999995</v>
      </c>
      <c r="P12" s="414" t="s">
        <v>943</v>
      </c>
      <c r="Q12" s="409">
        <v>2.75E-2</v>
      </c>
    </row>
    <row r="13" spans="2:17">
      <c r="B13" s="364" t="s">
        <v>762</v>
      </c>
      <c r="C13" s="364" t="s">
        <v>755</v>
      </c>
      <c r="D13" s="363">
        <v>3.0599999999999999E-2</v>
      </c>
      <c r="H13" s="405">
        <v>2</v>
      </c>
      <c r="I13" s="405">
        <v>2.2499999000000002</v>
      </c>
      <c r="J13" s="407" t="s">
        <v>944</v>
      </c>
      <c r="K13" s="409">
        <v>1.84E-2</v>
      </c>
      <c r="N13" s="413">
        <v>0.6</v>
      </c>
      <c r="O13" s="413">
        <v>0.74999899999999997</v>
      </c>
      <c r="P13" s="414" t="s">
        <v>944</v>
      </c>
      <c r="Q13" s="409">
        <v>1.84E-2</v>
      </c>
    </row>
    <row r="14" spans="2:17">
      <c r="B14" s="364" t="s">
        <v>763</v>
      </c>
      <c r="C14" s="364" t="s">
        <v>764</v>
      </c>
      <c r="D14" s="363">
        <v>1.8700000000000001E-2</v>
      </c>
      <c r="H14" s="405">
        <v>2.25</v>
      </c>
      <c r="I14" s="405">
        <v>2.4999899999999999</v>
      </c>
      <c r="J14" s="407" t="s">
        <v>945</v>
      </c>
      <c r="K14" s="409">
        <v>1.38E-2</v>
      </c>
      <c r="N14" s="413">
        <v>0.75</v>
      </c>
      <c r="O14" s="413">
        <v>0.89999899999999999</v>
      </c>
      <c r="P14" s="414" t="s">
        <v>945</v>
      </c>
      <c r="Q14" s="409">
        <v>1.38E-2</v>
      </c>
    </row>
    <row r="15" spans="2:17">
      <c r="B15" s="364" t="s">
        <v>765</v>
      </c>
      <c r="C15" s="364" t="s">
        <v>766</v>
      </c>
      <c r="D15" s="363">
        <v>0</v>
      </c>
      <c r="H15" s="405">
        <v>2.5</v>
      </c>
      <c r="I15" s="405">
        <v>2.9999989999999999</v>
      </c>
      <c r="J15" s="407" t="s">
        <v>946</v>
      </c>
      <c r="K15" s="409">
        <v>1.11E-2</v>
      </c>
      <c r="N15" s="413">
        <v>0.9</v>
      </c>
      <c r="O15" s="413">
        <v>1.199999</v>
      </c>
      <c r="P15" s="414" t="s">
        <v>946</v>
      </c>
      <c r="Q15" s="409">
        <v>1.11E-2</v>
      </c>
    </row>
    <row r="16" spans="2:17">
      <c r="B16" s="364" t="s">
        <v>767</v>
      </c>
      <c r="C16" s="364" t="s">
        <v>768</v>
      </c>
      <c r="D16" s="363">
        <v>2.3E-3</v>
      </c>
      <c r="H16" s="405">
        <v>3</v>
      </c>
      <c r="I16" s="405">
        <v>4.2499989999999999</v>
      </c>
      <c r="J16" s="407" t="s">
        <v>947</v>
      </c>
      <c r="K16" s="409">
        <v>8.8999999999999999E-3</v>
      </c>
      <c r="N16" s="413">
        <v>1.2</v>
      </c>
      <c r="O16" s="413">
        <v>1.4999899999999999</v>
      </c>
      <c r="P16" s="414" t="s">
        <v>947</v>
      </c>
      <c r="Q16" s="409">
        <v>8.8999999999999999E-3</v>
      </c>
    </row>
    <row r="17" spans="2:17">
      <c r="B17" s="364" t="s">
        <v>769</v>
      </c>
      <c r="C17" s="364" t="s">
        <v>764</v>
      </c>
      <c r="D17" s="363">
        <v>1.8700000000000001E-2</v>
      </c>
      <c r="H17" s="405">
        <v>4.25</v>
      </c>
      <c r="I17" s="405">
        <v>5.4999989999999999</v>
      </c>
      <c r="J17" s="407" t="s">
        <v>948</v>
      </c>
      <c r="K17" s="409">
        <v>7.7999999999999996E-3</v>
      </c>
      <c r="N17" s="413">
        <v>1.5</v>
      </c>
      <c r="O17" s="413">
        <v>1.9999899999999999</v>
      </c>
      <c r="P17" s="414" t="s">
        <v>948</v>
      </c>
      <c r="Q17" s="409">
        <v>7.7999999999999996E-3</v>
      </c>
    </row>
    <row r="18" spans="2:17">
      <c r="B18" s="364" t="s">
        <v>770</v>
      </c>
      <c r="C18" s="364" t="s">
        <v>771</v>
      </c>
      <c r="D18" s="363">
        <v>3.8300000000000001E-2</v>
      </c>
      <c r="H18" s="405">
        <v>5.5</v>
      </c>
      <c r="I18" s="405">
        <v>6.4999989999999999</v>
      </c>
      <c r="J18" s="407" t="s">
        <v>949</v>
      </c>
      <c r="K18" s="409">
        <v>7.0000000000000001E-3</v>
      </c>
      <c r="N18" s="413">
        <v>2</v>
      </c>
      <c r="O18" s="413">
        <v>2.4999899999999999</v>
      </c>
      <c r="P18" s="414" t="s">
        <v>949</v>
      </c>
      <c r="Q18" s="409">
        <v>7.0000000000000001E-3</v>
      </c>
    </row>
    <row r="19" spans="2:17">
      <c r="B19" s="364" t="s">
        <v>772</v>
      </c>
      <c r="C19" s="364" t="s">
        <v>773</v>
      </c>
      <c r="D19" s="363">
        <v>4.6699999999999998E-2</v>
      </c>
      <c r="H19" s="405">
        <v>6.5</v>
      </c>
      <c r="I19" s="405">
        <v>8.4999990000000007</v>
      </c>
      <c r="J19" s="407" t="s">
        <v>950</v>
      </c>
      <c r="K19" s="409">
        <v>5.4999999999999997E-3</v>
      </c>
      <c r="N19" s="413">
        <v>2.5</v>
      </c>
      <c r="O19" s="413">
        <v>2.9999899999999999</v>
      </c>
      <c r="P19" s="414" t="s">
        <v>950</v>
      </c>
      <c r="Q19" s="409">
        <v>5.4999999999999997E-3</v>
      </c>
    </row>
    <row r="20" spans="2:17">
      <c r="B20" s="364" t="s">
        <v>774</v>
      </c>
      <c r="C20" s="364" t="s">
        <v>773</v>
      </c>
      <c r="D20" s="363">
        <v>4.6699999999999998E-2</v>
      </c>
      <c r="H20" s="406">
        <v>8.5</v>
      </c>
      <c r="I20" s="405">
        <v>100000</v>
      </c>
      <c r="J20" s="407" t="s">
        <v>951</v>
      </c>
      <c r="K20" s="409">
        <v>4.0000000000000001E-3</v>
      </c>
      <c r="N20" s="413">
        <v>3</v>
      </c>
      <c r="O20" s="413">
        <v>100000</v>
      </c>
      <c r="P20" s="414" t="s">
        <v>951</v>
      </c>
      <c r="Q20" s="409">
        <v>4.0000000000000001E-3</v>
      </c>
    </row>
    <row r="21" spans="2:17">
      <c r="B21" s="364" t="s">
        <v>775</v>
      </c>
      <c r="C21" s="364" t="s">
        <v>773</v>
      </c>
      <c r="D21" s="363">
        <v>4.6699999999999998E-2</v>
      </c>
    </row>
    <row r="22" spans="2:17">
      <c r="B22" s="364" t="s">
        <v>776</v>
      </c>
      <c r="C22" s="364" t="s">
        <v>777</v>
      </c>
      <c r="D22" s="363">
        <v>0.17499999999999999</v>
      </c>
    </row>
    <row r="23" spans="2:17">
      <c r="B23" s="364" t="s">
        <v>778</v>
      </c>
      <c r="C23" s="364" t="s">
        <v>779</v>
      </c>
      <c r="D23" s="363">
        <v>5.1000000000000004E-3</v>
      </c>
    </row>
    <row r="24" spans="2:17">
      <c r="B24" s="364" t="s">
        <v>780</v>
      </c>
      <c r="C24" s="364" t="s">
        <v>761</v>
      </c>
      <c r="D24" s="363">
        <v>6.3700000000000007E-2</v>
      </c>
      <c r="H24" s="416" t="s">
        <v>955</v>
      </c>
      <c r="I24" s="415"/>
      <c r="J24" s="415"/>
      <c r="K24" s="415"/>
    </row>
    <row r="25" spans="2:17">
      <c r="B25" s="364" t="s">
        <v>781</v>
      </c>
      <c r="C25" s="364" t="s">
        <v>771</v>
      </c>
      <c r="D25" s="363">
        <v>3.8300000000000001E-2</v>
      </c>
      <c r="H25" s="705" t="s">
        <v>932</v>
      </c>
      <c r="I25" s="706"/>
      <c r="J25" s="405"/>
      <c r="K25" s="405"/>
    </row>
    <row r="26" spans="2:17">
      <c r="B26" s="364" t="s">
        <v>782</v>
      </c>
      <c r="C26" s="364" t="s">
        <v>783</v>
      </c>
      <c r="D26" s="363">
        <v>7.1999999999999998E-3</v>
      </c>
      <c r="H26" s="405" t="s">
        <v>954</v>
      </c>
      <c r="I26" s="405" t="s">
        <v>934</v>
      </c>
      <c r="J26" s="405" t="s">
        <v>935</v>
      </c>
      <c r="K26" s="405" t="s">
        <v>936</v>
      </c>
    </row>
    <row r="27" spans="2:17">
      <c r="B27" s="364" t="s">
        <v>784</v>
      </c>
      <c r="C27" s="364" t="s">
        <v>736</v>
      </c>
      <c r="D27" s="363">
        <v>0.10199999999999999</v>
      </c>
      <c r="H27" s="405">
        <v>-100000</v>
      </c>
      <c r="I27" s="405">
        <v>0.49999900000000003</v>
      </c>
      <c r="J27" s="405" t="s">
        <v>937</v>
      </c>
      <c r="K27" s="409">
        <v>0.19</v>
      </c>
    </row>
    <row r="28" spans="2:17">
      <c r="B28" s="364" t="s">
        <v>785</v>
      </c>
      <c r="C28" s="364" t="s">
        <v>759</v>
      </c>
      <c r="D28" s="363">
        <v>5.5199999999999999E-2</v>
      </c>
      <c r="H28" s="405">
        <v>0.5</v>
      </c>
      <c r="I28" s="405">
        <v>0.79999900000000002</v>
      </c>
      <c r="J28" s="405" t="s">
        <v>938</v>
      </c>
      <c r="K28" s="409">
        <v>0.16</v>
      </c>
    </row>
    <row r="29" spans="2:17">
      <c r="B29" s="364" t="s">
        <v>786</v>
      </c>
      <c r="C29" s="364" t="s">
        <v>757</v>
      </c>
      <c r="D29" s="363">
        <v>1.3599999999999999E-2</v>
      </c>
      <c r="H29" s="405">
        <v>0.8</v>
      </c>
      <c r="I29" s="405">
        <v>1.2499990000000001</v>
      </c>
      <c r="J29" s="405" t="s">
        <v>939</v>
      </c>
      <c r="K29" s="409">
        <v>0.12609999999999999</v>
      </c>
    </row>
    <row r="30" spans="2:17">
      <c r="B30" s="364" t="s">
        <v>787</v>
      </c>
      <c r="C30" s="364" t="s">
        <v>788</v>
      </c>
      <c r="D30" s="363">
        <v>2.1299999999999999E-2</v>
      </c>
      <c r="H30" s="405">
        <v>1.25</v>
      </c>
      <c r="I30" s="405">
        <v>1.4999990000000001</v>
      </c>
      <c r="J30" s="405" t="s">
        <v>940</v>
      </c>
      <c r="K30" s="409">
        <v>8.8499999999999995E-2</v>
      </c>
    </row>
    <row r="31" spans="2:17">
      <c r="B31" s="364" t="s">
        <v>789</v>
      </c>
      <c r="C31" s="364" t="s">
        <v>757</v>
      </c>
      <c r="D31" s="363">
        <v>1.3599999999999999E-2</v>
      </c>
      <c r="H31" s="405">
        <v>1.5</v>
      </c>
      <c r="I31" s="405">
        <v>1.9999990000000001</v>
      </c>
      <c r="J31" s="405" t="s">
        <v>941</v>
      </c>
      <c r="K31" s="409">
        <v>5.0900000000000001E-2</v>
      </c>
    </row>
    <row r="32" spans="2:17">
      <c r="B32" s="364" t="s">
        <v>790</v>
      </c>
      <c r="C32" s="364" t="s">
        <v>761</v>
      </c>
      <c r="D32" s="363">
        <v>6.3700000000000007E-2</v>
      </c>
      <c r="H32" s="405">
        <v>2</v>
      </c>
      <c r="I32" s="405">
        <v>2.4999989999999999</v>
      </c>
      <c r="J32" s="405" t="s">
        <v>942</v>
      </c>
      <c r="K32" s="409">
        <v>3.2099999999999997E-2</v>
      </c>
    </row>
    <row r="33" spans="2:11">
      <c r="B33" s="364" t="s">
        <v>791</v>
      </c>
      <c r="C33" s="364" t="s">
        <v>773</v>
      </c>
      <c r="D33" s="363">
        <v>4.6699999999999998E-2</v>
      </c>
      <c r="H33" s="405">
        <v>2.5</v>
      </c>
      <c r="I33" s="405">
        <v>2.9999989999999999</v>
      </c>
      <c r="J33" s="405" t="s">
        <v>943</v>
      </c>
      <c r="K33" s="409">
        <v>2.75E-2</v>
      </c>
    </row>
    <row r="34" spans="2:11">
      <c r="B34" s="364" t="s">
        <v>792</v>
      </c>
      <c r="C34" s="364" t="s">
        <v>761</v>
      </c>
      <c r="D34" s="363">
        <v>6.3700000000000007E-2</v>
      </c>
      <c r="H34" s="405">
        <v>3</v>
      </c>
      <c r="I34" s="405">
        <v>3.4999989999999999</v>
      </c>
      <c r="J34" s="405" t="s">
        <v>944</v>
      </c>
      <c r="K34" s="409">
        <v>1.84E-2</v>
      </c>
    </row>
    <row r="35" spans="2:11">
      <c r="B35" s="364" t="s">
        <v>793</v>
      </c>
      <c r="C35" s="364" t="s">
        <v>766</v>
      </c>
      <c r="D35" s="363">
        <v>0</v>
      </c>
      <c r="H35" s="405">
        <v>3.5</v>
      </c>
      <c r="I35" s="405">
        <v>3.9999999000000002</v>
      </c>
      <c r="J35" s="405" t="s">
        <v>945</v>
      </c>
      <c r="K35" s="409">
        <v>1.38E-2</v>
      </c>
    </row>
    <row r="36" spans="2:11">
      <c r="B36" s="364" t="s">
        <v>794</v>
      </c>
      <c r="C36" s="364" t="s">
        <v>773</v>
      </c>
      <c r="D36" s="363">
        <v>4.6699999999999998E-2</v>
      </c>
      <c r="H36" s="405">
        <v>4</v>
      </c>
      <c r="I36" s="405">
        <v>4.4999989999999999</v>
      </c>
      <c r="J36" s="405" t="s">
        <v>946</v>
      </c>
      <c r="K36" s="409">
        <v>1.11E-2</v>
      </c>
    </row>
    <row r="37" spans="2:11">
      <c r="B37" s="364" t="s">
        <v>795</v>
      </c>
      <c r="C37" s="364" t="s">
        <v>779</v>
      </c>
      <c r="D37" s="363">
        <v>5.1000000000000004E-3</v>
      </c>
      <c r="H37" s="405">
        <v>4.5</v>
      </c>
      <c r="I37" s="405">
        <v>5.9999989999999999</v>
      </c>
      <c r="J37" s="405" t="s">
        <v>947</v>
      </c>
      <c r="K37" s="409">
        <v>8.8999999999999999E-3</v>
      </c>
    </row>
    <row r="38" spans="2:11">
      <c r="B38" s="364" t="s">
        <v>796</v>
      </c>
      <c r="C38" s="364" t="s">
        <v>783</v>
      </c>
      <c r="D38" s="363">
        <v>7.1999999999999998E-3</v>
      </c>
      <c r="H38" s="405">
        <v>6</v>
      </c>
      <c r="I38" s="405">
        <v>7.4999989999999999</v>
      </c>
      <c r="J38" s="405" t="s">
        <v>948</v>
      </c>
      <c r="K38" s="409">
        <v>7.7999999999999996E-3</v>
      </c>
    </row>
    <row r="39" spans="2:11">
      <c r="B39" s="364" t="s">
        <v>797</v>
      </c>
      <c r="C39" s="364" t="s">
        <v>798</v>
      </c>
      <c r="D39" s="363">
        <v>6.0000000000000001E-3</v>
      </c>
      <c r="H39" s="405">
        <v>7.5</v>
      </c>
      <c r="I39" s="405">
        <v>9.4999990000000007</v>
      </c>
      <c r="J39" s="405" t="s">
        <v>949</v>
      </c>
      <c r="K39" s="409">
        <v>7.0000000000000001E-3</v>
      </c>
    </row>
    <row r="40" spans="2:11">
      <c r="B40" s="364" t="s">
        <v>799</v>
      </c>
      <c r="C40" s="364" t="s">
        <v>764</v>
      </c>
      <c r="D40" s="363">
        <v>1.8700000000000001E-2</v>
      </c>
      <c r="H40" s="405">
        <v>9.5</v>
      </c>
      <c r="I40" s="405">
        <v>12.499999000000001</v>
      </c>
      <c r="J40" s="405" t="s">
        <v>950</v>
      </c>
      <c r="K40" s="409">
        <v>5.4999999999999997E-3</v>
      </c>
    </row>
    <row r="41" spans="2:11">
      <c r="B41" s="364" t="s">
        <v>800</v>
      </c>
      <c r="C41" s="364" t="s">
        <v>759</v>
      </c>
      <c r="D41" s="363">
        <v>5.5199999999999999E-2</v>
      </c>
      <c r="H41" s="405">
        <v>12.5</v>
      </c>
      <c r="I41" s="405">
        <v>100000</v>
      </c>
      <c r="J41" s="405" t="s">
        <v>951</v>
      </c>
      <c r="K41" s="409">
        <v>4.0000000000000001E-3</v>
      </c>
    </row>
    <row r="42" spans="2:11">
      <c r="B42" s="364" t="s">
        <v>801</v>
      </c>
      <c r="C42" s="364" t="s">
        <v>802</v>
      </c>
      <c r="D42" s="363">
        <v>7.6499999999999999E-2</v>
      </c>
    </row>
    <row r="43" spans="2:11">
      <c r="B43" s="364" t="s">
        <v>803</v>
      </c>
      <c r="C43" s="364" t="s">
        <v>771</v>
      </c>
      <c r="D43" s="363">
        <v>3.8300000000000001E-2</v>
      </c>
    </row>
    <row r="44" spans="2:11">
      <c r="B44" s="364" t="s">
        <v>804</v>
      </c>
      <c r="C44" s="364" t="s">
        <v>805</v>
      </c>
      <c r="D44" s="363">
        <v>2.5600000000000001E-2</v>
      </c>
    </row>
    <row r="45" spans="2:11">
      <c r="B45" s="364" t="s">
        <v>806</v>
      </c>
      <c r="C45" s="364" t="s">
        <v>805</v>
      </c>
      <c r="D45" s="363">
        <v>2.5600000000000001E-2</v>
      </c>
    </row>
    <row r="46" spans="2:11">
      <c r="B46" s="364" t="s">
        <v>807</v>
      </c>
      <c r="C46" s="364" t="s">
        <v>808</v>
      </c>
      <c r="D46" s="363">
        <v>1.0200000000000001E-2</v>
      </c>
    </row>
    <row r="47" spans="2:11">
      <c r="B47" s="364" t="s">
        <v>809</v>
      </c>
      <c r="C47" s="364" t="s">
        <v>736</v>
      </c>
      <c r="D47" s="363">
        <v>0.10199999999999999</v>
      </c>
    </row>
    <row r="48" spans="2:11">
      <c r="B48" s="364" t="s">
        <v>810</v>
      </c>
      <c r="C48" s="364" t="s">
        <v>764</v>
      </c>
      <c r="D48" s="363">
        <v>1.8700000000000001E-2</v>
      </c>
    </row>
    <row r="49" spans="2:4">
      <c r="B49" s="364" t="s">
        <v>811</v>
      </c>
      <c r="C49" s="364" t="s">
        <v>808</v>
      </c>
      <c r="D49" s="363">
        <v>1.0200000000000001E-2</v>
      </c>
    </row>
    <row r="50" spans="2:4">
      <c r="B50" s="364" t="s">
        <v>812</v>
      </c>
      <c r="C50" s="364" t="s">
        <v>779</v>
      </c>
      <c r="D50" s="363">
        <v>5.1000000000000004E-3</v>
      </c>
    </row>
    <row r="51" spans="2:4">
      <c r="B51" s="364" t="s">
        <v>813</v>
      </c>
      <c r="C51" s="364" t="s">
        <v>766</v>
      </c>
      <c r="D51" s="363">
        <v>0</v>
      </c>
    </row>
    <row r="52" spans="2:4">
      <c r="B52" s="364" t="s">
        <v>814</v>
      </c>
      <c r="C52" s="364" t="s">
        <v>805</v>
      </c>
      <c r="D52" s="363">
        <v>2.5600000000000001E-2</v>
      </c>
    </row>
    <row r="53" spans="2:4">
      <c r="B53" s="364" t="s">
        <v>815</v>
      </c>
      <c r="C53" s="364" t="s">
        <v>816</v>
      </c>
      <c r="D53" s="363">
        <v>8.5000000000000006E-2</v>
      </c>
    </row>
    <row r="54" spans="2:4">
      <c r="B54" s="364" t="s">
        <v>817</v>
      </c>
      <c r="C54" s="364" t="s">
        <v>761</v>
      </c>
      <c r="D54" s="363">
        <v>6.3700000000000007E-2</v>
      </c>
    </row>
    <row r="55" spans="2:4">
      <c r="B55" s="364" t="s">
        <v>818</v>
      </c>
      <c r="C55" s="364" t="s">
        <v>759</v>
      </c>
      <c r="D55" s="363">
        <v>5.5199999999999999E-2</v>
      </c>
    </row>
    <row r="56" spans="2:4">
      <c r="B56" s="364" t="s">
        <v>819</v>
      </c>
      <c r="C56" s="364" t="s">
        <v>798</v>
      </c>
      <c r="D56" s="363">
        <v>6.0000000000000001E-3</v>
      </c>
    </row>
    <row r="57" spans="2:4">
      <c r="B57" s="364" t="s">
        <v>820</v>
      </c>
      <c r="C57" s="364" t="s">
        <v>802</v>
      </c>
      <c r="D57" s="363">
        <v>7.6499999999999999E-2</v>
      </c>
    </row>
    <row r="58" spans="2:4">
      <c r="B58" s="364" t="s">
        <v>821</v>
      </c>
      <c r="C58" s="364" t="s">
        <v>771</v>
      </c>
      <c r="D58" s="363">
        <v>3.8300000000000001E-2</v>
      </c>
    </row>
    <row r="59" spans="2:4">
      <c r="B59" s="364" t="s">
        <v>822</v>
      </c>
      <c r="C59" s="364" t="s">
        <v>768</v>
      </c>
      <c r="D59" s="363">
        <v>2.3E-3</v>
      </c>
    </row>
    <row r="60" spans="2:4">
      <c r="B60" s="364" t="s">
        <v>823</v>
      </c>
      <c r="C60" s="364" t="s">
        <v>779</v>
      </c>
      <c r="D60" s="363">
        <v>5.1000000000000004E-3</v>
      </c>
    </row>
    <row r="61" spans="2:4">
      <c r="B61" s="364" t="s">
        <v>824</v>
      </c>
      <c r="C61" s="364" t="s">
        <v>802</v>
      </c>
      <c r="D61" s="363">
        <v>7.6499999999999999E-2</v>
      </c>
    </row>
    <row r="62" spans="2:4">
      <c r="B62" s="364" t="s">
        <v>825</v>
      </c>
      <c r="C62" s="364" t="s">
        <v>805</v>
      </c>
      <c r="D62" s="363">
        <v>2.5600000000000001E-2</v>
      </c>
    </row>
    <row r="63" spans="2:4">
      <c r="B63" s="364" t="s">
        <v>826</v>
      </c>
      <c r="C63" s="364" t="s">
        <v>766</v>
      </c>
      <c r="D63" s="363">
        <v>0</v>
      </c>
    </row>
    <row r="64" spans="2:4">
      <c r="B64" s="364" t="s">
        <v>827</v>
      </c>
      <c r="C64" s="364" t="s">
        <v>761</v>
      </c>
      <c r="D64" s="363">
        <v>6.3700000000000007E-2</v>
      </c>
    </row>
    <row r="65" spans="2:4">
      <c r="B65" s="364" t="s">
        <v>828</v>
      </c>
      <c r="C65" s="364" t="s">
        <v>764</v>
      </c>
      <c r="D65" s="363">
        <v>1.8700000000000001E-2</v>
      </c>
    </row>
    <row r="66" spans="2:4">
      <c r="B66" s="364" t="s">
        <v>829</v>
      </c>
      <c r="C66" s="364" t="s">
        <v>788</v>
      </c>
      <c r="D66" s="363">
        <v>2.1299999999999999E-2</v>
      </c>
    </row>
    <row r="67" spans="2:4">
      <c r="B67" s="364" t="s">
        <v>830</v>
      </c>
      <c r="C67" s="364" t="s">
        <v>798</v>
      </c>
      <c r="D67" s="363">
        <v>6.0000000000000001E-3</v>
      </c>
    </row>
    <row r="68" spans="2:4">
      <c r="B68" s="364" t="s">
        <v>831</v>
      </c>
      <c r="C68" s="364" t="s">
        <v>771</v>
      </c>
      <c r="D68" s="363">
        <v>3.8300000000000001E-2</v>
      </c>
    </row>
    <row r="69" spans="2:4">
      <c r="B69" s="364" t="s">
        <v>832</v>
      </c>
      <c r="C69" s="364" t="s">
        <v>779</v>
      </c>
      <c r="D69" s="363">
        <v>5.1000000000000004E-3</v>
      </c>
    </row>
    <row r="70" spans="2:4">
      <c r="B70" s="364" t="s">
        <v>833</v>
      </c>
      <c r="C70" s="364" t="s">
        <v>834</v>
      </c>
      <c r="D70" s="363">
        <v>1.6199999999999999E-2</v>
      </c>
    </row>
    <row r="71" spans="2:4">
      <c r="B71" s="364" t="s">
        <v>835</v>
      </c>
      <c r="C71" s="364" t="s">
        <v>798</v>
      </c>
      <c r="D71" s="363">
        <v>6.0000000000000001E-3</v>
      </c>
    </row>
    <row r="72" spans="2:4">
      <c r="B72" s="364" t="s">
        <v>837</v>
      </c>
      <c r="C72" s="364" t="s">
        <v>834</v>
      </c>
      <c r="D72" s="363">
        <v>1.6199999999999999E-2</v>
      </c>
    </row>
    <row r="73" spans="2:4">
      <c r="B73" s="364" t="s">
        <v>838</v>
      </c>
      <c r="C73" s="364" t="s">
        <v>761</v>
      </c>
      <c r="D73" s="363">
        <v>6.3700000000000007E-2</v>
      </c>
    </row>
    <row r="74" spans="2:4">
      <c r="B74" s="364" t="s">
        <v>839</v>
      </c>
      <c r="C74" s="364" t="s">
        <v>779</v>
      </c>
      <c r="D74" s="363">
        <v>5.1000000000000004E-3</v>
      </c>
    </row>
    <row r="75" spans="2:4">
      <c r="B75" s="364" t="s">
        <v>840</v>
      </c>
      <c r="C75" s="364" t="s">
        <v>779</v>
      </c>
      <c r="D75" s="363">
        <v>5.1000000000000004E-3</v>
      </c>
    </row>
    <row r="76" spans="2:4">
      <c r="B76" s="364" t="s">
        <v>841</v>
      </c>
      <c r="C76" s="364" t="s">
        <v>757</v>
      </c>
      <c r="D76" s="363">
        <v>1.3599999999999999E-2</v>
      </c>
    </row>
    <row r="77" spans="2:4">
      <c r="B77" s="364" t="s">
        <v>842</v>
      </c>
      <c r="C77" s="364" t="s">
        <v>834</v>
      </c>
      <c r="D77" s="363">
        <v>1.6199999999999999E-2</v>
      </c>
    </row>
    <row r="78" spans="2:4">
      <c r="B78" s="364" t="s">
        <v>843</v>
      </c>
      <c r="C78" s="364" t="s">
        <v>755</v>
      </c>
      <c r="D78" s="363">
        <v>3.0599999999999999E-2</v>
      </c>
    </row>
    <row r="79" spans="2:4">
      <c r="B79" s="364" t="s">
        <v>844</v>
      </c>
      <c r="C79" s="364" t="s">
        <v>798</v>
      </c>
      <c r="D79" s="363">
        <v>6.0000000000000001E-3</v>
      </c>
    </row>
    <row r="80" spans="2:4">
      <c r="B80" s="364" t="s">
        <v>845</v>
      </c>
      <c r="C80" s="364" t="s">
        <v>779</v>
      </c>
      <c r="D80" s="363">
        <v>5.1000000000000004E-3</v>
      </c>
    </row>
    <row r="81" spans="2:4">
      <c r="B81" s="364" t="s">
        <v>846</v>
      </c>
      <c r="C81" s="364" t="s">
        <v>755</v>
      </c>
      <c r="D81" s="363">
        <v>3.0599999999999999E-2</v>
      </c>
    </row>
    <row r="82" spans="2:4">
      <c r="B82" s="364" t="s">
        <v>847</v>
      </c>
      <c r="C82" s="364" t="s">
        <v>757</v>
      </c>
      <c r="D82" s="363">
        <v>1.3599999999999999E-2</v>
      </c>
    </row>
    <row r="83" spans="2:4">
      <c r="B83" s="364" t="s">
        <v>848</v>
      </c>
      <c r="C83" s="364" t="s">
        <v>759</v>
      </c>
      <c r="D83" s="363">
        <v>5.5199999999999999E-2</v>
      </c>
    </row>
    <row r="84" spans="2:4">
      <c r="B84" s="364" t="s">
        <v>849</v>
      </c>
      <c r="C84" s="364" t="s">
        <v>753</v>
      </c>
      <c r="D84" s="363">
        <v>4.1999999999999997E-3</v>
      </c>
    </row>
    <row r="85" spans="2:4">
      <c r="B85" s="364" t="s">
        <v>850</v>
      </c>
      <c r="C85" s="364" t="s">
        <v>798</v>
      </c>
      <c r="D85" s="363">
        <v>6.0000000000000001E-3</v>
      </c>
    </row>
    <row r="86" spans="2:4">
      <c r="B86" s="364" t="s">
        <v>851</v>
      </c>
      <c r="C86" s="364" t="s">
        <v>759</v>
      </c>
      <c r="D86" s="363">
        <v>5.5199999999999999E-2</v>
      </c>
    </row>
    <row r="87" spans="2:4">
      <c r="B87" s="364" t="s">
        <v>852</v>
      </c>
      <c r="C87" s="364" t="s">
        <v>802</v>
      </c>
      <c r="D87" s="363">
        <v>7.6499999999999999E-2</v>
      </c>
    </row>
    <row r="88" spans="2:4">
      <c r="B88" s="364" t="s">
        <v>853</v>
      </c>
      <c r="C88" s="364" t="s">
        <v>808</v>
      </c>
      <c r="D88" s="363">
        <v>1.0200000000000001E-2</v>
      </c>
    </row>
    <row r="89" spans="2:4">
      <c r="B89" s="364" t="s">
        <v>854</v>
      </c>
      <c r="C89" s="364" t="s">
        <v>777</v>
      </c>
      <c r="D89" s="363">
        <v>0.17499999999999999</v>
      </c>
    </row>
    <row r="90" spans="2:4">
      <c r="B90" s="364" t="s">
        <v>855</v>
      </c>
      <c r="C90" s="364" t="s">
        <v>766</v>
      </c>
      <c r="D90" s="363">
        <v>0</v>
      </c>
    </row>
    <row r="91" spans="2:4">
      <c r="B91" s="364" t="s">
        <v>856</v>
      </c>
      <c r="C91" s="364" t="s">
        <v>783</v>
      </c>
      <c r="D91" s="363">
        <v>7.1999999999999998E-3</v>
      </c>
    </row>
    <row r="92" spans="2:4">
      <c r="B92" s="364" t="s">
        <v>857</v>
      </c>
      <c r="C92" s="364" t="s">
        <v>766</v>
      </c>
      <c r="D92" s="363">
        <v>0</v>
      </c>
    </row>
    <row r="93" spans="2:4">
      <c r="B93" s="364" t="s">
        <v>858</v>
      </c>
      <c r="C93" s="364" t="s">
        <v>779</v>
      </c>
      <c r="D93" s="363">
        <v>5.1000000000000004E-3</v>
      </c>
    </row>
    <row r="94" spans="2:4">
      <c r="B94" s="364" t="s">
        <v>859</v>
      </c>
      <c r="C94" s="364" t="s">
        <v>755</v>
      </c>
      <c r="D94" s="363">
        <v>3.0599999999999999E-2</v>
      </c>
    </row>
    <row r="95" spans="2:4">
      <c r="B95" s="364" t="s">
        <v>860</v>
      </c>
      <c r="C95" s="364" t="s">
        <v>808</v>
      </c>
      <c r="D95" s="363">
        <v>1.0200000000000001E-2</v>
      </c>
    </row>
    <row r="96" spans="2:4">
      <c r="B96" s="364" t="s">
        <v>861</v>
      </c>
      <c r="C96" s="364" t="s">
        <v>802</v>
      </c>
      <c r="D96" s="363">
        <v>7.6499999999999999E-2</v>
      </c>
    </row>
    <row r="97" spans="2:4">
      <c r="B97" s="364" t="s">
        <v>862</v>
      </c>
      <c r="C97" s="364" t="s">
        <v>802</v>
      </c>
      <c r="D97" s="363">
        <v>7.6499999999999999E-2</v>
      </c>
    </row>
    <row r="98" spans="2:4">
      <c r="B98" s="364" t="s">
        <v>863</v>
      </c>
      <c r="C98" s="364" t="s">
        <v>783</v>
      </c>
      <c r="D98" s="363">
        <v>7.1999999999999998E-3</v>
      </c>
    </row>
    <row r="99" spans="2:4">
      <c r="B99" s="364" t="s">
        <v>864</v>
      </c>
      <c r="C99" s="364" t="s">
        <v>764</v>
      </c>
      <c r="D99" s="363">
        <v>1.8700000000000001E-2</v>
      </c>
    </row>
    <row r="100" spans="2:4">
      <c r="B100" s="364" t="s">
        <v>865</v>
      </c>
      <c r="C100" s="364" t="s">
        <v>834</v>
      </c>
      <c r="D100" s="363">
        <v>1.6199999999999999E-2</v>
      </c>
    </row>
    <row r="101" spans="2:4">
      <c r="B101" s="364" t="s">
        <v>866</v>
      </c>
      <c r="C101" s="364" t="s">
        <v>759</v>
      </c>
      <c r="D101" s="363">
        <v>5.5199999999999999E-2</v>
      </c>
    </row>
    <row r="102" spans="2:4">
      <c r="B102" s="364" t="s">
        <v>867</v>
      </c>
      <c r="C102" s="364" t="s">
        <v>771</v>
      </c>
      <c r="D102" s="363">
        <v>3.8300000000000001E-2</v>
      </c>
    </row>
    <row r="103" spans="2:4">
      <c r="B103" s="364" t="s">
        <v>868</v>
      </c>
      <c r="C103" s="364" t="s">
        <v>771</v>
      </c>
      <c r="D103" s="363">
        <v>3.8300000000000001E-2</v>
      </c>
    </row>
    <row r="104" spans="2:4">
      <c r="B104" s="364" t="s">
        <v>869</v>
      </c>
      <c r="C104" s="364" t="s">
        <v>764</v>
      </c>
      <c r="D104" s="363">
        <v>1.8700000000000001E-2</v>
      </c>
    </row>
    <row r="105" spans="2:4">
      <c r="B105" s="364" t="s">
        <v>870</v>
      </c>
      <c r="C105" s="364" t="s">
        <v>788</v>
      </c>
      <c r="D105" s="363">
        <v>2.1299999999999999E-2</v>
      </c>
    </row>
    <row r="106" spans="2:4">
      <c r="B106" s="364" t="s">
        <v>871</v>
      </c>
      <c r="C106" s="364" t="s">
        <v>816</v>
      </c>
      <c r="D106" s="363">
        <v>8.5000000000000006E-2</v>
      </c>
    </row>
    <row r="107" spans="2:4">
      <c r="B107" s="364" t="s">
        <v>872</v>
      </c>
      <c r="C107" s="364" t="s">
        <v>771</v>
      </c>
      <c r="D107" s="363">
        <v>3.8300000000000001E-2</v>
      </c>
    </row>
    <row r="108" spans="2:4">
      <c r="B108" s="364" t="s">
        <v>873</v>
      </c>
      <c r="C108" s="364" t="s">
        <v>755</v>
      </c>
      <c r="D108" s="363">
        <v>3.0599999999999999E-2</v>
      </c>
    </row>
    <row r="109" spans="2:4">
      <c r="B109" s="364" t="s">
        <v>874</v>
      </c>
      <c r="C109" s="364" t="s">
        <v>766</v>
      </c>
      <c r="D109" s="363">
        <v>0</v>
      </c>
    </row>
    <row r="110" spans="2:4">
      <c r="B110" s="364" t="s">
        <v>875</v>
      </c>
      <c r="C110" s="364" t="s">
        <v>766</v>
      </c>
      <c r="D110" s="363">
        <v>0</v>
      </c>
    </row>
    <row r="111" spans="2:4">
      <c r="B111" s="364" t="s">
        <v>876</v>
      </c>
      <c r="C111" s="364" t="s">
        <v>773</v>
      </c>
      <c r="D111" s="363">
        <v>4.6699999999999998E-2</v>
      </c>
    </row>
    <row r="112" spans="2:4">
      <c r="B112" s="364" t="s">
        <v>877</v>
      </c>
      <c r="C112" s="364" t="s">
        <v>816</v>
      </c>
      <c r="D112" s="363">
        <v>8.5000000000000006E-2</v>
      </c>
    </row>
    <row r="113" spans="2:4">
      <c r="B113" s="364" t="s">
        <v>878</v>
      </c>
      <c r="C113" s="364" t="s">
        <v>759</v>
      </c>
      <c r="D113" s="363">
        <v>5.5199999999999999E-2</v>
      </c>
    </row>
    <row r="114" spans="2:4">
      <c r="B114" s="364" t="s">
        <v>879</v>
      </c>
      <c r="C114" s="364" t="s">
        <v>766</v>
      </c>
      <c r="D114" s="363">
        <v>0</v>
      </c>
    </row>
    <row r="115" spans="2:4">
      <c r="B115" s="364" t="s">
        <v>880</v>
      </c>
      <c r="C115" s="364" t="s">
        <v>764</v>
      </c>
      <c r="D115" s="363">
        <v>1.8700000000000001E-2</v>
      </c>
    </row>
    <row r="116" spans="2:4">
      <c r="B116" s="364" t="s">
        <v>881</v>
      </c>
      <c r="C116" s="364" t="s">
        <v>761</v>
      </c>
      <c r="D116" s="363">
        <v>6.3700000000000007E-2</v>
      </c>
    </row>
    <row r="117" spans="2:4">
      <c r="B117" s="364" t="s">
        <v>882</v>
      </c>
      <c r="C117" s="364" t="s">
        <v>764</v>
      </c>
      <c r="D117" s="363">
        <v>1.8700000000000001E-2</v>
      </c>
    </row>
    <row r="118" spans="2:4">
      <c r="B118" s="364" t="s">
        <v>883</v>
      </c>
      <c r="C118" s="364" t="s">
        <v>773</v>
      </c>
      <c r="D118" s="363">
        <v>4.6699999999999998E-2</v>
      </c>
    </row>
    <row r="119" spans="2:4">
      <c r="B119" s="364" t="s">
        <v>884</v>
      </c>
      <c r="C119" s="364" t="s">
        <v>764</v>
      </c>
      <c r="D119" s="363">
        <v>1.8700000000000001E-2</v>
      </c>
    </row>
    <row r="120" spans="2:4">
      <c r="B120" s="364" t="s">
        <v>885</v>
      </c>
      <c r="C120" s="364" t="s">
        <v>757</v>
      </c>
      <c r="D120" s="363">
        <v>1.3599999999999999E-2</v>
      </c>
    </row>
    <row r="121" spans="2:4">
      <c r="B121" s="364" t="s">
        <v>886</v>
      </c>
      <c r="C121" s="364" t="s">
        <v>834</v>
      </c>
      <c r="D121" s="363">
        <v>1.6199999999999999E-2</v>
      </c>
    </row>
    <row r="122" spans="2:4">
      <c r="B122" s="364" t="s">
        <v>887</v>
      </c>
      <c r="C122" s="364" t="s">
        <v>783</v>
      </c>
      <c r="D122" s="363">
        <v>7.1999999999999998E-3</v>
      </c>
    </row>
    <row r="123" spans="2:4">
      <c r="B123" s="364" t="s">
        <v>888</v>
      </c>
      <c r="C123" s="364" t="s">
        <v>808</v>
      </c>
      <c r="D123" s="363">
        <v>1.0200000000000001E-2</v>
      </c>
    </row>
    <row r="124" spans="2:4">
      <c r="B124" s="364" t="s">
        <v>889</v>
      </c>
      <c r="C124" s="364" t="s">
        <v>753</v>
      </c>
      <c r="D124" s="363">
        <v>4.1999999999999997E-3</v>
      </c>
    </row>
    <row r="125" spans="2:4">
      <c r="B125" s="364" t="s">
        <v>890</v>
      </c>
      <c r="C125" s="364" t="s">
        <v>808</v>
      </c>
      <c r="D125" s="363">
        <v>1.0200000000000001E-2</v>
      </c>
    </row>
    <row r="126" spans="2:4">
      <c r="B126" s="364" t="s">
        <v>891</v>
      </c>
      <c r="C126" s="364" t="s">
        <v>764</v>
      </c>
      <c r="D126" s="363">
        <v>1.8700000000000001E-2</v>
      </c>
    </row>
    <row r="127" spans="2:4">
      <c r="B127" s="364" t="s">
        <v>892</v>
      </c>
      <c r="C127" s="364" t="s">
        <v>773</v>
      </c>
      <c r="D127" s="363">
        <v>4.6699999999999998E-2</v>
      </c>
    </row>
    <row r="128" spans="2:4">
      <c r="B128" s="364" t="s">
        <v>893</v>
      </c>
      <c r="C128" s="364" t="s">
        <v>779</v>
      </c>
      <c r="D128" s="363">
        <v>5.1000000000000004E-3</v>
      </c>
    </row>
    <row r="129" spans="2:4">
      <c r="B129" s="364" t="s">
        <v>894</v>
      </c>
      <c r="C129" s="364" t="s">
        <v>761</v>
      </c>
      <c r="D129" s="363">
        <v>6.3700000000000007E-2</v>
      </c>
    </row>
    <row r="130" spans="2:4">
      <c r="B130" s="364" t="s">
        <v>895</v>
      </c>
      <c r="C130" s="364" t="s">
        <v>805</v>
      </c>
      <c r="D130" s="363">
        <v>2.5600000000000001E-2</v>
      </c>
    </row>
    <row r="131" spans="2:4">
      <c r="B131" s="364" t="s">
        <v>896</v>
      </c>
      <c r="C131" s="364" t="s">
        <v>788</v>
      </c>
      <c r="D131" s="363">
        <v>2.1299999999999999E-2</v>
      </c>
    </row>
    <row r="132" spans="2:4">
      <c r="B132" s="364" t="s">
        <v>897</v>
      </c>
      <c r="C132" s="364" t="s">
        <v>766</v>
      </c>
      <c r="D132" s="363">
        <v>0</v>
      </c>
    </row>
    <row r="133" spans="2:4">
      <c r="B133" s="364" t="s">
        <v>898</v>
      </c>
      <c r="C133" s="364" t="s">
        <v>808</v>
      </c>
      <c r="D133" s="363">
        <v>1.0200000000000001E-2</v>
      </c>
    </row>
    <row r="134" spans="2:4">
      <c r="B134" s="364" t="s">
        <v>899</v>
      </c>
      <c r="C134" s="364" t="s">
        <v>808</v>
      </c>
      <c r="D134" s="363">
        <v>1.0200000000000001E-2</v>
      </c>
    </row>
    <row r="135" spans="2:4">
      <c r="B135" s="364" t="s">
        <v>900</v>
      </c>
      <c r="C135" s="364" t="s">
        <v>761</v>
      </c>
      <c r="D135" s="363">
        <v>6.3700000000000007E-2</v>
      </c>
    </row>
    <row r="136" spans="2:4">
      <c r="B136" s="364" t="s">
        <v>901</v>
      </c>
      <c r="C136" s="364" t="s">
        <v>805</v>
      </c>
      <c r="D136" s="363">
        <v>2.5600000000000001E-2</v>
      </c>
    </row>
    <row r="137" spans="2:4">
      <c r="B137" s="364" t="s">
        <v>902</v>
      </c>
      <c r="C137" s="364" t="s">
        <v>808</v>
      </c>
      <c r="D137" s="363">
        <v>1.0200000000000001E-2</v>
      </c>
    </row>
    <row r="138" spans="2:4">
      <c r="B138" s="364" t="s">
        <v>903</v>
      </c>
      <c r="C138" s="364" t="s">
        <v>736</v>
      </c>
      <c r="D138" s="363">
        <v>0.10199999999999999</v>
      </c>
    </row>
    <row r="139" spans="2:4">
      <c r="B139" s="364" t="s">
        <v>904</v>
      </c>
      <c r="C139" s="364" t="s">
        <v>805</v>
      </c>
      <c r="D139" s="363">
        <v>2.5600000000000001E-2</v>
      </c>
    </row>
    <row r="140" spans="2:4">
      <c r="B140" s="364" t="s">
        <v>905</v>
      </c>
      <c r="C140" s="364" t="s">
        <v>759</v>
      </c>
      <c r="D140" s="363">
        <v>5.5199999999999999E-2</v>
      </c>
    </row>
    <row r="141" spans="2:4">
      <c r="B141" s="364" t="s">
        <v>906</v>
      </c>
      <c r="C141" s="364" t="s">
        <v>761</v>
      </c>
      <c r="D141" s="363">
        <v>6.3700000000000007E-2</v>
      </c>
    </row>
    <row r="142" spans="2:4">
      <c r="B142" s="364" t="s">
        <v>907</v>
      </c>
      <c r="C142" s="364" t="s">
        <v>773</v>
      </c>
      <c r="D142" s="363">
        <v>4.6699999999999998E-2</v>
      </c>
    </row>
    <row r="143" spans="2:4">
      <c r="B143" s="364" t="s">
        <v>908</v>
      </c>
      <c r="C143" s="364" t="s">
        <v>766</v>
      </c>
      <c r="D143" s="363">
        <v>0</v>
      </c>
    </row>
    <row r="144" spans="2:4">
      <c r="B144" s="364" t="s">
        <v>910</v>
      </c>
      <c r="C144" s="364" t="s">
        <v>779</v>
      </c>
      <c r="D144" s="363">
        <v>5.1000000000000004E-3</v>
      </c>
    </row>
    <row r="145" spans="2:4">
      <c r="B145" s="364" t="s">
        <v>911</v>
      </c>
      <c r="C145" s="364" t="s">
        <v>759</v>
      </c>
      <c r="D145" s="363">
        <v>5.5199999999999999E-2</v>
      </c>
    </row>
    <row r="146" spans="2:4">
      <c r="B146" s="364" t="s">
        <v>912</v>
      </c>
      <c r="C146" s="364" t="s">
        <v>771</v>
      </c>
      <c r="D146" s="363">
        <v>3.8300000000000001E-2</v>
      </c>
    </row>
    <row r="147" spans="2:4">
      <c r="B147" s="364" t="s">
        <v>913</v>
      </c>
      <c r="C147" s="364" t="s">
        <v>757</v>
      </c>
      <c r="D147" s="363">
        <v>1.3599999999999999E-2</v>
      </c>
    </row>
    <row r="148" spans="2:4">
      <c r="B148" s="364" t="s">
        <v>914</v>
      </c>
      <c r="C148" s="364" t="s">
        <v>759</v>
      </c>
      <c r="D148" s="363">
        <v>5.5199999999999999E-2</v>
      </c>
    </row>
    <row r="149" spans="2:4">
      <c r="B149" s="364" t="s">
        <v>915</v>
      </c>
      <c r="C149" s="364" t="s">
        <v>805</v>
      </c>
      <c r="D149" s="363">
        <v>2.5600000000000001E-2</v>
      </c>
    </row>
    <row r="150" spans="2:4">
      <c r="B150" s="364" t="s">
        <v>916</v>
      </c>
      <c r="C150" s="364" t="s">
        <v>761</v>
      </c>
      <c r="D150" s="363">
        <v>6.3700000000000007E-2</v>
      </c>
    </row>
    <row r="151" spans="2:4">
      <c r="B151" s="364" t="s">
        <v>917</v>
      </c>
      <c r="C151" s="364" t="s">
        <v>755</v>
      </c>
      <c r="D151" s="363">
        <v>3.0599999999999999E-2</v>
      </c>
    </row>
    <row r="152" spans="2:4">
      <c r="B152" s="364" t="s">
        <v>918</v>
      </c>
      <c r="C152" s="364" t="s">
        <v>757</v>
      </c>
      <c r="D152" s="363">
        <v>1.3599999999999999E-2</v>
      </c>
    </row>
    <row r="153" spans="2:4">
      <c r="B153" s="364" t="s">
        <v>919</v>
      </c>
      <c r="C153" s="364" t="s">
        <v>759</v>
      </c>
      <c r="D153" s="363">
        <v>5.5199999999999999E-2</v>
      </c>
    </row>
    <row r="154" spans="2:4">
      <c r="B154" s="364" t="s">
        <v>920</v>
      </c>
      <c r="C154" s="364" t="s">
        <v>736</v>
      </c>
      <c r="D154" s="363">
        <v>0.10199999999999999</v>
      </c>
    </row>
    <row r="155" spans="2:4">
      <c r="B155" s="364" t="s">
        <v>921</v>
      </c>
      <c r="C155" s="364" t="s">
        <v>753</v>
      </c>
      <c r="D155" s="363">
        <v>4.1999999999999997E-3</v>
      </c>
    </row>
    <row r="156" spans="2:4">
      <c r="B156" s="364" t="s">
        <v>924</v>
      </c>
      <c r="C156" s="364" t="s">
        <v>757</v>
      </c>
      <c r="D156" s="363">
        <v>1.3599999999999999E-2</v>
      </c>
    </row>
    <row r="157" spans="2:4">
      <c r="B157" s="364" t="s">
        <v>925</v>
      </c>
      <c r="C157" s="364" t="s">
        <v>755</v>
      </c>
      <c r="D157" s="363">
        <v>3.0599999999999999E-2</v>
      </c>
    </row>
    <row r="158" spans="2:4">
      <c r="B158" s="364" t="s">
        <v>926</v>
      </c>
      <c r="C158" s="364" t="s">
        <v>777</v>
      </c>
      <c r="D158" s="363">
        <v>0.17499999999999999</v>
      </c>
    </row>
    <row r="159" spans="2:4">
      <c r="B159" s="364" t="s">
        <v>927</v>
      </c>
      <c r="C159" s="364" t="s">
        <v>805</v>
      </c>
      <c r="D159" s="363">
        <v>2.5600000000000001E-2</v>
      </c>
    </row>
    <row r="160" spans="2:4">
      <c r="B160" s="364" t="s">
        <v>928</v>
      </c>
      <c r="C160" s="364" t="s">
        <v>802</v>
      </c>
      <c r="D160" s="363">
        <v>7.6499999999999999E-2</v>
      </c>
    </row>
  </sheetData>
  <mergeCells count="1">
    <mergeCell ref="H25:I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D0E4-32EF-4AD6-872F-9CFB7360CBE1}">
  <dimension ref="A2:T205"/>
  <sheetViews>
    <sheetView showGridLines="0" zoomScale="85" zoomScaleNormal="85" workbookViewId="0">
      <pane xSplit="1" ySplit="9" topLeftCell="B193" activePane="bottomRight" state="frozen"/>
      <selection pane="topRight" activeCell="B1" sqref="B1"/>
      <selection pane="bottomLeft" activeCell="A10" sqref="A10"/>
      <selection pane="bottomRight" activeCell="B9" sqref="B9"/>
    </sheetView>
  </sheetViews>
  <sheetFormatPr defaultRowHeight="14.4" outlineLevelRow="1"/>
  <cols>
    <col min="1" max="1" width="1.88671875" customWidth="1"/>
    <col min="2" max="2" width="43.109375" customWidth="1"/>
    <col min="5" max="15" width="10.5546875" customWidth="1"/>
  </cols>
  <sheetData>
    <row r="2" spans="1:20" ht="21">
      <c r="B2" s="13" t="str">
        <f>'Input Sheet'!C6</f>
        <v>Hindustan Unilever Ltd.</v>
      </c>
    </row>
    <row r="3" spans="1:20" ht="18">
      <c r="B3" s="15" t="s">
        <v>22</v>
      </c>
    </row>
    <row r="4" spans="1:20">
      <c r="G4" t="s">
        <v>30</v>
      </c>
      <c r="K4">
        <v>1</v>
      </c>
    </row>
    <row r="8" spans="1:20">
      <c r="E8" s="708" t="s">
        <v>24</v>
      </c>
      <c r="F8" s="708"/>
      <c r="G8" s="708"/>
      <c r="H8" s="708"/>
      <c r="I8" s="708"/>
      <c r="J8" s="708"/>
      <c r="K8" s="707" t="s">
        <v>25</v>
      </c>
      <c r="L8" s="707"/>
      <c r="M8" s="707"/>
      <c r="N8" s="707"/>
      <c r="O8" s="707"/>
      <c r="P8" s="709" t="s">
        <v>1056</v>
      </c>
      <c r="Q8" s="709"/>
      <c r="R8" s="709"/>
      <c r="S8" s="709"/>
      <c r="T8" s="709"/>
    </row>
    <row r="9" spans="1:20">
      <c r="B9" s="16" t="s">
        <v>1300</v>
      </c>
      <c r="E9" s="19">
        <v>2020</v>
      </c>
      <c r="F9" s="19">
        <f>E9+1</f>
        <v>2021</v>
      </c>
      <c r="G9" s="19">
        <f t="shared" ref="G9:O9" si="0">F9+1</f>
        <v>2022</v>
      </c>
      <c r="H9" s="19">
        <f t="shared" si="0"/>
        <v>2023</v>
      </c>
      <c r="I9" s="19">
        <f t="shared" si="0"/>
        <v>2024</v>
      </c>
      <c r="J9" s="19">
        <f t="shared" si="0"/>
        <v>2025</v>
      </c>
      <c r="K9" s="19">
        <f t="shared" si="0"/>
        <v>2026</v>
      </c>
      <c r="L9" s="19">
        <f t="shared" si="0"/>
        <v>2027</v>
      </c>
      <c r="M9" s="19">
        <f t="shared" si="0"/>
        <v>2028</v>
      </c>
      <c r="N9" s="19">
        <f t="shared" si="0"/>
        <v>2029</v>
      </c>
      <c r="O9" s="19">
        <f t="shared" si="0"/>
        <v>2030</v>
      </c>
      <c r="P9" s="19">
        <f t="shared" ref="P9" si="1">O9+1</f>
        <v>2031</v>
      </c>
      <c r="Q9" s="19">
        <f t="shared" ref="Q9" si="2">P9+1</f>
        <v>2032</v>
      </c>
      <c r="R9" s="19">
        <f t="shared" ref="R9" si="3">Q9+1</f>
        <v>2033</v>
      </c>
      <c r="S9" s="19">
        <f t="shared" ref="S9" si="4">R9+1</f>
        <v>2034</v>
      </c>
      <c r="T9" s="19">
        <f t="shared" ref="T9" si="5">S9+1</f>
        <v>2035</v>
      </c>
    </row>
    <row r="11" spans="1:20" ht="18">
      <c r="A11" t="s">
        <v>27</v>
      </c>
      <c r="B11" s="22" t="s">
        <v>26</v>
      </c>
      <c r="C11" s="21"/>
      <c r="D11" s="21"/>
      <c r="E11" s="21"/>
      <c r="F11" s="21"/>
      <c r="G11" s="21"/>
      <c r="H11" s="21"/>
      <c r="I11" s="21"/>
      <c r="J11" s="21"/>
      <c r="K11" s="21"/>
      <c r="L11" s="21"/>
      <c r="M11" s="21"/>
      <c r="N11" s="21"/>
      <c r="O11" s="21"/>
      <c r="P11" s="21"/>
      <c r="Q11" s="21"/>
      <c r="R11" s="21"/>
      <c r="S11" s="21"/>
      <c r="T11" s="21"/>
    </row>
    <row r="12" spans="1:20" outlineLevel="1"/>
    <row r="13" spans="1:20" ht="15.6" outlineLevel="1">
      <c r="B13" s="23" t="s">
        <v>359</v>
      </c>
      <c r="C13" s="24"/>
      <c r="D13" s="24"/>
      <c r="E13" s="24"/>
      <c r="F13" s="24"/>
      <c r="G13" s="24"/>
      <c r="H13" s="24"/>
      <c r="I13" s="24"/>
      <c r="J13" s="24"/>
      <c r="K13" s="24"/>
      <c r="L13" s="24"/>
      <c r="M13" s="24"/>
      <c r="N13" s="24"/>
      <c r="O13" s="24"/>
      <c r="P13" s="24"/>
      <c r="Q13" s="24"/>
      <c r="R13" s="24"/>
      <c r="S13" s="24"/>
      <c r="T13" s="24"/>
    </row>
    <row r="14" spans="1:20" ht="1.8" customHeight="1" outlineLevel="1">
      <c r="B14" s="25"/>
      <c r="C14" s="25"/>
      <c r="D14" s="25"/>
      <c r="E14" s="25"/>
      <c r="F14" s="25"/>
      <c r="G14" s="25"/>
      <c r="H14" s="25"/>
      <c r="I14" s="25"/>
      <c r="J14" s="25"/>
      <c r="K14" s="25"/>
      <c r="L14" s="25"/>
      <c r="M14" s="25"/>
      <c r="N14" s="25"/>
      <c r="O14" s="25"/>
      <c r="P14" s="25"/>
      <c r="Q14" s="25"/>
      <c r="R14" s="25"/>
      <c r="S14" s="25"/>
      <c r="T14" s="25"/>
    </row>
    <row r="15" spans="1:20" outlineLevel="1">
      <c r="B15" s="26" t="s">
        <v>439</v>
      </c>
      <c r="C15" s="27"/>
      <c r="D15" s="27"/>
      <c r="E15" s="27"/>
      <c r="F15" s="27"/>
      <c r="G15" s="27"/>
      <c r="H15" s="27"/>
      <c r="I15" s="27"/>
      <c r="J15" s="27"/>
      <c r="K15" s="27"/>
      <c r="L15" s="27"/>
      <c r="M15" s="27"/>
      <c r="N15" s="27"/>
      <c r="O15" s="27"/>
      <c r="P15" s="27"/>
      <c r="Q15" s="27"/>
      <c r="R15" s="27"/>
      <c r="S15" s="27"/>
      <c r="T15" s="27"/>
    </row>
    <row r="16" spans="1:20" outlineLevel="1">
      <c r="B16" s="28" t="s">
        <v>28</v>
      </c>
      <c r="C16" s="29"/>
      <c r="D16" s="29"/>
      <c r="E16" s="31">
        <f>'Assumptions Working'!G298</f>
        <v>5.9499766972191948E-2</v>
      </c>
      <c r="F16" s="31">
        <f>'Assumptions Working'!H298</f>
        <v>2.3240469208211101E-2</v>
      </c>
      <c r="G16" s="31">
        <f>'Assumptions Working'!I298</f>
        <v>0.18721788349931945</v>
      </c>
      <c r="H16" s="31">
        <f>'Assumptions Working'!J298</f>
        <v>0.28141219070609536</v>
      </c>
      <c r="I16" s="31">
        <f>'Assumptions Working'!K298</f>
        <v>2.7739838929967453E-2</v>
      </c>
      <c r="J16" s="31">
        <v>0.11</v>
      </c>
      <c r="K16" s="31">
        <v>0.11</v>
      </c>
      <c r="L16" s="31">
        <v>0.11</v>
      </c>
      <c r="M16" s="31">
        <v>0.11</v>
      </c>
      <c r="N16" s="31">
        <v>0.11</v>
      </c>
      <c r="O16" s="31">
        <v>0.11</v>
      </c>
      <c r="P16" s="31">
        <v>0.11</v>
      </c>
      <c r="Q16" s="31">
        <v>0.11</v>
      </c>
      <c r="R16" s="31">
        <v>0.1</v>
      </c>
      <c r="S16" s="31">
        <v>0.09</v>
      </c>
      <c r="T16" s="31">
        <v>0.08</v>
      </c>
    </row>
    <row r="17" spans="2:20" outlineLevel="1">
      <c r="B17" s="28" t="s">
        <v>441</v>
      </c>
      <c r="C17" s="29"/>
      <c r="D17" s="29"/>
      <c r="E17" s="31">
        <v>5.9499766972191948E-2</v>
      </c>
      <c r="F17" s="31">
        <v>2.3240469208211101E-2</v>
      </c>
      <c r="G17" s="31">
        <v>0.18721788349931945</v>
      </c>
      <c r="H17" s="31">
        <v>0.28141219070609536</v>
      </c>
      <c r="I17" s="31">
        <v>2.7739838929967453E-2</v>
      </c>
      <c r="J17" s="31">
        <v>0.15</v>
      </c>
      <c r="K17" s="31">
        <v>0.15</v>
      </c>
      <c r="L17" s="31">
        <v>0.15</v>
      </c>
      <c r="M17" s="31">
        <v>0.15</v>
      </c>
      <c r="N17" s="31">
        <v>0.15</v>
      </c>
      <c r="O17" s="31">
        <v>0.15</v>
      </c>
      <c r="P17" s="31">
        <v>0.15</v>
      </c>
      <c r="Q17" s="31">
        <v>0.15</v>
      </c>
      <c r="R17" s="31">
        <v>0.15</v>
      </c>
      <c r="S17" s="31">
        <v>0.15</v>
      </c>
      <c r="T17" s="31">
        <v>0.15</v>
      </c>
    </row>
    <row r="18" spans="2:20" outlineLevel="1">
      <c r="B18" s="28" t="s">
        <v>29</v>
      </c>
      <c r="C18" s="29"/>
      <c r="D18" s="29"/>
      <c r="E18" s="31">
        <v>5.9499766972191948E-2</v>
      </c>
      <c r="F18" s="31">
        <v>2.3240469208211101E-2</v>
      </c>
      <c r="G18" s="31">
        <v>0.18721788349931945</v>
      </c>
      <c r="H18" s="31">
        <v>0.28141219070609536</v>
      </c>
      <c r="I18" s="31">
        <v>2.7739838929967453E-2</v>
      </c>
      <c r="J18" s="31">
        <v>0.06</v>
      </c>
      <c r="K18" s="31">
        <v>0.06</v>
      </c>
      <c r="L18" s="31">
        <v>0.06</v>
      </c>
      <c r="M18" s="31">
        <v>0.06</v>
      </c>
      <c r="N18" s="31">
        <v>0.06</v>
      </c>
      <c r="O18" s="31">
        <v>0.06</v>
      </c>
      <c r="P18" s="31">
        <v>0.06</v>
      </c>
      <c r="Q18" s="31">
        <v>0.06</v>
      </c>
      <c r="R18" s="31">
        <v>0.06</v>
      </c>
      <c r="S18" s="31">
        <v>0.06</v>
      </c>
      <c r="T18" s="31">
        <v>0.06</v>
      </c>
    </row>
    <row r="19" spans="2:20" outlineLevel="1">
      <c r="B19" s="18" t="str">
        <f>"Current Case- "&amp;CHOOSE($K$4,$B$16,$B$17,$B$18)</f>
        <v>Current Case- Management Case</v>
      </c>
      <c r="C19" s="17"/>
      <c r="D19" s="17"/>
      <c r="E19" s="33">
        <f t="shared" ref="E19:J19" si="6">CHOOSE($K$4,E16,E17,E18)</f>
        <v>5.9499766972191948E-2</v>
      </c>
      <c r="F19" s="33">
        <f t="shared" si="6"/>
        <v>2.3240469208211101E-2</v>
      </c>
      <c r="G19" s="33">
        <f t="shared" si="6"/>
        <v>0.18721788349931945</v>
      </c>
      <c r="H19" s="33">
        <f t="shared" si="6"/>
        <v>0.28141219070609536</v>
      </c>
      <c r="I19" s="33">
        <f t="shared" si="6"/>
        <v>2.7739838929967453E-2</v>
      </c>
      <c r="J19" s="33">
        <f t="shared" si="6"/>
        <v>0.11</v>
      </c>
      <c r="K19" s="33">
        <f>CHOOSE($K$4,K16,K17,K18)</f>
        <v>0.11</v>
      </c>
      <c r="L19" s="33">
        <f t="shared" ref="L19:O19" si="7">CHOOSE($K$4,L16,L17,L18)</f>
        <v>0.11</v>
      </c>
      <c r="M19" s="33">
        <f t="shared" si="7"/>
        <v>0.11</v>
      </c>
      <c r="N19" s="33">
        <f t="shared" si="7"/>
        <v>0.11</v>
      </c>
      <c r="O19" s="33">
        <f t="shared" si="7"/>
        <v>0.11</v>
      </c>
      <c r="P19" s="33">
        <f t="shared" ref="P19:T19" si="8">CHOOSE($K$4,P16,P17,P18)</f>
        <v>0.11</v>
      </c>
      <c r="Q19" s="33">
        <f t="shared" si="8"/>
        <v>0.11</v>
      </c>
      <c r="R19" s="33">
        <f t="shared" si="8"/>
        <v>0.1</v>
      </c>
      <c r="S19" s="33">
        <f t="shared" si="8"/>
        <v>0.09</v>
      </c>
      <c r="T19" s="33">
        <f t="shared" si="8"/>
        <v>0.08</v>
      </c>
    </row>
    <row r="20" spans="2:20" outlineLevel="1"/>
    <row r="21" spans="2:20" ht="15.6" outlineLevel="1">
      <c r="B21" s="23" t="s">
        <v>431</v>
      </c>
      <c r="C21" s="24"/>
      <c r="D21" s="24"/>
      <c r="E21" s="24"/>
      <c r="F21" s="24"/>
      <c r="G21" s="24"/>
      <c r="H21" s="24"/>
      <c r="I21" s="24"/>
      <c r="J21" s="24"/>
      <c r="K21" s="24"/>
      <c r="L21" s="24"/>
      <c r="M21" s="24"/>
      <c r="N21" s="24"/>
      <c r="O21" s="24"/>
      <c r="P21" s="24"/>
      <c r="Q21" s="24"/>
      <c r="R21" s="24"/>
      <c r="S21" s="24"/>
      <c r="T21" s="24"/>
    </row>
    <row r="22" spans="2:20" ht="1.8" customHeight="1" outlineLevel="1">
      <c r="B22" s="25"/>
      <c r="C22" s="25"/>
      <c r="D22" s="25"/>
      <c r="E22" s="25"/>
      <c r="F22" s="25"/>
      <c r="G22" s="25"/>
      <c r="H22" s="25"/>
      <c r="I22" s="25"/>
      <c r="J22" s="25"/>
      <c r="K22" s="25"/>
      <c r="L22" s="25"/>
      <c r="M22" s="25"/>
      <c r="N22" s="25"/>
      <c r="O22" s="25"/>
      <c r="P22" s="25"/>
      <c r="Q22" s="25"/>
      <c r="R22" s="25"/>
      <c r="S22" s="25"/>
      <c r="T22" s="25"/>
    </row>
    <row r="23" spans="2:20" outlineLevel="1">
      <c r="B23" s="26" t="s">
        <v>439</v>
      </c>
      <c r="C23" s="27"/>
      <c r="D23" s="27"/>
      <c r="E23" s="27"/>
      <c r="F23" s="27"/>
      <c r="G23" s="27"/>
      <c r="H23" s="27"/>
      <c r="I23" s="27"/>
      <c r="J23" s="27"/>
      <c r="K23" s="27"/>
      <c r="L23" s="27"/>
      <c r="M23" s="27"/>
      <c r="N23" s="27"/>
      <c r="O23" s="27"/>
      <c r="P23" s="27"/>
      <c r="Q23" s="27"/>
      <c r="R23" s="27"/>
      <c r="S23" s="27"/>
      <c r="T23" s="27"/>
    </row>
    <row r="24" spans="2:20" outlineLevel="1">
      <c r="B24" s="28" t="s">
        <v>28</v>
      </c>
      <c r="C24" s="29"/>
      <c r="D24" s="29"/>
      <c r="E24" s="31">
        <f>'Assumptions Working'!G300</f>
        <v>-1.752808988764043E-2</v>
      </c>
      <c r="F24" s="31">
        <f>'Assumptions Working'!H300</f>
        <v>3.1450137236962439E-2</v>
      </c>
      <c r="G24" s="31">
        <f>'Assumptions Working'!I300</f>
        <v>8.4765495065971752E-2</v>
      </c>
      <c r="H24" s="31">
        <f>'Assumptions Working'!J300</f>
        <v>0.12546634639955023</v>
      </c>
      <c r="I24" s="31">
        <f>'Assumptions Working'!K300</f>
        <v>-0.40800108981927163</v>
      </c>
      <c r="J24" s="31">
        <f>'Assumptions Working'!L300</f>
        <v>3.7278514995781276E-2</v>
      </c>
      <c r="K24" s="31">
        <v>0.06</v>
      </c>
      <c r="L24" s="31">
        <v>0.06</v>
      </c>
      <c r="M24" s="31">
        <v>0.06</v>
      </c>
      <c r="N24" s="31">
        <v>0.06</v>
      </c>
      <c r="O24" s="31">
        <v>0.06</v>
      </c>
      <c r="P24" s="31">
        <v>0.06</v>
      </c>
      <c r="Q24" s="31">
        <v>0.06</v>
      </c>
      <c r="R24" s="31">
        <v>0.06</v>
      </c>
      <c r="S24" s="31">
        <v>0.06</v>
      </c>
      <c r="T24" s="31">
        <v>0.06</v>
      </c>
    </row>
    <row r="25" spans="2:20" outlineLevel="1">
      <c r="B25" s="28" t="s">
        <v>441</v>
      </c>
      <c r="C25" s="29"/>
      <c r="D25" s="29"/>
      <c r="E25" s="31">
        <v>-1.752808988764043E-2</v>
      </c>
      <c r="F25" s="31">
        <v>3.1450137236962439E-2</v>
      </c>
      <c r="G25" s="31">
        <v>8.4765495065971752E-2</v>
      </c>
      <c r="H25" s="31">
        <v>0.12546634639955023</v>
      </c>
      <c r="I25" s="31">
        <v>-0.40800108981927163</v>
      </c>
      <c r="J25" s="31">
        <v>3.7278514995781276E-2</v>
      </c>
      <c r="K25" s="31">
        <v>0.1</v>
      </c>
      <c r="L25" s="31">
        <v>0.1</v>
      </c>
      <c r="M25" s="31">
        <v>0.1</v>
      </c>
      <c r="N25" s="31">
        <v>0.1</v>
      </c>
      <c r="O25" s="31">
        <v>0.1</v>
      </c>
      <c r="P25" s="31">
        <v>0.1</v>
      </c>
      <c r="Q25" s="31">
        <v>0.1</v>
      </c>
      <c r="R25" s="31">
        <v>0.1</v>
      </c>
      <c r="S25" s="31">
        <v>0.1</v>
      </c>
      <c r="T25" s="31">
        <v>0.1</v>
      </c>
    </row>
    <row r="26" spans="2:20" outlineLevel="1">
      <c r="B26" s="28" t="s">
        <v>29</v>
      </c>
      <c r="C26" s="29"/>
      <c r="D26" s="29"/>
      <c r="E26" s="31">
        <v>-1.752808988764043E-2</v>
      </c>
      <c r="F26" s="31">
        <v>3.1450137236962439E-2</v>
      </c>
      <c r="G26" s="31">
        <v>8.4765495065971752E-2</v>
      </c>
      <c r="H26" s="31">
        <v>0.12546634639955023</v>
      </c>
      <c r="I26" s="31">
        <v>-0.40800108981927163</v>
      </c>
      <c r="J26" s="31">
        <v>3.7278514995781276E-2</v>
      </c>
      <c r="K26" s="31">
        <v>0.02</v>
      </c>
      <c r="L26" s="31">
        <v>0.02</v>
      </c>
      <c r="M26" s="31">
        <v>0.02</v>
      </c>
      <c r="N26" s="31">
        <v>0.02</v>
      </c>
      <c r="O26" s="31">
        <v>0.02</v>
      </c>
      <c r="P26" s="31">
        <v>0.02</v>
      </c>
      <c r="Q26" s="31">
        <v>0.02</v>
      </c>
      <c r="R26" s="31">
        <v>0.02</v>
      </c>
      <c r="S26" s="31">
        <v>0.02</v>
      </c>
      <c r="T26" s="31">
        <v>0.02</v>
      </c>
    </row>
    <row r="27" spans="2:20" outlineLevel="1">
      <c r="B27" s="18" t="str">
        <f>"Current Case- "&amp;CHOOSE($K$4,$B$16,$B$17,$B$18)</f>
        <v>Current Case- Management Case</v>
      </c>
      <c r="C27" s="17"/>
      <c r="D27" s="17"/>
      <c r="E27" s="33">
        <f t="shared" ref="E27:J27" si="9">CHOOSE($K$4,E24,E25,E26)</f>
        <v>-1.752808988764043E-2</v>
      </c>
      <c r="F27" s="33">
        <f t="shared" si="9"/>
        <v>3.1450137236962439E-2</v>
      </c>
      <c r="G27" s="33">
        <f t="shared" si="9"/>
        <v>8.4765495065971752E-2</v>
      </c>
      <c r="H27" s="33">
        <f t="shared" si="9"/>
        <v>0.12546634639955023</v>
      </c>
      <c r="I27" s="33">
        <f t="shared" si="9"/>
        <v>-0.40800108981927163</v>
      </c>
      <c r="J27" s="33">
        <f t="shared" si="9"/>
        <v>3.7278514995781276E-2</v>
      </c>
      <c r="K27" s="33">
        <f>CHOOSE($K$4,K24,K25,K26)</f>
        <v>0.06</v>
      </c>
      <c r="L27" s="33">
        <f t="shared" ref="L27" si="10">CHOOSE($K$4,L24,L25,L26)</f>
        <v>0.06</v>
      </c>
      <c r="M27" s="33">
        <f t="shared" ref="M27" si="11">CHOOSE($K$4,M24,M25,M26)</f>
        <v>0.06</v>
      </c>
      <c r="N27" s="33">
        <f t="shared" ref="N27" si="12">CHOOSE($K$4,N24,N25,N26)</f>
        <v>0.06</v>
      </c>
      <c r="O27" s="33">
        <f t="shared" ref="O27:T27" si="13">CHOOSE($K$4,O24,O25,O26)</f>
        <v>0.06</v>
      </c>
      <c r="P27" s="33">
        <f t="shared" si="13"/>
        <v>0.06</v>
      </c>
      <c r="Q27" s="33">
        <f t="shared" si="13"/>
        <v>0.06</v>
      </c>
      <c r="R27" s="33">
        <f t="shared" si="13"/>
        <v>0.06</v>
      </c>
      <c r="S27" s="33">
        <f t="shared" si="13"/>
        <v>0.06</v>
      </c>
      <c r="T27" s="33">
        <f t="shared" si="13"/>
        <v>0.06</v>
      </c>
    </row>
    <row r="28" spans="2:20" outlineLevel="1"/>
    <row r="29" spans="2:20" ht="15.6" outlineLevel="1">
      <c r="B29" s="23" t="s">
        <v>440</v>
      </c>
      <c r="C29" s="24"/>
      <c r="D29" s="24"/>
      <c r="E29" s="24"/>
      <c r="F29" s="24"/>
      <c r="G29" s="24"/>
      <c r="H29" s="24"/>
      <c r="I29" s="24"/>
      <c r="J29" s="24"/>
      <c r="K29" s="24"/>
      <c r="L29" s="24"/>
      <c r="M29" s="24"/>
      <c r="N29" s="24"/>
      <c r="O29" s="24"/>
      <c r="P29" s="24"/>
      <c r="Q29" s="24"/>
      <c r="R29" s="24"/>
      <c r="S29" s="24"/>
      <c r="T29" s="24"/>
    </row>
    <row r="30" spans="2:20" ht="1.8" customHeight="1" outlineLevel="1">
      <c r="B30" s="25"/>
      <c r="C30" s="25"/>
      <c r="D30" s="25"/>
      <c r="E30" s="25"/>
      <c r="F30" s="25"/>
      <c r="G30" s="25"/>
      <c r="H30" s="25"/>
      <c r="I30" s="25"/>
      <c r="J30" s="25"/>
      <c r="K30" s="25"/>
      <c r="L30" s="25"/>
      <c r="M30" s="25"/>
      <c r="N30" s="25"/>
      <c r="O30" s="25"/>
      <c r="P30" s="25"/>
      <c r="Q30" s="25"/>
      <c r="R30" s="25"/>
      <c r="S30" s="25"/>
      <c r="T30" s="25"/>
    </row>
    <row r="31" spans="2:20" outlineLevel="1">
      <c r="B31" s="26" t="s">
        <v>439</v>
      </c>
      <c r="C31" s="27"/>
      <c r="D31" s="27"/>
      <c r="E31" s="27"/>
      <c r="F31" s="27"/>
      <c r="G31" s="27"/>
      <c r="H31" s="27"/>
      <c r="I31" s="27"/>
      <c r="J31" s="27"/>
      <c r="K31" s="27"/>
      <c r="L31" s="27"/>
      <c r="M31" s="27"/>
      <c r="N31" s="27"/>
      <c r="O31" s="27"/>
      <c r="P31" s="27"/>
      <c r="Q31" s="27"/>
      <c r="R31" s="27"/>
      <c r="S31" s="27"/>
      <c r="T31" s="27"/>
    </row>
    <row r="32" spans="2:20" outlineLevel="1">
      <c r="B32" s="28" t="s">
        <v>28</v>
      </c>
      <c r="C32" s="29"/>
      <c r="D32" s="29"/>
      <c r="E32" s="31"/>
      <c r="F32" s="31"/>
      <c r="G32" s="31"/>
      <c r="H32" s="31"/>
      <c r="I32" s="31"/>
      <c r="J32" s="31">
        <f>'Assumptions Working'!L302</f>
        <v>-2.6033365210923365E-2</v>
      </c>
      <c r="K32" s="31">
        <v>0.13</v>
      </c>
      <c r="L32" s="31">
        <v>0.13</v>
      </c>
      <c r="M32" s="31">
        <v>0.13</v>
      </c>
      <c r="N32" s="31">
        <v>0.13</v>
      </c>
      <c r="O32" s="31">
        <v>0.13</v>
      </c>
      <c r="P32" s="31">
        <v>0.13</v>
      </c>
      <c r="Q32" s="31">
        <v>0.13</v>
      </c>
      <c r="R32" s="31">
        <v>0.13</v>
      </c>
      <c r="S32" s="31">
        <v>0.13</v>
      </c>
      <c r="T32" s="31">
        <v>0.13</v>
      </c>
    </row>
    <row r="33" spans="2:20" outlineLevel="1">
      <c r="B33" s="28" t="s">
        <v>441</v>
      </c>
      <c r="C33" s="29"/>
      <c r="D33" s="29"/>
      <c r="E33" s="31"/>
      <c r="F33" s="31"/>
      <c r="G33" s="31"/>
      <c r="H33" s="31"/>
      <c r="I33" s="31"/>
      <c r="J33" s="31">
        <v>-2.6033365210923365E-2</v>
      </c>
      <c r="K33" s="31">
        <v>0.11</v>
      </c>
      <c r="L33" s="31">
        <v>0.11</v>
      </c>
      <c r="M33" s="31">
        <v>0.11</v>
      </c>
      <c r="N33" s="31">
        <v>0.11</v>
      </c>
      <c r="O33" s="31">
        <v>0.11</v>
      </c>
      <c r="P33" s="31">
        <v>0.11</v>
      </c>
      <c r="Q33" s="31">
        <v>0.11</v>
      </c>
      <c r="R33" s="31">
        <v>0.11</v>
      </c>
      <c r="S33" s="31">
        <v>0.11</v>
      </c>
      <c r="T33" s="31">
        <v>0.11</v>
      </c>
    </row>
    <row r="34" spans="2:20" outlineLevel="1">
      <c r="B34" s="28" t="s">
        <v>29</v>
      </c>
      <c r="C34" s="29"/>
      <c r="D34" s="29"/>
      <c r="E34" s="31"/>
      <c r="F34" s="31"/>
      <c r="G34" s="31"/>
      <c r="H34" s="31"/>
      <c r="I34" s="31"/>
      <c r="J34" s="31">
        <v>-2.6033365210923365E-2</v>
      </c>
      <c r="K34" s="31">
        <v>0.08</v>
      </c>
      <c r="L34" s="31">
        <v>0.08</v>
      </c>
      <c r="M34" s="31">
        <v>0.08</v>
      </c>
      <c r="N34" s="31">
        <v>0.08</v>
      </c>
      <c r="O34" s="31">
        <v>0.08</v>
      </c>
      <c r="P34" s="31">
        <v>0.08</v>
      </c>
      <c r="Q34" s="31">
        <v>0.08</v>
      </c>
      <c r="R34" s="31">
        <v>0.08</v>
      </c>
      <c r="S34" s="31">
        <v>0.08</v>
      </c>
      <c r="T34" s="31">
        <v>0.08</v>
      </c>
    </row>
    <row r="35" spans="2:20" outlineLevel="1">
      <c r="B35" s="18" t="str">
        <f>"Current Case- "&amp;CHOOSE($K$4,$B$16,$B$17,$B$18)</f>
        <v>Current Case- Management Case</v>
      </c>
      <c r="C35" s="17"/>
      <c r="D35" s="17"/>
      <c r="E35" s="33">
        <f t="shared" ref="E35:J35" si="14">CHOOSE($K$4,E32,E33,E34)</f>
        <v>0</v>
      </c>
      <c r="F35" s="33">
        <f t="shared" si="14"/>
        <v>0</v>
      </c>
      <c r="G35" s="33">
        <f t="shared" si="14"/>
        <v>0</v>
      </c>
      <c r="H35" s="33">
        <f t="shared" si="14"/>
        <v>0</v>
      </c>
      <c r="I35" s="33">
        <f t="shared" si="14"/>
        <v>0</v>
      </c>
      <c r="J35" s="33">
        <f t="shared" si="14"/>
        <v>-2.6033365210923365E-2</v>
      </c>
      <c r="K35" s="33">
        <f>CHOOSE($K$4,K32,K33,K34)</f>
        <v>0.13</v>
      </c>
      <c r="L35" s="33">
        <f t="shared" ref="L35" si="15">CHOOSE($K$4,L32,L33,L34)</f>
        <v>0.13</v>
      </c>
      <c r="M35" s="33">
        <f t="shared" ref="M35" si="16">CHOOSE($K$4,M32,M33,M34)</f>
        <v>0.13</v>
      </c>
      <c r="N35" s="33">
        <f t="shared" ref="N35" si="17">CHOOSE($K$4,N32,N33,N34)</f>
        <v>0.13</v>
      </c>
      <c r="O35" s="33">
        <f t="shared" ref="O35:T35" si="18">CHOOSE($K$4,O32,O33,O34)</f>
        <v>0.13</v>
      </c>
      <c r="P35" s="33">
        <f t="shared" si="18"/>
        <v>0.13</v>
      </c>
      <c r="Q35" s="33">
        <f t="shared" si="18"/>
        <v>0.13</v>
      </c>
      <c r="R35" s="33">
        <f t="shared" si="18"/>
        <v>0.13</v>
      </c>
      <c r="S35" s="33">
        <f t="shared" si="18"/>
        <v>0.13</v>
      </c>
      <c r="T35" s="33">
        <f t="shared" si="18"/>
        <v>0.13</v>
      </c>
    </row>
    <row r="36" spans="2:20" outlineLevel="1"/>
    <row r="37" spans="2:20" ht="15.6" outlineLevel="1">
      <c r="B37" s="23" t="s">
        <v>436</v>
      </c>
      <c r="C37" s="24"/>
      <c r="D37" s="24"/>
      <c r="E37" s="24"/>
      <c r="F37" s="24"/>
      <c r="G37" s="24"/>
      <c r="H37" s="24"/>
      <c r="I37" s="24"/>
      <c r="J37" s="24"/>
      <c r="K37" s="24"/>
      <c r="L37" s="24"/>
      <c r="M37" s="24"/>
      <c r="N37" s="24"/>
      <c r="O37" s="24"/>
      <c r="P37" s="24"/>
      <c r="Q37" s="24"/>
      <c r="R37" s="24"/>
      <c r="S37" s="24"/>
      <c r="T37" s="24"/>
    </row>
    <row r="38" spans="2:20" ht="1.8" customHeight="1" outlineLevel="1">
      <c r="B38" s="25"/>
      <c r="C38" s="25"/>
      <c r="D38" s="25"/>
      <c r="E38" s="25"/>
      <c r="F38" s="25"/>
      <c r="G38" s="25"/>
      <c r="H38" s="25"/>
      <c r="I38" s="25"/>
      <c r="J38" s="25"/>
      <c r="K38" s="25"/>
      <c r="L38" s="25"/>
      <c r="M38" s="25"/>
      <c r="N38" s="25"/>
      <c r="O38" s="25"/>
      <c r="P38" s="25"/>
      <c r="Q38" s="25"/>
      <c r="R38" s="25"/>
      <c r="S38" s="25"/>
      <c r="T38" s="25"/>
    </row>
    <row r="39" spans="2:20" outlineLevel="1">
      <c r="B39" s="26" t="s">
        <v>439</v>
      </c>
      <c r="C39" s="27"/>
      <c r="D39" s="27"/>
      <c r="E39" s="27"/>
      <c r="F39" s="27"/>
      <c r="G39" s="27"/>
      <c r="H39" s="27"/>
      <c r="I39" s="27"/>
      <c r="J39" s="27"/>
      <c r="K39" s="27"/>
      <c r="L39" s="27"/>
      <c r="M39" s="27"/>
      <c r="N39" s="27"/>
      <c r="O39" s="27"/>
      <c r="P39" s="27"/>
      <c r="Q39" s="27"/>
      <c r="R39" s="27"/>
      <c r="S39" s="27"/>
      <c r="T39" s="27"/>
    </row>
    <row r="40" spans="2:20" outlineLevel="1">
      <c r="B40" s="28" t="s">
        <v>28</v>
      </c>
      <c r="C40" s="29"/>
      <c r="D40" s="29"/>
      <c r="E40" s="31">
        <f>'Assumptions Working'!F304</f>
        <v>0.10114268066707854</v>
      </c>
      <c r="F40" s="31">
        <f>'Assumptions Working'!G304</f>
        <v>4.4734258869723709E-2</v>
      </c>
      <c r="G40" s="31">
        <f>'Assumptions Working'!H304</f>
        <v>0.77234899328859052</v>
      </c>
      <c r="H40" s="31">
        <f>'Assumptions Working'!I304</f>
        <v>6.8236897909724314E-2</v>
      </c>
      <c r="I40" s="31">
        <f>'Assumptions Working'!J304</f>
        <v>5.4661467564693478E-2</v>
      </c>
      <c r="J40" s="31">
        <f>'Assumptions Working'!K304</f>
        <v>2.789728421618709E-2</v>
      </c>
      <c r="K40" s="31">
        <v>0.06</v>
      </c>
      <c r="L40" s="31">
        <v>0.06</v>
      </c>
      <c r="M40" s="31">
        <v>0.06</v>
      </c>
      <c r="N40" s="31">
        <v>0.06</v>
      </c>
      <c r="O40" s="31">
        <v>0.06</v>
      </c>
      <c r="P40" s="31">
        <v>0.06</v>
      </c>
      <c r="Q40" s="31">
        <v>0.05</v>
      </c>
      <c r="R40" s="31">
        <v>0.04</v>
      </c>
      <c r="S40" s="31">
        <v>0.03</v>
      </c>
      <c r="T40" s="31">
        <v>0.02</v>
      </c>
    </row>
    <row r="41" spans="2:20" outlineLevel="1">
      <c r="B41" s="28" t="s">
        <v>441</v>
      </c>
      <c r="C41" s="29"/>
      <c r="D41" s="29"/>
      <c r="E41" s="31">
        <v>0.10114268066707854</v>
      </c>
      <c r="F41" s="31">
        <v>4.4734258869723709E-2</v>
      </c>
      <c r="G41" s="31">
        <v>0.77234899328859052</v>
      </c>
      <c r="H41" s="31">
        <v>6.8236897909724314E-2</v>
      </c>
      <c r="I41" s="31">
        <v>5.4661467564693478E-2</v>
      </c>
      <c r="J41" s="31">
        <v>2.789728421618709E-2</v>
      </c>
      <c r="K41" s="31">
        <v>0.08</v>
      </c>
      <c r="L41" s="31">
        <v>0.08</v>
      </c>
      <c r="M41" s="31">
        <v>0.08</v>
      </c>
      <c r="N41" s="31">
        <v>0.08</v>
      </c>
      <c r="O41" s="31">
        <v>0.08</v>
      </c>
      <c r="P41" s="31">
        <v>0.08</v>
      </c>
      <c r="Q41" s="31">
        <v>0.08</v>
      </c>
      <c r="R41" s="31">
        <v>0.08</v>
      </c>
      <c r="S41" s="31">
        <v>0.08</v>
      </c>
      <c r="T41" s="31">
        <v>0.08</v>
      </c>
    </row>
    <row r="42" spans="2:20" outlineLevel="1">
      <c r="B42" s="28" t="s">
        <v>29</v>
      </c>
      <c r="C42" s="29"/>
      <c r="D42" s="29"/>
      <c r="E42" s="31">
        <v>0.10114268066707854</v>
      </c>
      <c r="F42" s="31">
        <v>4.4734258869723709E-2</v>
      </c>
      <c r="G42" s="31">
        <v>0.77234899328859052</v>
      </c>
      <c r="H42" s="31">
        <v>6.8236897909724314E-2</v>
      </c>
      <c r="I42" s="31">
        <v>5.4661467564693478E-2</v>
      </c>
      <c r="J42" s="31">
        <v>2.789728421618709E-2</v>
      </c>
      <c r="K42" s="31">
        <v>0.02</v>
      </c>
      <c r="L42" s="31">
        <v>0.02</v>
      </c>
      <c r="M42" s="31">
        <v>0.02</v>
      </c>
      <c r="N42" s="31">
        <v>0.02</v>
      </c>
      <c r="O42" s="31">
        <v>0.02</v>
      </c>
      <c r="P42" s="31">
        <v>0.02</v>
      </c>
      <c r="Q42" s="31">
        <v>0.02</v>
      </c>
      <c r="R42" s="31">
        <v>0.02</v>
      </c>
      <c r="S42" s="31">
        <v>0.02</v>
      </c>
      <c r="T42" s="31">
        <v>0.02</v>
      </c>
    </row>
    <row r="43" spans="2:20" outlineLevel="1">
      <c r="B43" s="18" t="str">
        <f>"Current Case- "&amp;CHOOSE($K$4,$B$16,$B$17,$B$18)</f>
        <v>Current Case- Management Case</v>
      </c>
      <c r="C43" s="17"/>
      <c r="D43" s="17"/>
      <c r="E43" s="33">
        <f t="shared" ref="E43:J43" si="19">CHOOSE($K$4,E40,E41,E42)</f>
        <v>0.10114268066707854</v>
      </c>
      <c r="F43" s="33">
        <f t="shared" si="19"/>
        <v>4.4734258869723709E-2</v>
      </c>
      <c r="G43" s="33">
        <f t="shared" si="19"/>
        <v>0.77234899328859052</v>
      </c>
      <c r="H43" s="33">
        <f t="shared" si="19"/>
        <v>6.8236897909724314E-2</v>
      </c>
      <c r="I43" s="33">
        <f t="shared" si="19"/>
        <v>5.4661467564693478E-2</v>
      </c>
      <c r="J43" s="33">
        <f t="shared" si="19"/>
        <v>2.789728421618709E-2</v>
      </c>
      <c r="K43" s="33">
        <f>CHOOSE($K$4,K40,K41,K42)</f>
        <v>0.06</v>
      </c>
      <c r="L43" s="33">
        <f t="shared" ref="L43:O43" si="20">CHOOSE($K$4,L40,L41,L42)</f>
        <v>0.06</v>
      </c>
      <c r="M43" s="33">
        <f t="shared" si="20"/>
        <v>0.06</v>
      </c>
      <c r="N43" s="33">
        <f t="shared" si="20"/>
        <v>0.06</v>
      </c>
      <c r="O43" s="33">
        <f t="shared" si="20"/>
        <v>0.06</v>
      </c>
      <c r="P43" s="33">
        <f t="shared" ref="P43:T43" si="21">CHOOSE($K$4,P40,P41,P42)</f>
        <v>0.06</v>
      </c>
      <c r="Q43" s="33">
        <f t="shared" si="21"/>
        <v>0.05</v>
      </c>
      <c r="R43" s="33">
        <f t="shared" si="21"/>
        <v>0.04</v>
      </c>
      <c r="S43" s="33">
        <f t="shared" si="21"/>
        <v>0.03</v>
      </c>
      <c r="T43" s="33">
        <f t="shared" si="21"/>
        <v>0.02</v>
      </c>
    </row>
    <row r="44" spans="2:20" outlineLevel="1">
      <c r="B44" s="20"/>
      <c r="J44" s="205"/>
      <c r="K44" s="206"/>
      <c r="L44" s="206"/>
      <c r="M44" s="206"/>
      <c r="N44" s="206"/>
      <c r="O44" s="206"/>
      <c r="P44" s="206"/>
      <c r="Q44" s="206"/>
      <c r="R44" s="206"/>
      <c r="S44" s="206"/>
      <c r="T44" s="206"/>
    </row>
    <row r="45" spans="2:20" ht="15.6" outlineLevel="1">
      <c r="B45" s="23" t="s">
        <v>433</v>
      </c>
      <c r="C45" s="24"/>
      <c r="D45" s="24"/>
      <c r="E45" s="24"/>
      <c r="F45" s="24"/>
      <c r="G45" s="24"/>
      <c r="H45" s="24"/>
      <c r="I45" s="24"/>
      <c r="J45" s="24"/>
      <c r="K45" s="24"/>
      <c r="L45" s="24"/>
      <c r="M45" s="24"/>
      <c r="N45" s="24"/>
      <c r="O45" s="24"/>
      <c r="P45" s="24"/>
      <c r="Q45" s="24"/>
      <c r="R45" s="24"/>
      <c r="S45" s="24"/>
      <c r="T45" s="24"/>
    </row>
    <row r="46" spans="2:20" ht="1.8" customHeight="1" outlineLevel="1">
      <c r="B46" s="25"/>
      <c r="C46" s="25"/>
      <c r="D46" s="25"/>
      <c r="E46" s="25"/>
      <c r="F46" s="25"/>
      <c r="G46" s="25"/>
      <c r="H46" s="25"/>
      <c r="I46" s="25"/>
      <c r="J46" s="25"/>
      <c r="K46" s="25"/>
      <c r="L46" s="25"/>
      <c r="M46" s="25"/>
      <c r="N46" s="25"/>
      <c r="O46" s="25"/>
      <c r="P46" s="25"/>
      <c r="Q46" s="25"/>
      <c r="R46" s="25"/>
      <c r="S46" s="25"/>
      <c r="T46" s="25"/>
    </row>
    <row r="47" spans="2:20" outlineLevel="1">
      <c r="B47" s="26" t="s">
        <v>439</v>
      </c>
      <c r="C47" s="27"/>
      <c r="D47" s="27"/>
      <c r="E47" s="27"/>
      <c r="F47" s="27"/>
      <c r="G47" s="27"/>
      <c r="H47" s="27"/>
      <c r="I47" s="27"/>
      <c r="J47" s="27"/>
      <c r="K47" s="27"/>
      <c r="L47" s="27"/>
      <c r="M47" s="27"/>
      <c r="N47" s="27"/>
      <c r="O47" s="27"/>
      <c r="P47" s="27"/>
      <c r="Q47" s="27"/>
      <c r="R47" s="27"/>
      <c r="S47" s="27"/>
      <c r="T47" s="27"/>
    </row>
    <row r="48" spans="2:20" outlineLevel="1">
      <c r="B48" s="28" t="s">
        <v>28</v>
      </c>
      <c r="C48" s="29"/>
      <c r="D48" s="29"/>
      <c r="E48" s="31">
        <f>'Assumptions Working'!G306</f>
        <v>-0.19933554817275745</v>
      </c>
      <c r="F48" s="31">
        <f>'Assumptions Working'!H306</f>
        <v>0.51784232365145222</v>
      </c>
      <c r="G48" s="31">
        <f>'Assumptions Working'!I306</f>
        <v>0.20503007107709137</v>
      </c>
      <c r="H48" s="31">
        <f>'Assumptions Working'!J306</f>
        <v>0.1156987295825771</v>
      </c>
      <c r="I48" s="31">
        <f>'Assumptions Working'!K306</f>
        <v>-7.48271655144368E-2</v>
      </c>
      <c r="J48" s="31">
        <f>'Assumptions Working'!L306</f>
        <v>-4.1758241758241721E-2</v>
      </c>
      <c r="K48" s="31">
        <v>0.02</v>
      </c>
      <c r="L48" s="31">
        <v>0.02</v>
      </c>
      <c r="M48" s="31">
        <v>0.02</v>
      </c>
      <c r="N48" s="31">
        <v>0.02</v>
      </c>
      <c r="O48" s="31">
        <v>0.02</v>
      </c>
      <c r="P48" s="31">
        <v>0.02</v>
      </c>
      <c r="Q48" s="31">
        <v>0.02</v>
      </c>
      <c r="R48" s="31">
        <v>0.02</v>
      </c>
      <c r="S48" s="31">
        <v>0.02</v>
      </c>
      <c r="T48" s="31">
        <v>0.02</v>
      </c>
    </row>
    <row r="49" spans="1:20" outlineLevel="1">
      <c r="B49" s="28" t="s">
        <v>441</v>
      </c>
      <c r="C49" s="29"/>
      <c r="D49" s="29"/>
      <c r="E49" s="31">
        <v>-0.19933554817275745</v>
      </c>
      <c r="F49" s="31">
        <v>0.51784232365145222</v>
      </c>
      <c r="G49" s="31">
        <v>0.20503007107709137</v>
      </c>
      <c r="H49" s="31">
        <v>0.1156987295825771</v>
      </c>
      <c r="I49" s="31">
        <v>-7.48271655144368E-2</v>
      </c>
      <c r="J49" s="31">
        <v>-4.1758241758241721E-2</v>
      </c>
      <c r="K49" s="31">
        <v>0.02</v>
      </c>
      <c r="L49" s="31">
        <v>0.02</v>
      </c>
      <c r="M49" s="31">
        <v>0.02</v>
      </c>
      <c r="N49" s="31">
        <v>0.02</v>
      </c>
      <c r="O49" s="31">
        <v>0.02</v>
      </c>
      <c r="P49" s="31">
        <v>0.02</v>
      </c>
      <c r="Q49" s="31">
        <v>0.02</v>
      </c>
      <c r="R49" s="31">
        <v>0.02</v>
      </c>
      <c r="S49" s="31">
        <v>0.02</v>
      </c>
      <c r="T49" s="31">
        <v>0.02</v>
      </c>
    </row>
    <row r="50" spans="1:20" outlineLevel="1">
      <c r="B50" s="28" t="s">
        <v>29</v>
      </c>
      <c r="C50" s="29"/>
      <c r="D50" s="29"/>
      <c r="E50" s="31">
        <v>-0.19933554817275745</v>
      </c>
      <c r="F50" s="31">
        <v>0.51784232365145222</v>
      </c>
      <c r="G50" s="31">
        <v>0.20503007107709137</v>
      </c>
      <c r="H50" s="31">
        <v>0.1156987295825771</v>
      </c>
      <c r="I50" s="31">
        <v>-7.48271655144368E-2</v>
      </c>
      <c r="J50" s="31">
        <v>-4.1758241758241721E-2</v>
      </c>
      <c r="K50" s="31">
        <v>0.01</v>
      </c>
      <c r="L50" s="31">
        <v>0.01</v>
      </c>
      <c r="M50" s="31">
        <v>0.01</v>
      </c>
      <c r="N50" s="31">
        <v>0.01</v>
      </c>
      <c r="O50" s="31">
        <v>0.01</v>
      </c>
      <c r="P50" s="31">
        <v>0.01</v>
      </c>
      <c r="Q50" s="31">
        <v>0.01</v>
      </c>
      <c r="R50" s="31">
        <v>0.01</v>
      </c>
      <c r="S50" s="31">
        <v>0.01</v>
      </c>
      <c r="T50" s="31">
        <v>0.01</v>
      </c>
    </row>
    <row r="51" spans="1:20" outlineLevel="1">
      <c r="B51" s="18" t="str">
        <f>"Current Case- "&amp;CHOOSE($K$4,$B$16,$B$17,$B$18)</f>
        <v>Current Case- Management Case</v>
      </c>
      <c r="C51" s="17"/>
      <c r="D51" s="17"/>
      <c r="E51" s="33">
        <f t="shared" ref="E51:J51" si="22">CHOOSE($K$4,E48,E49,E50)</f>
        <v>-0.19933554817275745</v>
      </c>
      <c r="F51" s="33">
        <f t="shared" si="22"/>
        <v>0.51784232365145222</v>
      </c>
      <c r="G51" s="33">
        <f t="shared" si="22"/>
        <v>0.20503007107709137</v>
      </c>
      <c r="H51" s="33">
        <f t="shared" si="22"/>
        <v>0.1156987295825771</v>
      </c>
      <c r="I51" s="33">
        <f t="shared" si="22"/>
        <v>-7.48271655144368E-2</v>
      </c>
      <c r="J51" s="33">
        <f t="shared" si="22"/>
        <v>-4.1758241758241721E-2</v>
      </c>
      <c r="K51" s="33">
        <f>CHOOSE($K$4,K48,K49,K50)</f>
        <v>0.02</v>
      </c>
      <c r="L51" s="33">
        <f t="shared" ref="L51:O51" si="23">CHOOSE($K$4,L48,L49,L50)</f>
        <v>0.02</v>
      </c>
      <c r="M51" s="33">
        <f t="shared" si="23"/>
        <v>0.02</v>
      </c>
      <c r="N51" s="33">
        <f t="shared" si="23"/>
        <v>0.02</v>
      </c>
      <c r="O51" s="33">
        <f t="shared" si="23"/>
        <v>0.02</v>
      </c>
      <c r="P51" s="33">
        <f t="shared" ref="P51:T51" si="24">CHOOSE($K$4,P48,P49,P50)</f>
        <v>0.02</v>
      </c>
      <c r="Q51" s="33">
        <f t="shared" si="24"/>
        <v>0.02</v>
      </c>
      <c r="R51" s="33">
        <f t="shared" si="24"/>
        <v>0.02</v>
      </c>
      <c r="S51" s="33">
        <f t="shared" si="24"/>
        <v>0.02</v>
      </c>
      <c r="T51" s="33">
        <f t="shared" si="24"/>
        <v>0.02</v>
      </c>
    </row>
    <row r="52" spans="1:20" outlineLevel="1">
      <c r="B52" s="20"/>
      <c r="E52" s="206"/>
      <c r="F52" s="206"/>
      <c r="G52" s="206"/>
      <c r="H52" s="206"/>
      <c r="I52" s="206"/>
      <c r="J52" s="206"/>
      <c r="K52" s="206"/>
      <c r="L52" s="206"/>
      <c r="M52" s="206"/>
      <c r="N52" s="206"/>
      <c r="O52" s="206"/>
      <c r="P52" s="206"/>
      <c r="Q52" s="206"/>
      <c r="R52" s="206"/>
      <c r="S52" s="206"/>
      <c r="T52" s="206"/>
    </row>
    <row r="53" spans="1:20" ht="15.6" outlineLevel="1">
      <c r="B53" s="23" t="s">
        <v>204</v>
      </c>
      <c r="C53" s="24"/>
      <c r="D53" s="24"/>
      <c r="E53" s="24"/>
      <c r="F53" s="24"/>
      <c r="G53" s="24"/>
      <c r="H53" s="24"/>
      <c r="I53" s="24"/>
      <c r="J53" s="24"/>
      <c r="K53" s="24"/>
      <c r="L53" s="24"/>
      <c r="M53" s="24"/>
      <c r="N53" s="24"/>
      <c r="O53" s="24"/>
      <c r="P53" s="24"/>
      <c r="Q53" s="24"/>
      <c r="R53" s="24"/>
      <c r="S53" s="24"/>
      <c r="T53" s="24"/>
    </row>
    <row r="54" spans="1:20" ht="1.8" customHeight="1" outlineLevel="1">
      <c r="B54" s="25"/>
      <c r="C54" s="25"/>
      <c r="D54" s="25"/>
      <c r="E54" s="25"/>
      <c r="F54" s="25"/>
      <c r="G54" s="25"/>
      <c r="H54" s="25"/>
      <c r="I54" s="25"/>
      <c r="J54" s="25"/>
      <c r="K54" s="25"/>
      <c r="L54" s="25"/>
      <c r="M54" s="25"/>
      <c r="N54" s="25"/>
      <c r="O54" s="25"/>
      <c r="P54" s="25"/>
      <c r="Q54" s="25"/>
      <c r="R54" s="25"/>
      <c r="S54" s="25"/>
      <c r="T54" s="25"/>
    </row>
    <row r="55" spans="1:20" outlineLevel="1">
      <c r="B55" s="26" t="s">
        <v>646</v>
      </c>
      <c r="C55" s="27"/>
      <c r="D55" s="27"/>
      <c r="E55" s="27"/>
      <c r="F55" s="27"/>
      <c r="G55" s="27"/>
      <c r="H55" s="27"/>
      <c r="I55" s="27"/>
      <c r="J55" s="27"/>
      <c r="K55" s="27"/>
      <c r="L55" s="27"/>
      <c r="M55" s="27"/>
      <c r="N55" s="27"/>
      <c r="O55" s="27"/>
      <c r="P55" s="27"/>
      <c r="Q55" s="27"/>
      <c r="R55" s="27"/>
      <c r="S55" s="27"/>
      <c r="T55" s="27"/>
    </row>
    <row r="56" spans="1:20" outlineLevel="1">
      <c r="B56" s="28" t="s">
        <v>28</v>
      </c>
      <c r="C56" s="29"/>
      <c r="D56" s="29"/>
      <c r="E56" s="31">
        <f>'Assumptions Working'!E349</f>
        <v>1.5886182540281023E-2</v>
      </c>
      <c r="F56" s="31">
        <f>'Assumptions Working'!F349</f>
        <v>8.7182104278302284E-3</v>
      </c>
      <c r="G56" s="31">
        <f>'Assumptions Working'!G349</f>
        <v>4.9193456126301336E-3</v>
      </c>
      <c r="H56" s="31">
        <f>'Assumptions Working'!H349</f>
        <v>8.4516342027071648E-3</v>
      </c>
      <c r="I56" s="31">
        <f>'Assumptions Working'!I349</f>
        <v>1.3102623755977769E-2</v>
      </c>
      <c r="J56" s="31">
        <f>'Assumptions Working'!J349</f>
        <v>1.6111912041951174E-2</v>
      </c>
      <c r="K56" s="31">
        <v>0</v>
      </c>
      <c r="L56" s="31">
        <v>0</v>
      </c>
      <c r="M56" s="31">
        <v>0</v>
      </c>
      <c r="N56" s="31">
        <v>0</v>
      </c>
      <c r="O56" s="31">
        <v>0</v>
      </c>
      <c r="P56" s="31">
        <v>0</v>
      </c>
      <c r="Q56" s="31">
        <v>0</v>
      </c>
      <c r="R56" s="31">
        <v>0</v>
      </c>
      <c r="S56" s="31">
        <v>0</v>
      </c>
      <c r="T56" s="31">
        <v>0</v>
      </c>
    </row>
    <row r="57" spans="1:20" outlineLevel="1">
      <c r="B57" s="28" t="s">
        <v>441</v>
      </c>
      <c r="C57" s="29"/>
      <c r="D57" s="29"/>
      <c r="E57" s="31">
        <v>1.5886182540281023E-2</v>
      </c>
      <c r="F57" s="31">
        <v>8.7182104278302284E-3</v>
      </c>
      <c r="G57" s="31">
        <v>4.9193456126301336E-3</v>
      </c>
      <c r="H57" s="31">
        <v>8.4516342027071648E-3</v>
      </c>
      <c r="I57" s="31">
        <v>1.3102623755977769E-2</v>
      </c>
      <c r="J57" s="31">
        <v>1.6111912041951174E-2</v>
      </c>
      <c r="K57" s="31">
        <v>0</v>
      </c>
      <c r="L57" s="31">
        <v>0</v>
      </c>
      <c r="M57" s="31">
        <v>0</v>
      </c>
      <c r="N57" s="31">
        <v>0</v>
      </c>
      <c r="O57" s="31">
        <v>0</v>
      </c>
      <c r="P57" s="31">
        <v>0</v>
      </c>
      <c r="Q57" s="31">
        <v>0</v>
      </c>
      <c r="R57" s="31">
        <v>0</v>
      </c>
      <c r="S57" s="31">
        <v>0</v>
      </c>
      <c r="T57" s="31">
        <v>0</v>
      </c>
    </row>
    <row r="58" spans="1:20" outlineLevel="1">
      <c r="B58" s="28" t="s">
        <v>29</v>
      </c>
      <c r="C58" s="29"/>
      <c r="D58" s="29"/>
      <c r="E58" s="31">
        <v>1.5886182540281023E-2</v>
      </c>
      <c r="F58" s="31">
        <v>8.7182104278302284E-3</v>
      </c>
      <c r="G58" s="31">
        <v>4.9193456126301336E-3</v>
      </c>
      <c r="H58" s="31">
        <v>8.4516342027071648E-3</v>
      </c>
      <c r="I58" s="31">
        <v>1.3102623755977769E-2</v>
      </c>
      <c r="J58" s="31">
        <v>1.6111912041951174E-2</v>
      </c>
      <c r="K58" s="31">
        <v>0</v>
      </c>
      <c r="L58" s="31">
        <v>0</v>
      </c>
      <c r="M58" s="31">
        <v>0</v>
      </c>
      <c r="N58" s="31">
        <v>0</v>
      </c>
      <c r="O58" s="31">
        <v>0</v>
      </c>
      <c r="P58" s="31">
        <v>0</v>
      </c>
      <c r="Q58" s="31">
        <v>0</v>
      </c>
      <c r="R58" s="31">
        <v>0</v>
      </c>
      <c r="S58" s="31">
        <v>0</v>
      </c>
      <c r="T58" s="31">
        <v>0</v>
      </c>
    </row>
    <row r="59" spans="1:20" outlineLevel="1">
      <c r="B59" s="18" t="str">
        <f>"Current Case- "&amp;CHOOSE($K$4,$B$16,$B$17,$B$18)</f>
        <v>Current Case- Management Case</v>
      </c>
      <c r="C59" s="17"/>
      <c r="D59" s="17"/>
      <c r="E59" s="33">
        <f t="shared" ref="E59:J59" si="25">CHOOSE($K$4,E56,E57,E58)</f>
        <v>1.5886182540281023E-2</v>
      </c>
      <c r="F59" s="33">
        <f t="shared" si="25"/>
        <v>8.7182104278302284E-3</v>
      </c>
      <c r="G59" s="33">
        <f t="shared" si="25"/>
        <v>4.9193456126301336E-3</v>
      </c>
      <c r="H59" s="33">
        <f t="shared" si="25"/>
        <v>8.4516342027071648E-3</v>
      </c>
      <c r="I59" s="33">
        <f t="shared" si="25"/>
        <v>1.3102623755977769E-2</v>
      </c>
      <c r="J59" s="33">
        <f t="shared" si="25"/>
        <v>1.6111912041951174E-2</v>
      </c>
      <c r="K59" s="33">
        <f>CHOOSE($K$4,K56,K57,K58)</f>
        <v>0</v>
      </c>
      <c r="L59" s="33">
        <f t="shared" ref="L59:O59" si="26">CHOOSE($K$4,L56,L57,L58)</f>
        <v>0</v>
      </c>
      <c r="M59" s="33">
        <f t="shared" si="26"/>
        <v>0</v>
      </c>
      <c r="N59" s="33">
        <f t="shared" si="26"/>
        <v>0</v>
      </c>
      <c r="O59" s="33">
        <f t="shared" si="26"/>
        <v>0</v>
      </c>
      <c r="P59" s="33">
        <f t="shared" ref="P59:T59" si="27">CHOOSE($K$4,P56,P57,P58)</f>
        <v>0</v>
      </c>
      <c r="Q59" s="33">
        <f t="shared" si="27"/>
        <v>0</v>
      </c>
      <c r="R59" s="33">
        <f t="shared" si="27"/>
        <v>0</v>
      </c>
      <c r="S59" s="33">
        <f t="shared" si="27"/>
        <v>0</v>
      </c>
      <c r="T59" s="33">
        <f t="shared" si="27"/>
        <v>0</v>
      </c>
    </row>
    <row r="60" spans="1:20" outlineLevel="1">
      <c r="B60" s="20"/>
      <c r="E60" s="206"/>
      <c r="F60" s="206"/>
      <c r="G60" s="206"/>
      <c r="H60" s="206"/>
      <c r="I60" s="206"/>
      <c r="J60" s="206"/>
      <c r="K60" s="206"/>
      <c r="L60" s="206"/>
      <c r="M60" s="206"/>
      <c r="N60" s="206"/>
      <c r="O60" s="206"/>
      <c r="P60" s="206"/>
      <c r="Q60" s="206"/>
      <c r="R60" s="206"/>
      <c r="S60" s="206"/>
      <c r="T60" s="206"/>
    </row>
    <row r="61" spans="1:20" outlineLevel="1">
      <c r="B61" s="20"/>
      <c r="E61" s="206"/>
      <c r="F61" s="206"/>
      <c r="G61" s="206"/>
      <c r="H61" s="206"/>
      <c r="I61" s="206"/>
      <c r="J61" s="206"/>
      <c r="K61" s="206"/>
      <c r="L61" s="206"/>
      <c r="M61" s="206"/>
      <c r="N61" s="206"/>
      <c r="O61" s="206"/>
      <c r="P61" s="206"/>
      <c r="Q61" s="206"/>
      <c r="R61" s="206"/>
      <c r="S61" s="206"/>
      <c r="T61" s="206"/>
    </row>
    <row r="63" spans="1:20" ht="18">
      <c r="A63" t="s">
        <v>27</v>
      </c>
      <c r="B63" s="22" t="s">
        <v>31</v>
      </c>
      <c r="C63" s="21"/>
      <c r="D63" s="21"/>
      <c r="E63" s="21"/>
      <c r="F63" s="21"/>
      <c r="G63" s="21"/>
      <c r="H63" s="21"/>
      <c r="I63" s="21"/>
      <c r="J63" s="21"/>
      <c r="K63" s="21"/>
      <c r="L63" s="21"/>
      <c r="M63" s="21"/>
      <c r="N63" s="21"/>
      <c r="O63" s="21"/>
      <c r="P63" s="21"/>
      <c r="Q63" s="21"/>
      <c r="R63" s="21"/>
      <c r="S63" s="21"/>
      <c r="T63" s="21"/>
    </row>
    <row r="64" spans="1:20" outlineLevel="1"/>
    <row r="65" spans="1:20" outlineLevel="1">
      <c r="B65" s="34" t="s">
        <v>472</v>
      </c>
      <c r="C65" s="35"/>
      <c r="D65" s="35"/>
      <c r="E65" s="35"/>
      <c r="F65" s="35"/>
      <c r="G65" s="35"/>
      <c r="H65" s="35"/>
      <c r="I65" s="35"/>
      <c r="J65" s="35"/>
      <c r="K65" s="35"/>
      <c r="L65" s="35"/>
      <c r="M65" s="35"/>
      <c r="N65" s="35"/>
      <c r="O65" s="35"/>
      <c r="P65" s="35"/>
      <c r="Q65" s="35"/>
      <c r="R65" s="35"/>
      <c r="S65" s="35"/>
      <c r="T65" s="35"/>
    </row>
    <row r="66" spans="1:20" outlineLevel="1">
      <c r="B66" s="28" t="s">
        <v>28</v>
      </c>
      <c r="C66" s="29"/>
      <c r="D66" s="29"/>
      <c r="E66" s="211">
        <v>0.54103511550159622</v>
      </c>
      <c r="F66" s="211">
        <v>0.52904652547418562</v>
      </c>
      <c r="G66" s="211">
        <v>0.50930480875567252</v>
      </c>
      <c r="H66" s="211">
        <v>0.4764608781776164</v>
      </c>
      <c r="I66" s="211">
        <v>0.51919348584722758</v>
      </c>
      <c r="J66" s="211">
        <v>0.51556534275439236</v>
      </c>
      <c r="K66" s="36">
        <v>0.51</v>
      </c>
      <c r="L66" s="36">
        <f>K66+(($O$66-$K$66)/4)</f>
        <v>0.51224999999999998</v>
      </c>
      <c r="M66" s="36">
        <f t="shared" ref="M66" si="28">L66+(($O$66-$K$66)/4)</f>
        <v>0.51449999999999996</v>
      </c>
      <c r="N66" s="36">
        <f>M66+(($O$66-$K$66)/4)</f>
        <v>0.51674999999999993</v>
      </c>
      <c r="O66" s="36">
        <v>0.51900000000000002</v>
      </c>
      <c r="P66" s="36">
        <v>0.51900000000000002</v>
      </c>
      <c r="Q66" s="36">
        <v>0.51900000000000002</v>
      </c>
      <c r="R66" s="36">
        <v>0.51900000000000002</v>
      </c>
      <c r="S66" s="36">
        <v>0.51900000000000002</v>
      </c>
      <c r="T66" s="36">
        <v>0.51900000000000002</v>
      </c>
    </row>
    <row r="67" spans="1:20" outlineLevel="1">
      <c r="B67" s="28" t="s">
        <v>441</v>
      </c>
      <c r="C67" s="29"/>
      <c r="D67" s="29"/>
      <c r="E67" s="211">
        <v>0.54103511550159622</v>
      </c>
      <c r="F67" s="211">
        <v>0.52904652547418562</v>
      </c>
      <c r="G67" s="211">
        <v>0.50930480875567252</v>
      </c>
      <c r="H67" s="211">
        <v>0.4764608781776164</v>
      </c>
      <c r="I67" s="211">
        <v>0.51919348584722758</v>
      </c>
      <c r="J67" s="211">
        <v>0.51556534275439236</v>
      </c>
      <c r="K67" s="36">
        <v>0.51100000000000001</v>
      </c>
      <c r="L67" s="36">
        <v>0.51400000000000001</v>
      </c>
      <c r="M67" s="36">
        <v>0.51500000000000001</v>
      </c>
      <c r="N67" s="36">
        <v>0.51600000000000001</v>
      </c>
      <c r="O67" s="36">
        <v>0.51600000000000001</v>
      </c>
      <c r="P67" s="36">
        <v>0.51600000000000001</v>
      </c>
      <c r="Q67" s="36">
        <v>0.51600000000000001</v>
      </c>
      <c r="R67" s="36">
        <v>0.51600000000000001</v>
      </c>
      <c r="S67" s="36">
        <v>0.51600000000000001</v>
      </c>
      <c r="T67" s="36">
        <v>0.51600000000000001</v>
      </c>
    </row>
    <row r="68" spans="1:20" outlineLevel="1">
      <c r="B68" s="28" t="s">
        <v>29</v>
      </c>
      <c r="C68" s="29"/>
      <c r="D68" s="29"/>
      <c r="E68" s="211">
        <v>0.54103511550159622</v>
      </c>
      <c r="F68" s="211">
        <v>0.52904652547418562</v>
      </c>
      <c r="G68" s="211">
        <v>0.50930480875567252</v>
      </c>
      <c r="H68" s="211">
        <v>0.4764608781776164</v>
      </c>
      <c r="I68" s="211">
        <v>0.51919348584722758</v>
      </c>
      <c r="J68" s="211">
        <v>0.51556534275439236</v>
      </c>
      <c r="K68" s="36">
        <v>0.48</v>
      </c>
      <c r="L68" s="36">
        <v>0.48</v>
      </c>
      <c r="M68" s="36">
        <v>0.48</v>
      </c>
      <c r="N68" s="36">
        <v>0.48</v>
      </c>
      <c r="O68" s="36">
        <v>0.48</v>
      </c>
      <c r="P68" s="36">
        <v>0.48</v>
      </c>
      <c r="Q68" s="36">
        <v>0.48</v>
      </c>
      <c r="R68" s="36">
        <v>0.48</v>
      </c>
      <c r="S68" s="36">
        <v>0.48</v>
      </c>
      <c r="T68" s="36">
        <v>0.48</v>
      </c>
    </row>
    <row r="69" spans="1:20" outlineLevel="1">
      <c r="B69" s="18" t="str">
        <f>"Current Case- "&amp;CHOOSE($K$4,$B$16,$B$17,$B$18)</f>
        <v>Current Case- Management Case</v>
      </c>
      <c r="C69" s="17"/>
      <c r="D69" s="17"/>
      <c r="E69" s="33">
        <f t="shared" ref="E69:J69" si="29">CHOOSE($K$4,E66,E67,E68)</f>
        <v>0.54103511550159622</v>
      </c>
      <c r="F69" s="33">
        <f t="shared" si="29"/>
        <v>0.52904652547418562</v>
      </c>
      <c r="G69" s="33">
        <f t="shared" si="29"/>
        <v>0.50930480875567252</v>
      </c>
      <c r="H69" s="33">
        <f t="shared" si="29"/>
        <v>0.4764608781776164</v>
      </c>
      <c r="I69" s="33">
        <f t="shared" si="29"/>
        <v>0.51919348584722758</v>
      </c>
      <c r="J69" s="33">
        <f t="shared" si="29"/>
        <v>0.51556534275439236</v>
      </c>
      <c r="K69" s="37">
        <f>CHOOSE($K$4,K66,K67,K68)</f>
        <v>0.51</v>
      </c>
      <c r="L69" s="37">
        <f t="shared" ref="L69" si="30">CHOOSE($K$4,L66,L67,L68)</f>
        <v>0.51224999999999998</v>
      </c>
      <c r="M69" s="37">
        <f t="shared" ref="M69" si="31">CHOOSE($K$4,M66,M67,M68)</f>
        <v>0.51449999999999996</v>
      </c>
      <c r="N69" s="37">
        <f t="shared" ref="N69" si="32">CHOOSE($K$4,N66,N67,N68)</f>
        <v>0.51674999999999993</v>
      </c>
      <c r="O69" s="37">
        <f t="shared" ref="O69:T69" si="33">CHOOSE($K$4,O66,O67,O68)</f>
        <v>0.51900000000000002</v>
      </c>
      <c r="P69" s="37">
        <f t="shared" si="33"/>
        <v>0.51900000000000002</v>
      </c>
      <c r="Q69" s="37">
        <f t="shared" si="33"/>
        <v>0.51900000000000002</v>
      </c>
      <c r="R69" s="37">
        <f t="shared" si="33"/>
        <v>0.51900000000000002</v>
      </c>
      <c r="S69" s="37">
        <f t="shared" si="33"/>
        <v>0.51900000000000002</v>
      </c>
      <c r="T69" s="37">
        <f t="shared" si="33"/>
        <v>0.51900000000000002</v>
      </c>
    </row>
    <row r="70" spans="1:20" outlineLevel="1"/>
    <row r="71" spans="1:20" ht="15" outlineLevel="1" thickBot="1">
      <c r="B71" s="53" t="s">
        <v>447</v>
      </c>
      <c r="C71" s="49"/>
      <c r="D71" s="49"/>
      <c r="E71" s="212">
        <f>100%-E69</f>
        <v>0.45896488449840378</v>
      </c>
      <c r="F71" s="212">
        <f t="shared" ref="F71:O71" si="34">100%-F69</f>
        <v>0.47095347452581438</v>
      </c>
      <c r="G71" s="212">
        <f t="shared" si="34"/>
        <v>0.49069519124432748</v>
      </c>
      <c r="H71" s="212">
        <f t="shared" si="34"/>
        <v>0.5235391218223836</v>
      </c>
      <c r="I71" s="212">
        <f t="shared" si="34"/>
        <v>0.48080651415277242</v>
      </c>
      <c r="J71" s="212">
        <f t="shared" si="34"/>
        <v>0.48443465724560764</v>
      </c>
      <c r="K71" s="213">
        <f t="shared" si="34"/>
        <v>0.49</v>
      </c>
      <c r="L71" s="213">
        <f t="shared" si="34"/>
        <v>0.48775000000000002</v>
      </c>
      <c r="M71" s="213">
        <f t="shared" si="34"/>
        <v>0.48550000000000004</v>
      </c>
      <c r="N71" s="213">
        <f t="shared" si="34"/>
        <v>0.48325000000000007</v>
      </c>
      <c r="O71" s="213">
        <f t="shared" si="34"/>
        <v>0.48099999999999998</v>
      </c>
      <c r="P71" s="213">
        <f t="shared" ref="P71:T71" si="35">100%-P69</f>
        <v>0.48099999999999998</v>
      </c>
      <c r="Q71" s="213">
        <f t="shared" si="35"/>
        <v>0.48099999999999998</v>
      </c>
      <c r="R71" s="213">
        <f t="shared" si="35"/>
        <v>0.48099999999999998</v>
      </c>
      <c r="S71" s="213">
        <f t="shared" si="35"/>
        <v>0.48099999999999998</v>
      </c>
      <c r="T71" s="213">
        <f t="shared" si="35"/>
        <v>0.48099999999999998</v>
      </c>
    </row>
    <row r="72" spans="1:20" outlineLevel="1">
      <c r="B72" s="20"/>
      <c r="E72" s="214"/>
      <c r="F72" s="214"/>
      <c r="G72" s="214"/>
      <c r="H72" s="214"/>
      <c r="I72" s="214"/>
      <c r="J72" s="214"/>
      <c r="K72" s="215"/>
      <c r="L72" s="215"/>
      <c r="M72" s="215"/>
      <c r="N72" s="215"/>
      <c r="O72" s="215"/>
      <c r="P72" s="215"/>
      <c r="Q72" s="215"/>
      <c r="R72" s="215"/>
      <c r="S72" s="215"/>
      <c r="T72" s="215"/>
    </row>
    <row r="74" spans="1:20" ht="18">
      <c r="A74" t="s">
        <v>27</v>
      </c>
      <c r="B74" s="22" t="s">
        <v>32</v>
      </c>
      <c r="C74" s="21"/>
      <c r="D74" s="21"/>
      <c r="E74" s="21"/>
      <c r="F74" s="21"/>
      <c r="G74" s="21"/>
      <c r="H74" s="21"/>
      <c r="I74" s="21"/>
      <c r="J74" s="21"/>
      <c r="K74" s="21"/>
      <c r="L74" s="21"/>
      <c r="M74" s="21"/>
      <c r="N74" s="21"/>
      <c r="O74" s="21"/>
      <c r="P74" s="21"/>
      <c r="Q74" s="21"/>
      <c r="R74" s="21"/>
      <c r="S74" s="21"/>
      <c r="T74" s="21"/>
    </row>
    <row r="75" spans="1:20" outlineLevel="1"/>
    <row r="76" spans="1:20" outlineLevel="1">
      <c r="B76" s="34" t="s">
        <v>515</v>
      </c>
      <c r="C76" s="35"/>
      <c r="D76" s="35"/>
      <c r="E76" s="35"/>
      <c r="F76" s="35"/>
      <c r="G76" s="35"/>
      <c r="H76" s="35"/>
      <c r="I76" s="35"/>
      <c r="J76" s="35"/>
      <c r="K76" s="35"/>
      <c r="L76" s="35"/>
      <c r="M76" s="35"/>
      <c r="N76" s="35"/>
      <c r="O76" s="35"/>
      <c r="P76" s="35"/>
      <c r="Q76" s="35"/>
      <c r="R76" s="35"/>
      <c r="S76" s="35"/>
      <c r="T76" s="35"/>
    </row>
    <row r="77" spans="1:20" outlineLevel="1">
      <c r="B77" s="28" t="s">
        <v>28</v>
      </c>
      <c r="C77" s="29"/>
      <c r="D77" s="29"/>
      <c r="E77" s="36">
        <f>'Assumptions Working'!F586</f>
        <v>4.574818389764472E-2</v>
      </c>
      <c r="F77" s="36">
        <f>'Assumptions Working'!G586</f>
        <v>5.0140341923960191E-2</v>
      </c>
      <c r="G77" s="36">
        <f>'Assumptions Working'!H586</f>
        <v>4.8526103039316627E-2</v>
      </c>
      <c r="H77" s="36">
        <f>'Assumptions Working'!I586</f>
        <v>4.7111257840871577E-2</v>
      </c>
      <c r="I77" s="36">
        <f>'Assumptions Working'!J586</f>
        <v>4.8613803799922452E-2</v>
      </c>
      <c r="J77" s="36">
        <f>'Assumptions Working'!K586</f>
        <v>4.7638662251865464E-2</v>
      </c>
      <c r="K77" s="36">
        <v>4.8000000000000001E-2</v>
      </c>
      <c r="L77" s="36">
        <v>4.8000000000000001E-2</v>
      </c>
      <c r="M77" s="36">
        <v>4.8000000000000001E-2</v>
      </c>
      <c r="N77" s="36">
        <v>4.8000000000000001E-2</v>
      </c>
      <c r="O77" s="36">
        <v>4.8000000000000001E-2</v>
      </c>
      <c r="P77" s="36">
        <v>4.8000000000000001E-2</v>
      </c>
      <c r="Q77" s="36">
        <v>4.8000000000000001E-2</v>
      </c>
      <c r="R77" s="36">
        <v>4.8000000000000001E-2</v>
      </c>
      <c r="S77" s="36">
        <v>4.8000000000000001E-2</v>
      </c>
      <c r="T77" s="36">
        <v>4.8000000000000001E-2</v>
      </c>
    </row>
    <row r="78" spans="1:20" outlineLevel="1">
      <c r="B78" s="28" t="s">
        <v>441</v>
      </c>
      <c r="C78" s="29"/>
      <c r="D78" s="29"/>
      <c r="E78" s="36">
        <v>4.574818389764472E-2</v>
      </c>
      <c r="F78" s="36">
        <v>5.0140341923960191E-2</v>
      </c>
      <c r="G78" s="36">
        <v>4.8526103039316627E-2</v>
      </c>
      <c r="H78" s="36">
        <v>4.7111257840871577E-2</v>
      </c>
      <c r="I78" s="36">
        <v>4.8613803799922452E-2</v>
      </c>
      <c r="J78" s="36">
        <v>4.7638662251865464E-2</v>
      </c>
      <c r="K78" s="36">
        <v>4.8000000000000001E-2</v>
      </c>
      <c r="L78" s="36">
        <v>4.8000000000000001E-2</v>
      </c>
      <c r="M78" s="36">
        <v>4.8000000000000001E-2</v>
      </c>
      <c r="N78" s="36">
        <v>4.8000000000000001E-2</v>
      </c>
      <c r="O78" s="36">
        <v>4.8000000000000001E-2</v>
      </c>
      <c r="P78" s="36">
        <v>4.8000000000000001E-2</v>
      </c>
      <c r="Q78" s="36">
        <v>4.8000000000000001E-2</v>
      </c>
      <c r="R78" s="36">
        <v>4.8000000000000001E-2</v>
      </c>
      <c r="S78" s="36">
        <v>4.8000000000000001E-2</v>
      </c>
      <c r="T78" s="36">
        <v>4.8000000000000001E-2</v>
      </c>
    </row>
    <row r="79" spans="1:20" outlineLevel="1">
      <c r="B79" s="28" t="s">
        <v>29</v>
      </c>
      <c r="C79" s="29"/>
      <c r="D79" s="29"/>
      <c r="E79" s="36">
        <v>4.574818389764472E-2</v>
      </c>
      <c r="F79" s="36">
        <v>5.0140341923960191E-2</v>
      </c>
      <c r="G79" s="36">
        <v>4.8526103039316627E-2</v>
      </c>
      <c r="H79" s="36">
        <v>4.7111257840871577E-2</v>
      </c>
      <c r="I79" s="36">
        <v>4.8613803799922452E-2</v>
      </c>
      <c r="J79" s="36">
        <v>4.7638662251865464E-2</v>
      </c>
      <c r="K79" s="36">
        <v>4.8000000000000001E-2</v>
      </c>
      <c r="L79" s="36">
        <v>4.8000000000000001E-2</v>
      </c>
      <c r="M79" s="36">
        <v>4.8000000000000001E-2</v>
      </c>
      <c r="N79" s="36">
        <v>4.8000000000000001E-2</v>
      </c>
      <c r="O79" s="36">
        <v>4.8000000000000001E-2</v>
      </c>
      <c r="P79" s="36">
        <v>4.8000000000000001E-2</v>
      </c>
      <c r="Q79" s="36">
        <v>4.8000000000000001E-2</v>
      </c>
      <c r="R79" s="36">
        <v>4.8000000000000001E-2</v>
      </c>
      <c r="S79" s="36">
        <v>4.8000000000000001E-2</v>
      </c>
      <c r="T79" s="36">
        <v>4.8000000000000001E-2</v>
      </c>
    </row>
    <row r="80" spans="1:20" outlineLevel="1">
      <c r="B80" s="18" t="str">
        <f>"Current Case- "&amp;CHOOSE($K$4,$B$16,$B$17,$B$18)</f>
        <v>Current Case- Management Case</v>
      </c>
      <c r="C80" s="17"/>
      <c r="D80" s="17"/>
      <c r="E80" s="37">
        <f t="shared" ref="E80:J80" si="36">CHOOSE($K$4,E77,E78,E79)</f>
        <v>4.574818389764472E-2</v>
      </c>
      <c r="F80" s="37">
        <f t="shared" si="36"/>
        <v>5.0140341923960191E-2</v>
      </c>
      <c r="G80" s="37">
        <f t="shared" si="36"/>
        <v>4.8526103039316627E-2</v>
      </c>
      <c r="H80" s="37">
        <f t="shared" si="36"/>
        <v>4.7111257840871577E-2</v>
      </c>
      <c r="I80" s="37">
        <f t="shared" si="36"/>
        <v>4.8613803799922452E-2</v>
      </c>
      <c r="J80" s="37">
        <f t="shared" si="36"/>
        <v>4.7638662251865464E-2</v>
      </c>
      <c r="K80" s="37">
        <f>CHOOSE($K$4,K77,K78,K79)</f>
        <v>4.8000000000000001E-2</v>
      </c>
      <c r="L80" s="37">
        <f t="shared" ref="L80" si="37">CHOOSE($K$4,L77,L78,L79)</f>
        <v>4.8000000000000001E-2</v>
      </c>
      <c r="M80" s="37">
        <f t="shared" ref="M80" si="38">CHOOSE($K$4,M77,M78,M79)</f>
        <v>4.8000000000000001E-2</v>
      </c>
      <c r="N80" s="37">
        <f t="shared" ref="N80" si="39">CHOOSE($K$4,N77,N78,N79)</f>
        <v>4.8000000000000001E-2</v>
      </c>
      <c r="O80" s="37">
        <f t="shared" ref="O80:T80" si="40">CHOOSE($K$4,O77,O78,O79)</f>
        <v>4.8000000000000001E-2</v>
      </c>
      <c r="P80" s="37">
        <f t="shared" si="40"/>
        <v>4.8000000000000001E-2</v>
      </c>
      <c r="Q80" s="37">
        <f t="shared" si="40"/>
        <v>4.8000000000000001E-2</v>
      </c>
      <c r="R80" s="37">
        <f t="shared" si="40"/>
        <v>4.8000000000000001E-2</v>
      </c>
      <c r="S80" s="37">
        <f t="shared" si="40"/>
        <v>4.8000000000000001E-2</v>
      </c>
      <c r="T80" s="37">
        <f t="shared" si="40"/>
        <v>4.8000000000000001E-2</v>
      </c>
    </row>
    <row r="81" spans="1:20" outlineLevel="1"/>
    <row r="82" spans="1:20" outlineLevel="1">
      <c r="B82" s="34" t="s">
        <v>516</v>
      </c>
      <c r="C82" s="35"/>
      <c r="D82" s="35"/>
      <c r="E82" s="35"/>
      <c r="F82" s="35"/>
      <c r="G82" s="35"/>
      <c r="H82" s="35"/>
      <c r="I82" s="35"/>
      <c r="J82" s="35"/>
      <c r="K82" s="35"/>
      <c r="L82" s="35"/>
      <c r="M82" s="35"/>
      <c r="N82" s="35"/>
      <c r="O82" s="35"/>
      <c r="P82" s="35"/>
      <c r="Q82" s="35"/>
      <c r="R82" s="35"/>
      <c r="S82" s="35"/>
      <c r="T82" s="35"/>
    </row>
    <row r="83" spans="1:20" outlineLevel="1">
      <c r="B83" s="28" t="s">
        <v>28</v>
      </c>
      <c r="C83" s="29"/>
      <c r="D83" s="29"/>
      <c r="E83" s="36">
        <v>0.24741723851896538</v>
      </c>
      <c r="F83" s="36">
        <v>0.23169175810155651</v>
      </c>
      <c r="G83" s="36">
        <v>0.21563131602028754</v>
      </c>
      <c r="H83" s="36">
        <v>0.19579068999669857</v>
      </c>
      <c r="I83" s="36">
        <v>0.23368230580328292</v>
      </c>
      <c r="J83" s="36">
        <v>0.23153942428035043</v>
      </c>
      <c r="K83" s="36">
        <v>0.23200000000000001</v>
      </c>
      <c r="L83" s="36">
        <v>0.23200000000000001</v>
      </c>
      <c r="M83" s="36">
        <v>0.23200000000000001</v>
      </c>
      <c r="N83" s="36">
        <v>0.23200000000000001</v>
      </c>
      <c r="O83" s="36">
        <v>0.23200000000000001</v>
      </c>
      <c r="P83" s="36">
        <v>0.23200000000000001</v>
      </c>
      <c r="Q83" s="36">
        <v>0.23200000000000001</v>
      </c>
      <c r="R83" s="36">
        <v>0.23200000000000001</v>
      </c>
      <c r="S83" s="36">
        <v>0.23200000000000001</v>
      </c>
      <c r="T83" s="36">
        <v>0.23200000000000001</v>
      </c>
    </row>
    <row r="84" spans="1:20" outlineLevel="1">
      <c r="B84" s="28" t="s">
        <v>441</v>
      </c>
      <c r="C84" s="29"/>
      <c r="D84" s="29"/>
      <c r="E84" s="36">
        <v>0.24741723851896538</v>
      </c>
      <c r="F84" s="36">
        <v>0.23169175810155651</v>
      </c>
      <c r="G84" s="36">
        <v>0.21563131602028754</v>
      </c>
      <c r="H84" s="36">
        <v>0.19579068999669857</v>
      </c>
      <c r="I84" s="36">
        <v>0.23368230580328292</v>
      </c>
      <c r="J84" s="36">
        <v>0.23153942428035043</v>
      </c>
      <c r="K84" s="36">
        <v>0.23200000000000001</v>
      </c>
      <c r="L84" s="36">
        <v>0.23200000000000001</v>
      </c>
      <c r="M84" s="36">
        <v>0.23200000000000001</v>
      </c>
      <c r="N84" s="36">
        <v>0.23200000000000001</v>
      </c>
      <c r="O84" s="36">
        <v>0.23200000000000001</v>
      </c>
      <c r="P84" s="36">
        <v>0.23200000000000001</v>
      </c>
      <c r="Q84" s="36">
        <v>0.23200000000000001</v>
      </c>
      <c r="R84" s="36">
        <v>0.23200000000000001</v>
      </c>
      <c r="S84" s="36">
        <v>0.23200000000000001</v>
      </c>
      <c r="T84" s="36">
        <v>0.23200000000000001</v>
      </c>
    </row>
    <row r="85" spans="1:20" outlineLevel="1">
      <c r="B85" s="28" t="s">
        <v>29</v>
      </c>
      <c r="C85" s="29"/>
      <c r="D85" s="29"/>
      <c r="E85" s="36">
        <v>0.24741723851896538</v>
      </c>
      <c r="F85" s="36">
        <v>0.23169175810155651</v>
      </c>
      <c r="G85" s="36">
        <v>0.21563131602028754</v>
      </c>
      <c r="H85" s="36">
        <v>0.19579068999669857</v>
      </c>
      <c r="I85" s="36">
        <v>0.23368230580328292</v>
      </c>
      <c r="J85" s="36">
        <v>0.23153942428035043</v>
      </c>
      <c r="K85" s="36">
        <v>0.23200000000000001</v>
      </c>
      <c r="L85" s="36">
        <v>0.23200000000000001</v>
      </c>
      <c r="M85" s="36">
        <v>0.23200000000000001</v>
      </c>
      <c r="N85" s="36">
        <v>0.23200000000000001</v>
      </c>
      <c r="O85" s="36">
        <v>0.23200000000000001</v>
      </c>
      <c r="P85" s="36">
        <v>0.23200000000000001</v>
      </c>
      <c r="Q85" s="36">
        <v>0.23200000000000001</v>
      </c>
      <c r="R85" s="36">
        <v>0.23200000000000001</v>
      </c>
      <c r="S85" s="36">
        <v>0.23200000000000001</v>
      </c>
      <c r="T85" s="36">
        <v>0.23200000000000001</v>
      </c>
    </row>
    <row r="86" spans="1:20" outlineLevel="1">
      <c r="B86" s="18" t="str">
        <f>"Current Case- "&amp;CHOOSE($K$4,$B$16,$B$17,$B$18)</f>
        <v>Current Case- Management Case</v>
      </c>
      <c r="C86" s="17"/>
      <c r="D86" s="17"/>
      <c r="E86" s="37">
        <f t="shared" ref="E86" si="41">CHOOSE($K$4,E83,E84,E85)</f>
        <v>0.24741723851896538</v>
      </c>
      <c r="F86" s="37">
        <f t="shared" ref="F86" si="42">CHOOSE($K$4,F83,F84,F85)</f>
        <v>0.23169175810155651</v>
      </c>
      <c r="G86" s="37">
        <f t="shared" ref="G86" si="43">CHOOSE($K$4,G83,G84,G85)</f>
        <v>0.21563131602028754</v>
      </c>
      <c r="H86" s="37">
        <f t="shared" ref="H86" si="44">CHOOSE($K$4,H83,H84,H85)</f>
        <v>0.19579068999669857</v>
      </c>
      <c r="I86" s="37">
        <f t="shared" ref="I86" si="45">CHOOSE($K$4,I83,I84,I85)</f>
        <v>0.23368230580328292</v>
      </c>
      <c r="J86" s="37">
        <f t="shared" ref="J86" si="46">CHOOSE($K$4,J83,J84,J85)</f>
        <v>0.23153942428035043</v>
      </c>
      <c r="K86" s="37">
        <f>CHOOSE($K$4,K83,K84,K85)</f>
        <v>0.23200000000000001</v>
      </c>
      <c r="L86" s="37">
        <f t="shared" ref="L86:O86" si="47">CHOOSE($K$4,L83,L84,L85)</f>
        <v>0.23200000000000001</v>
      </c>
      <c r="M86" s="37">
        <f t="shared" si="47"/>
        <v>0.23200000000000001</v>
      </c>
      <c r="N86" s="37">
        <f t="shared" si="47"/>
        <v>0.23200000000000001</v>
      </c>
      <c r="O86" s="37">
        <f t="shared" si="47"/>
        <v>0.23200000000000001</v>
      </c>
      <c r="P86" s="37">
        <f t="shared" ref="P86:T86" si="48">CHOOSE($K$4,P83,P84,P85)</f>
        <v>0.23200000000000001</v>
      </c>
      <c r="Q86" s="37">
        <f t="shared" si="48"/>
        <v>0.23200000000000001</v>
      </c>
      <c r="R86" s="37">
        <f t="shared" si="48"/>
        <v>0.23200000000000001</v>
      </c>
      <c r="S86" s="37">
        <f t="shared" si="48"/>
        <v>0.23200000000000001</v>
      </c>
      <c r="T86" s="37">
        <f t="shared" si="48"/>
        <v>0.23200000000000001</v>
      </c>
    </row>
    <row r="88" spans="1:20" ht="18">
      <c r="A88" t="s">
        <v>27</v>
      </c>
      <c r="B88" s="22" t="s">
        <v>34</v>
      </c>
      <c r="C88" s="21"/>
      <c r="D88" s="21"/>
      <c r="E88" s="21"/>
      <c r="F88" s="21"/>
      <c r="G88" s="21"/>
      <c r="H88" s="21"/>
      <c r="I88" s="21"/>
      <c r="J88" s="21"/>
      <c r="K88" s="21"/>
      <c r="L88" s="21"/>
      <c r="M88" s="21"/>
      <c r="N88" s="21"/>
      <c r="O88" s="21"/>
      <c r="P88" s="21"/>
      <c r="Q88" s="21"/>
      <c r="R88" s="21"/>
      <c r="S88" s="21"/>
      <c r="T88" s="21"/>
    </row>
    <row r="89" spans="1:20" outlineLevel="1"/>
    <row r="90" spans="1:20" outlineLevel="1">
      <c r="B90" s="34" t="s">
        <v>33</v>
      </c>
      <c r="C90" s="35"/>
      <c r="D90" s="35"/>
      <c r="E90" s="35"/>
      <c r="F90" s="35"/>
      <c r="G90" s="35"/>
      <c r="H90" s="35"/>
      <c r="I90" s="35"/>
      <c r="J90" s="35"/>
      <c r="K90" s="35"/>
      <c r="L90" s="35"/>
      <c r="M90" s="35"/>
      <c r="N90" s="35"/>
      <c r="O90" s="35"/>
      <c r="P90" s="35"/>
      <c r="Q90" s="35"/>
      <c r="R90" s="35"/>
      <c r="S90" s="35"/>
      <c r="T90" s="35"/>
    </row>
    <row r="91" spans="1:20" outlineLevel="1">
      <c r="B91" s="28" t="s">
        <v>28</v>
      </c>
      <c r="C91" s="29"/>
      <c r="D91" s="29"/>
      <c r="E91" s="29"/>
      <c r="F91" s="29"/>
      <c r="G91" s="29"/>
      <c r="H91" s="29"/>
      <c r="I91" s="29"/>
      <c r="J91" s="30"/>
      <c r="K91" s="31">
        <v>0.3</v>
      </c>
      <c r="L91" s="31">
        <v>0.3</v>
      </c>
      <c r="M91" s="31">
        <v>0.3</v>
      </c>
      <c r="N91" s="31">
        <v>0.3</v>
      </c>
      <c r="O91" s="31">
        <v>0.3</v>
      </c>
      <c r="P91" s="31">
        <v>0.3</v>
      </c>
      <c r="Q91" s="31">
        <v>0.3</v>
      </c>
      <c r="R91" s="31">
        <v>0.3</v>
      </c>
      <c r="S91" s="31">
        <v>0.3</v>
      </c>
      <c r="T91" s="31">
        <v>0.3</v>
      </c>
    </row>
    <row r="92" spans="1:20" outlineLevel="1">
      <c r="B92" s="28" t="s">
        <v>441</v>
      </c>
      <c r="C92" s="29"/>
      <c r="D92" s="29"/>
      <c r="E92" s="29"/>
      <c r="F92" s="29"/>
      <c r="G92" s="29"/>
      <c r="H92" s="29"/>
      <c r="I92" s="29"/>
      <c r="J92" s="30"/>
      <c r="K92" s="31">
        <v>0.3</v>
      </c>
      <c r="L92" s="31">
        <v>0.3</v>
      </c>
      <c r="M92" s="31">
        <v>0.3</v>
      </c>
      <c r="N92" s="31">
        <v>0.3</v>
      </c>
      <c r="O92" s="31">
        <v>0.3</v>
      </c>
      <c r="P92" s="31">
        <v>0.3</v>
      </c>
      <c r="Q92" s="31">
        <v>0.3</v>
      </c>
      <c r="R92" s="31">
        <v>0.3</v>
      </c>
      <c r="S92" s="31">
        <v>0.3</v>
      </c>
      <c r="T92" s="31">
        <v>0.3</v>
      </c>
    </row>
    <row r="93" spans="1:20" outlineLevel="1">
      <c r="B93" s="28" t="s">
        <v>29</v>
      </c>
      <c r="C93" s="29"/>
      <c r="D93" s="29"/>
      <c r="E93" s="29"/>
      <c r="F93" s="29"/>
      <c r="G93" s="29"/>
      <c r="H93" s="29"/>
      <c r="I93" s="29"/>
      <c r="J93" s="30"/>
      <c r="K93" s="31">
        <v>0.3</v>
      </c>
      <c r="L93" s="31">
        <v>0.3</v>
      </c>
      <c r="M93" s="31">
        <v>0.3</v>
      </c>
      <c r="N93" s="31">
        <v>0.3</v>
      </c>
      <c r="O93" s="31">
        <v>0.3</v>
      </c>
      <c r="P93" s="31">
        <v>0.3</v>
      </c>
      <c r="Q93" s="31">
        <v>0.3</v>
      </c>
      <c r="R93" s="31">
        <v>0.3</v>
      </c>
      <c r="S93" s="31">
        <v>0.3</v>
      </c>
      <c r="T93" s="31">
        <v>0.3</v>
      </c>
    </row>
    <row r="94" spans="1:20" outlineLevel="1">
      <c r="B94" s="18" t="str">
        <f>"Current Case- "&amp;CHOOSE($K$4,$B$16,$B$17,$B$18)</f>
        <v>Current Case- Management Case</v>
      </c>
      <c r="C94" s="17"/>
      <c r="D94" s="17"/>
      <c r="E94" s="17"/>
      <c r="F94" s="17"/>
      <c r="G94" s="17"/>
      <c r="H94" s="17"/>
      <c r="I94" s="17"/>
      <c r="J94" s="32"/>
      <c r="K94" s="33">
        <f>CHOOSE($K$4,K91,K92,K93)</f>
        <v>0.3</v>
      </c>
      <c r="L94" s="33">
        <f t="shared" ref="L94" si="49">CHOOSE($K$4,L91,L92,L93)</f>
        <v>0.3</v>
      </c>
      <c r="M94" s="33">
        <f t="shared" ref="M94" si="50">CHOOSE($K$4,M91,M92,M93)</f>
        <v>0.3</v>
      </c>
      <c r="N94" s="33">
        <f t="shared" ref="N94" si="51">CHOOSE($K$4,N91,N92,N93)</f>
        <v>0.3</v>
      </c>
      <c r="O94" s="33">
        <f t="shared" ref="O94:T94" si="52">CHOOSE($K$4,O91,O92,O93)</f>
        <v>0.3</v>
      </c>
      <c r="P94" s="33">
        <f t="shared" si="52"/>
        <v>0.3</v>
      </c>
      <c r="Q94" s="33">
        <f t="shared" si="52"/>
        <v>0.3</v>
      </c>
      <c r="R94" s="33">
        <f t="shared" si="52"/>
        <v>0.3</v>
      </c>
      <c r="S94" s="33">
        <f t="shared" si="52"/>
        <v>0.3</v>
      </c>
      <c r="T94" s="33">
        <f t="shared" si="52"/>
        <v>0.3</v>
      </c>
    </row>
    <row r="96" spans="1:20" ht="18">
      <c r="A96" t="s">
        <v>27</v>
      </c>
      <c r="B96" s="22" t="s">
        <v>35</v>
      </c>
      <c r="C96" s="21"/>
      <c r="D96" s="21"/>
      <c r="E96" s="21"/>
      <c r="F96" s="21"/>
      <c r="G96" s="21"/>
      <c r="H96" s="21"/>
      <c r="I96" s="21"/>
      <c r="J96" s="21"/>
      <c r="K96" s="21"/>
      <c r="L96" s="21"/>
      <c r="M96" s="21"/>
      <c r="N96" s="21"/>
      <c r="O96" s="21"/>
      <c r="P96" s="21"/>
      <c r="Q96" s="21"/>
      <c r="R96" s="21"/>
      <c r="S96" s="21"/>
      <c r="T96" s="21"/>
    </row>
    <row r="97" spans="2:20" outlineLevel="1"/>
    <row r="98" spans="2:20" outlineLevel="1">
      <c r="B98" s="34" t="s">
        <v>589</v>
      </c>
      <c r="C98" s="35"/>
      <c r="D98" s="35"/>
      <c r="E98" s="35"/>
      <c r="F98" s="35"/>
      <c r="G98" s="35"/>
      <c r="H98" s="35"/>
      <c r="I98" s="35"/>
      <c r="J98" s="35"/>
      <c r="K98" s="35"/>
      <c r="L98" s="35"/>
      <c r="M98" s="35"/>
      <c r="N98" s="35"/>
      <c r="O98" s="35"/>
      <c r="P98" s="35"/>
      <c r="Q98" s="35"/>
      <c r="R98" s="35"/>
      <c r="S98" s="35"/>
      <c r="T98" s="35"/>
    </row>
    <row r="99" spans="2:20" outlineLevel="1">
      <c r="B99" s="28" t="s">
        <v>28</v>
      </c>
      <c r="C99" s="29"/>
      <c r="D99" s="29"/>
      <c r="E99" s="29"/>
      <c r="F99" s="29"/>
      <c r="G99" s="29"/>
      <c r="H99" s="29"/>
      <c r="I99" s="29"/>
      <c r="J99" s="30"/>
      <c r="K99" s="31">
        <f>'Assumptions Working'!L1001</f>
        <v>0.19567263817291081</v>
      </c>
      <c r="L99" s="31">
        <f>'Assumptions Working'!M1001</f>
        <v>0.17802608070082981</v>
      </c>
      <c r="M99" s="31">
        <f>'Assumptions Working'!N1001</f>
        <v>0.16452852005836993</v>
      </c>
      <c r="N99" s="31">
        <f>'Assumptions Working'!O1001</f>
        <v>0.15393871991733432</v>
      </c>
      <c r="O99" s="31">
        <f>'Assumptions Working'!P1001</f>
        <v>0.14546671630819108</v>
      </c>
      <c r="P99" s="31">
        <f>'Assumptions Working'!V1001</f>
        <v>0</v>
      </c>
      <c r="Q99" s="31">
        <f>'Assumptions Working'!W1001</f>
        <v>0</v>
      </c>
      <c r="R99" s="31">
        <f>'Assumptions Working'!X1001</f>
        <v>0</v>
      </c>
      <c r="S99" s="31">
        <f>'Assumptions Working'!Y1001</f>
        <v>0</v>
      </c>
      <c r="T99" s="31">
        <f>'Assumptions Working'!Z1001</f>
        <v>0</v>
      </c>
    </row>
    <row r="100" spans="2:20" outlineLevel="1">
      <c r="B100" s="28" t="s">
        <v>441</v>
      </c>
      <c r="C100" s="29"/>
      <c r="D100" s="29"/>
      <c r="E100" s="29"/>
      <c r="F100" s="29"/>
      <c r="G100" s="29"/>
      <c r="H100" s="29"/>
      <c r="I100" s="29"/>
      <c r="J100" s="30"/>
      <c r="K100" s="31">
        <v>0.19567263817291081</v>
      </c>
      <c r="L100" s="31">
        <v>0.17802608070082981</v>
      </c>
      <c r="M100" s="31">
        <v>0.16452852005836993</v>
      </c>
      <c r="N100" s="31">
        <v>0.15393871991733432</v>
      </c>
      <c r="O100" s="31">
        <v>0.14546671630819108</v>
      </c>
      <c r="P100" s="31">
        <v>0.14546671630819108</v>
      </c>
      <c r="Q100" s="31">
        <v>0.14546671630819108</v>
      </c>
      <c r="R100" s="31">
        <v>0.14546671630819108</v>
      </c>
      <c r="S100" s="31">
        <v>0.14546671630819108</v>
      </c>
      <c r="T100" s="31">
        <v>0.14546671630819108</v>
      </c>
    </row>
    <row r="101" spans="2:20" outlineLevel="1">
      <c r="B101" s="28" t="s">
        <v>29</v>
      </c>
      <c r="C101" s="29"/>
      <c r="D101" s="29"/>
      <c r="E101" s="29"/>
      <c r="F101" s="29"/>
      <c r="G101" s="29"/>
      <c r="H101" s="29"/>
      <c r="I101" s="29"/>
      <c r="J101" s="30"/>
      <c r="K101" s="31">
        <v>0.19567263817291081</v>
      </c>
      <c r="L101" s="31">
        <v>0.17802608070082981</v>
      </c>
      <c r="M101" s="31">
        <v>0.16452852005836993</v>
      </c>
      <c r="N101" s="31">
        <v>0.15393871991733432</v>
      </c>
      <c r="O101" s="31">
        <v>0.14546671630819108</v>
      </c>
      <c r="P101" s="31">
        <v>0.14546671630819108</v>
      </c>
      <c r="Q101" s="31">
        <v>0.14546671630819108</v>
      </c>
      <c r="R101" s="31">
        <v>0.14546671630819108</v>
      </c>
      <c r="S101" s="31">
        <v>0.14546671630819108</v>
      </c>
      <c r="T101" s="31">
        <v>0.14546671630819108</v>
      </c>
    </row>
    <row r="102" spans="2:20" outlineLevel="1">
      <c r="B102" s="18" t="str">
        <f>"Current Case- "&amp;CHOOSE($K$4,$B$16,$B$17,$B$18)</f>
        <v>Current Case- Management Case</v>
      </c>
      <c r="C102" s="17"/>
      <c r="D102" s="17"/>
      <c r="E102" s="17"/>
      <c r="F102" s="17"/>
      <c r="G102" s="17"/>
      <c r="H102" s="17"/>
      <c r="I102" s="17"/>
      <c r="J102" s="32"/>
      <c r="K102" s="33">
        <f>CHOOSE($K$4,K99,K100,K101)</f>
        <v>0.19567263817291081</v>
      </c>
      <c r="L102" s="33">
        <f t="shared" ref="L102" si="53">CHOOSE($K$4,L99,L100,L101)</f>
        <v>0.17802608070082981</v>
      </c>
      <c r="M102" s="33">
        <f t="shared" ref="M102" si="54">CHOOSE($K$4,M99,M100,M101)</f>
        <v>0.16452852005836993</v>
      </c>
      <c r="N102" s="33">
        <f t="shared" ref="N102" si="55">CHOOSE($K$4,N99,N100,N101)</f>
        <v>0.15393871991733432</v>
      </c>
      <c r="O102" s="33">
        <f t="shared" ref="O102:T102" si="56">CHOOSE($K$4,O99,O100,O101)</f>
        <v>0.14546671630819108</v>
      </c>
      <c r="P102" s="33">
        <f t="shared" si="56"/>
        <v>0</v>
      </c>
      <c r="Q102" s="33">
        <f t="shared" si="56"/>
        <v>0</v>
      </c>
      <c r="R102" s="33">
        <f t="shared" si="56"/>
        <v>0</v>
      </c>
      <c r="S102" s="33">
        <f t="shared" si="56"/>
        <v>0</v>
      </c>
      <c r="T102" s="33">
        <f t="shared" si="56"/>
        <v>0</v>
      </c>
    </row>
    <row r="103" spans="2:20" outlineLevel="1"/>
    <row r="104" spans="2:20" outlineLevel="1">
      <c r="B104" s="34" t="s">
        <v>591</v>
      </c>
      <c r="C104" s="35"/>
      <c r="D104" s="35"/>
      <c r="E104" s="35"/>
      <c r="F104" s="35"/>
      <c r="G104" s="35"/>
      <c r="H104" s="35"/>
      <c r="I104" s="35"/>
      <c r="J104" s="35"/>
      <c r="K104" s="322"/>
      <c r="L104" s="322"/>
      <c r="M104" s="322"/>
      <c r="N104" s="322"/>
      <c r="O104" s="322"/>
      <c r="P104" s="322"/>
      <c r="Q104" s="322"/>
      <c r="R104" s="322"/>
      <c r="S104" s="322"/>
      <c r="T104" s="322"/>
    </row>
    <row r="105" spans="2:20" outlineLevel="1">
      <c r="B105" s="28" t="s">
        <v>28</v>
      </c>
      <c r="C105" s="29"/>
      <c r="D105" s="29"/>
      <c r="E105" s="29"/>
      <c r="F105" s="29"/>
      <c r="G105" s="29"/>
      <c r="H105" s="29"/>
      <c r="I105" s="29"/>
      <c r="J105" s="30"/>
      <c r="K105" s="31">
        <v>0.02</v>
      </c>
      <c r="L105" s="31">
        <v>0.02</v>
      </c>
      <c r="M105" s="31">
        <v>0.02</v>
      </c>
      <c r="N105" s="31">
        <v>0.02</v>
      </c>
      <c r="O105" s="31">
        <v>0.02</v>
      </c>
      <c r="P105" s="31">
        <v>0.02</v>
      </c>
      <c r="Q105" s="31">
        <v>0.02</v>
      </c>
      <c r="R105" s="31">
        <v>0.02</v>
      </c>
      <c r="S105" s="31">
        <v>0.02</v>
      </c>
      <c r="T105" s="31">
        <v>0.02</v>
      </c>
    </row>
    <row r="106" spans="2:20" outlineLevel="1">
      <c r="B106" s="28" t="s">
        <v>441</v>
      </c>
      <c r="C106" s="29"/>
      <c r="D106" s="29"/>
      <c r="E106" s="29"/>
      <c r="F106" s="29"/>
      <c r="G106" s="29"/>
      <c r="H106" s="29"/>
      <c r="I106" s="29"/>
      <c r="J106" s="30"/>
      <c r="K106" s="31">
        <v>0.02</v>
      </c>
      <c r="L106" s="31">
        <v>0.02</v>
      </c>
      <c r="M106" s="31">
        <v>0.02</v>
      </c>
      <c r="N106" s="31">
        <v>0.02</v>
      </c>
      <c r="O106" s="31">
        <v>0.02</v>
      </c>
      <c r="P106" s="31">
        <v>0.02</v>
      </c>
      <c r="Q106" s="31">
        <v>0.02</v>
      </c>
      <c r="R106" s="31">
        <v>0.02</v>
      </c>
      <c r="S106" s="31">
        <v>0.02</v>
      </c>
      <c r="T106" s="31">
        <v>0.02</v>
      </c>
    </row>
    <row r="107" spans="2:20" outlineLevel="1">
      <c r="B107" s="28" t="s">
        <v>29</v>
      </c>
      <c r="C107" s="29"/>
      <c r="D107" s="29"/>
      <c r="E107" s="29"/>
      <c r="F107" s="29"/>
      <c r="G107" s="29"/>
      <c r="H107" s="29"/>
      <c r="I107" s="29"/>
      <c r="J107" s="30"/>
      <c r="K107" s="31">
        <v>0.02</v>
      </c>
      <c r="L107" s="31">
        <v>0.02</v>
      </c>
      <c r="M107" s="31">
        <v>0.02</v>
      </c>
      <c r="N107" s="31">
        <v>0.02</v>
      </c>
      <c r="O107" s="31">
        <v>0.02</v>
      </c>
      <c r="P107" s="31">
        <v>0.02</v>
      </c>
      <c r="Q107" s="31">
        <v>0.02</v>
      </c>
      <c r="R107" s="31">
        <v>0.02</v>
      </c>
      <c r="S107" s="31">
        <v>0.02</v>
      </c>
      <c r="T107" s="31">
        <v>0.02</v>
      </c>
    </row>
    <row r="108" spans="2:20" outlineLevel="1">
      <c r="B108" s="18" t="str">
        <f>"Current Case- "&amp;CHOOSE($K$4,$B$16,$B$17,$B$18)</f>
        <v>Current Case- Management Case</v>
      </c>
      <c r="C108" s="17"/>
      <c r="D108" s="17"/>
      <c r="E108" s="17"/>
      <c r="F108" s="17"/>
      <c r="G108" s="17"/>
      <c r="H108" s="17"/>
      <c r="I108" s="17"/>
      <c r="J108" s="32"/>
      <c r="K108" s="33">
        <f>CHOOSE($K$4,K105,K106,K107)</f>
        <v>0.02</v>
      </c>
      <c r="L108" s="33">
        <f t="shared" ref="L108:O108" si="57">CHOOSE($K$4,L105,L106,L107)</f>
        <v>0.02</v>
      </c>
      <c r="M108" s="33">
        <f t="shared" si="57"/>
        <v>0.02</v>
      </c>
      <c r="N108" s="33">
        <f t="shared" si="57"/>
        <v>0.02</v>
      </c>
      <c r="O108" s="33">
        <f t="shared" si="57"/>
        <v>0.02</v>
      </c>
      <c r="P108" s="33">
        <f t="shared" ref="P108:T108" si="58">CHOOSE($K$4,P105,P106,P107)</f>
        <v>0.02</v>
      </c>
      <c r="Q108" s="33">
        <f t="shared" si="58"/>
        <v>0.02</v>
      </c>
      <c r="R108" s="33">
        <f t="shared" si="58"/>
        <v>0.02</v>
      </c>
      <c r="S108" s="33">
        <f t="shared" si="58"/>
        <v>0.02</v>
      </c>
      <c r="T108" s="33">
        <f t="shared" si="58"/>
        <v>0.02</v>
      </c>
    </row>
    <row r="109" spans="2:20" outlineLevel="1">
      <c r="B109" s="20"/>
      <c r="C109" t="s">
        <v>587</v>
      </c>
      <c r="J109" s="313"/>
      <c r="K109" s="214"/>
      <c r="L109" s="214"/>
      <c r="M109" s="214"/>
      <c r="N109" s="214"/>
      <c r="O109" s="214"/>
      <c r="P109" s="214"/>
      <c r="Q109" s="214"/>
      <c r="R109" s="214"/>
      <c r="S109" s="214"/>
      <c r="T109" s="214"/>
    </row>
    <row r="110" spans="2:20" outlineLevel="1">
      <c r="B110" s="34" t="s">
        <v>592</v>
      </c>
      <c r="C110" s="35"/>
      <c r="D110" s="35"/>
      <c r="E110" s="35"/>
      <c r="F110" s="35"/>
      <c r="G110" s="35"/>
      <c r="H110" s="35"/>
      <c r="I110" s="35"/>
      <c r="J110" s="35"/>
      <c r="K110" s="35"/>
      <c r="L110" s="35"/>
      <c r="M110" s="35"/>
      <c r="N110" s="35"/>
      <c r="O110" s="35"/>
      <c r="P110" s="35"/>
      <c r="Q110" s="35"/>
      <c r="R110" s="35"/>
      <c r="S110" s="35"/>
      <c r="T110" s="35"/>
    </row>
    <row r="111" spans="2:20" outlineLevel="1">
      <c r="B111" s="28" t="s">
        <v>28</v>
      </c>
      <c r="C111" s="29"/>
      <c r="D111" s="29"/>
      <c r="E111" s="29"/>
      <c r="F111" s="29"/>
      <c r="G111" s="29"/>
      <c r="H111" s="29"/>
      <c r="I111" s="29"/>
      <c r="J111" s="30"/>
      <c r="K111" s="31">
        <v>0</v>
      </c>
      <c r="L111" s="31">
        <v>0</v>
      </c>
      <c r="M111" s="31">
        <v>0</v>
      </c>
      <c r="N111" s="31">
        <v>0</v>
      </c>
      <c r="O111" s="31">
        <v>0</v>
      </c>
      <c r="P111" s="31">
        <v>0</v>
      </c>
      <c r="Q111" s="31">
        <v>0</v>
      </c>
      <c r="R111" s="31">
        <v>0</v>
      </c>
      <c r="S111" s="31">
        <v>0</v>
      </c>
      <c r="T111" s="31">
        <v>0</v>
      </c>
    </row>
    <row r="112" spans="2:20" outlineLevel="1">
      <c r="B112" s="28" t="s">
        <v>441</v>
      </c>
      <c r="C112" s="29"/>
      <c r="D112" s="29"/>
      <c r="E112" s="29"/>
      <c r="F112" s="29"/>
      <c r="G112" s="29"/>
      <c r="H112" s="29"/>
      <c r="I112" s="29"/>
      <c r="J112" s="30"/>
      <c r="K112" s="31">
        <v>0</v>
      </c>
      <c r="L112" s="31">
        <v>0</v>
      </c>
      <c r="M112" s="31">
        <v>0</v>
      </c>
      <c r="N112" s="31">
        <v>0</v>
      </c>
      <c r="O112" s="31">
        <v>0</v>
      </c>
      <c r="P112" s="31">
        <v>0</v>
      </c>
      <c r="Q112" s="31">
        <v>0</v>
      </c>
      <c r="R112" s="31">
        <v>0</v>
      </c>
      <c r="S112" s="31">
        <v>0</v>
      </c>
      <c r="T112" s="31">
        <v>0</v>
      </c>
    </row>
    <row r="113" spans="2:20" outlineLevel="1">
      <c r="B113" s="28" t="s">
        <v>29</v>
      </c>
      <c r="C113" s="29"/>
      <c r="D113" s="29"/>
      <c r="E113" s="29"/>
      <c r="F113" s="29"/>
      <c r="G113" s="29"/>
      <c r="H113" s="29"/>
      <c r="I113" s="29"/>
      <c r="J113" s="30"/>
      <c r="K113" s="31">
        <v>0</v>
      </c>
      <c r="L113" s="31">
        <v>0</v>
      </c>
      <c r="M113" s="31">
        <v>0</v>
      </c>
      <c r="N113" s="31">
        <v>0</v>
      </c>
      <c r="O113" s="31">
        <v>0</v>
      </c>
      <c r="P113" s="31">
        <v>0</v>
      </c>
      <c r="Q113" s="31">
        <v>0</v>
      </c>
      <c r="R113" s="31">
        <v>0</v>
      </c>
      <c r="S113" s="31">
        <v>0</v>
      </c>
      <c r="T113" s="31">
        <v>0</v>
      </c>
    </row>
    <row r="114" spans="2:20" outlineLevel="1">
      <c r="B114" s="18" t="str">
        <f>"Current Case- "&amp;CHOOSE($K$4,$B$16,$B$17,$B$18)</f>
        <v>Current Case- Management Case</v>
      </c>
      <c r="C114" s="17"/>
      <c r="D114" s="17"/>
      <c r="E114" s="17"/>
      <c r="F114" s="17"/>
      <c r="G114" s="17"/>
      <c r="H114" s="17"/>
      <c r="I114" s="17"/>
      <c r="J114" s="32"/>
      <c r="K114" s="33">
        <f>CHOOSE($K$4,K111,K112,K113)</f>
        <v>0</v>
      </c>
      <c r="L114" s="33">
        <f t="shared" ref="L114:O114" si="59">CHOOSE($K$4,L111,L112,L113)</f>
        <v>0</v>
      </c>
      <c r="M114" s="33">
        <f t="shared" si="59"/>
        <v>0</v>
      </c>
      <c r="N114" s="33">
        <f t="shared" si="59"/>
        <v>0</v>
      </c>
      <c r="O114" s="33">
        <f t="shared" si="59"/>
        <v>0</v>
      </c>
      <c r="P114" s="33">
        <f t="shared" ref="P114:T114" si="60">CHOOSE($K$4,P111,P112,P113)</f>
        <v>0</v>
      </c>
      <c r="Q114" s="33">
        <f t="shared" si="60"/>
        <v>0</v>
      </c>
      <c r="R114" s="33">
        <f t="shared" si="60"/>
        <v>0</v>
      </c>
      <c r="S114" s="33">
        <f t="shared" si="60"/>
        <v>0</v>
      </c>
      <c r="T114" s="33">
        <f t="shared" si="60"/>
        <v>0</v>
      </c>
    </row>
    <row r="115" spans="2:20" outlineLevel="1">
      <c r="B115" s="20"/>
      <c r="J115" s="313"/>
      <c r="K115" s="214"/>
      <c r="L115" s="214"/>
      <c r="M115" s="214"/>
      <c r="N115" s="214"/>
      <c r="O115" s="214"/>
      <c r="P115" s="214"/>
      <c r="Q115" s="214"/>
      <c r="R115" s="214"/>
      <c r="S115" s="214"/>
      <c r="T115" s="214"/>
    </row>
    <row r="116" spans="2:20" outlineLevel="1">
      <c r="B116" s="34" t="s">
        <v>596</v>
      </c>
      <c r="C116" s="35"/>
      <c r="D116" s="35"/>
      <c r="E116" s="35"/>
      <c r="F116" s="35"/>
      <c r="G116" s="35"/>
      <c r="H116" s="35"/>
      <c r="I116" s="35"/>
      <c r="J116" s="35"/>
      <c r="K116" s="35"/>
      <c r="L116" s="35"/>
      <c r="M116" s="35"/>
      <c r="N116" s="35"/>
      <c r="O116" s="35"/>
      <c r="P116" s="35"/>
      <c r="Q116" s="35"/>
      <c r="R116" s="35"/>
      <c r="S116" s="35"/>
      <c r="T116" s="35"/>
    </row>
    <row r="117" spans="2:20" outlineLevel="1">
      <c r="B117" s="28" t="s">
        <v>28</v>
      </c>
      <c r="C117" s="29"/>
      <c r="D117" s="29"/>
      <c r="E117" s="29"/>
      <c r="F117" s="29"/>
      <c r="G117" s="29"/>
      <c r="H117" s="29"/>
      <c r="I117" s="29"/>
      <c r="J117" s="30"/>
      <c r="K117" s="31">
        <v>0</v>
      </c>
      <c r="L117" s="31">
        <v>0</v>
      </c>
      <c r="M117" s="31">
        <v>0</v>
      </c>
      <c r="N117" s="31">
        <v>0</v>
      </c>
      <c r="O117" s="31">
        <v>0</v>
      </c>
      <c r="P117" s="31">
        <v>0</v>
      </c>
      <c r="Q117" s="31">
        <v>0</v>
      </c>
      <c r="R117" s="31">
        <v>0</v>
      </c>
      <c r="S117" s="31">
        <v>0</v>
      </c>
      <c r="T117" s="31">
        <v>0</v>
      </c>
    </row>
    <row r="118" spans="2:20" outlineLevel="1">
      <c r="B118" s="28" t="s">
        <v>441</v>
      </c>
      <c r="C118" s="29"/>
      <c r="D118" s="29"/>
      <c r="E118" s="29"/>
      <c r="F118" s="29"/>
      <c r="G118" s="29"/>
      <c r="H118" s="29"/>
      <c r="I118" s="29"/>
      <c r="J118" s="30"/>
      <c r="K118" s="31">
        <v>0</v>
      </c>
      <c r="L118" s="31">
        <v>0</v>
      </c>
      <c r="M118" s="31">
        <v>0</v>
      </c>
      <c r="N118" s="31">
        <v>0</v>
      </c>
      <c r="O118" s="31">
        <v>0</v>
      </c>
      <c r="P118" s="31">
        <v>0</v>
      </c>
      <c r="Q118" s="31">
        <v>0</v>
      </c>
      <c r="R118" s="31">
        <v>0</v>
      </c>
      <c r="S118" s="31">
        <v>0</v>
      </c>
      <c r="T118" s="31">
        <v>0</v>
      </c>
    </row>
    <row r="119" spans="2:20" outlineLevel="1">
      <c r="B119" s="28" t="s">
        <v>29</v>
      </c>
      <c r="C119" s="29"/>
      <c r="D119" s="29"/>
      <c r="E119" s="29"/>
      <c r="F119" s="29"/>
      <c r="G119" s="29"/>
      <c r="H119" s="29"/>
      <c r="I119" s="29"/>
      <c r="J119" s="30"/>
      <c r="K119" s="31">
        <v>0</v>
      </c>
      <c r="L119" s="31">
        <v>0</v>
      </c>
      <c r="M119" s="31">
        <v>0</v>
      </c>
      <c r="N119" s="31">
        <v>0</v>
      </c>
      <c r="O119" s="31">
        <v>0</v>
      </c>
      <c r="P119" s="31">
        <v>0</v>
      </c>
      <c r="Q119" s="31">
        <v>0</v>
      </c>
      <c r="R119" s="31">
        <v>0</v>
      </c>
      <c r="S119" s="31">
        <v>0</v>
      </c>
      <c r="T119" s="31">
        <v>0</v>
      </c>
    </row>
    <row r="120" spans="2:20" outlineLevel="1">
      <c r="B120" s="18" t="str">
        <f>"Current Case- "&amp;CHOOSE($K$4,$B$16,$B$17,$B$18)</f>
        <v>Current Case- Management Case</v>
      </c>
      <c r="C120" s="17"/>
      <c r="D120" s="17"/>
      <c r="E120" s="17"/>
      <c r="F120" s="17"/>
      <c r="G120" s="17"/>
      <c r="H120" s="17"/>
      <c r="I120" s="17"/>
      <c r="J120" s="32"/>
      <c r="K120" s="33">
        <f>CHOOSE($K$4,K117,K118,K119)</f>
        <v>0</v>
      </c>
      <c r="L120" s="33">
        <f>CHOOSE($K$4,L117,L118,L119)</f>
        <v>0</v>
      </c>
      <c r="M120" s="33">
        <f>CHOOSE($K$4,M117,M118,M119)</f>
        <v>0</v>
      </c>
      <c r="N120" s="33">
        <f>CHOOSE($K$4,N117,N118,N119)</f>
        <v>0</v>
      </c>
      <c r="O120" s="33">
        <f>CHOOSE($K$4,O117,O118,O119)</f>
        <v>0</v>
      </c>
      <c r="P120" s="33">
        <f t="shared" ref="P120:T120" si="61">CHOOSE($K$4,P117,P118,P119)</f>
        <v>0</v>
      </c>
      <c r="Q120" s="33">
        <f t="shared" si="61"/>
        <v>0</v>
      </c>
      <c r="R120" s="33">
        <f t="shared" si="61"/>
        <v>0</v>
      </c>
      <c r="S120" s="33">
        <f t="shared" si="61"/>
        <v>0</v>
      </c>
      <c r="T120" s="33">
        <f t="shared" si="61"/>
        <v>0</v>
      </c>
    </row>
    <row r="121" spans="2:20" outlineLevel="1">
      <c r="B121" s="20"/>
      <c r="J121" s="205"/>
      <c r="K121" s="206"/>
      <c r="L121" s="206"/>
      <c r="M121" s="206"/>
      <c r="N121" s="206"/>
      <c r="O121" s="206"/>
      <c r="P121" s="206"/>
      <c r="Q121" s="206"/>
      <c r="R121" s="206"/>
      <c r="S121" s="206"/>
      <c r="T121" s="206"/>
    </row>
    <row r="122" spans="2:20" outlineLevel="1">
      <c r="B122" s="34" t="s">
        <v>590</v>
      </c>
      <c r="C122" s="35"/>
      <c r="D122" s="35"/>
      <c r="E122" s="35"/>
      <c r="F122" s="35"/>
      <c r="G122" s="35"/>
      <c r="H122" s="35"/>
      <c r="I122" s="35"/>
      <c r="J122" s="35"/>
      <c r="K122" s="35"/>
      <c r="L122" s="35"/>
      <c r="M122" s="35"/>
      <c r="N122" s="35"/>
      <c r="O122" s="35"/>
      <c r="P122" s="35"/>
      <c r="Q122" s="35"/>
      <c r="R122" s="35"/>
      <c r="S122" s="35"/>
      <c r="T122" s="35"/>
    </row>
    <row r="123" spans="2:20" outlineLevel="1">
      <c r="B123" s="28" t="s">
        <v>28</v>
      </c>
      <c r="C123" s="29"/>
      <c r="D123" s="29"/>
      <c r="E123" s="29"/>
      <c r="F123" s="29"/>
      <c r="G123" s="29"/>
      <c r="H123" s="29"/>
      <c r="I123" s="29"/>
      <c r="J123" s="30"/>
      <c r="K123" s="31">
        <v>0.19567263817291081</v>
      </c>
      <c r="L123" s="31">
        <v>0.17802608070082981</v>
      </c>
      <c r="M123" s="31">
        <v>0.16452852005836993</v>
      </c>
      <c r="N123" s="31">
        <v>0.15393871991733432</v>
      </c>
      <c r="O123" s="31">
        <v>0.14546671630819108</v>
      </c>
      <c r="P123" s="31">
        <v>0.14546671630819108</v>
      </c>
      <c r="Q123" s="31">
        <v>0.14546671630819108</v>
      </c>
      <c r="R123" s="31">
        <v>0.14546671630819108</v>
      </c>
      <c r="S123" s="31">
        <v>0.14546671630819108</v>
      </c>
      <c r="T123" s="31">
        <v>0.14546671630819108</v>
      </c>
    </row>
    <row r="124" spans="2:20" outlineLevel="1">
      <c r="B124" s="28" t="s">
        <v>441</v>
      </c>
      <c r="C124" s="29"/>
      <c r="D124" s="29"/>
      <c r="E124" s="29"/>
      <c r="F124" s="29"/>
      <c r="G124" s="29"/>
      <c r="H124" s="29"/>
      <c r="I124" s="29"/>
      <c r="J124" s="30"/>
      <c r="K124" s="31">
        <v>0.19567263817291081</v>
      </c>
      <c r="L124" s="31">
        <v>0.17802608070082981</v>
      </c>
      <c r="M124" s="31">
        <v>0.16452852005836993</v>
      </c>
      <c r="N124" s="31">
        <v>0.15393871991733432</v>
      </c>
      <c r="O124" s="31">
        <v>0.14546671630819108</v>
      </c>
      <c r="P124" s="31">
        <v>0.14546671630819108</v>
      </c>
      <c r="Q124" s="31">
        <v>0.14546671630819108</v>
      </c>
      <c r="R124" s="31">
        <v>0.14546671630819108</v>
      </c>
      <c r="S124" s="31">
        <v>0.14546671630819108</v>
      </c>
      <c r="T124" s="31">
        <v>0.14546671630819108</v>
      </c>
    </row>
    <row r="125" spans="2:20" outlineLevel="1">
      <c r="B125" s="28" t="s">
        <v>29</v>
      </c>
      <c r="C125" s="29"/>
      <c r="D125" s="29"/>
      <c r="E125" s="29"/>
      <c r="F125" s="29"/>
      <c r="G125" s="29"/>
      <c r="H125" s="29"/>
      <c r="I125" s="29"/>
      <c r="J125" s="30"/>
      <c r="K125" s="31">
        <v>0.19567263817291081</v>
      </c>
      <c r="L125" s="31">
        <v>0.17802608070082981</v>
      </c>
      <c r="M125" s="31">
        <v>0.16452852005836993</v>
      </c>
      <c r="N125" s="31">
        <v>0.15393871991733432</v>
      </c>
      <c r="O125" s="31">
        <v>0.14546671630819108</v>
      </c>
      <c r="P125" s="31">
        <v>0.14546671630819108</v>
      </c>
      <c r="Q125" s="31">
        <v>0.14546671630819108</v>
      </c>
      <c r="R125" s="31">
        <v>0.14546671630819108</v>
      </c>
      <c r="S125" s="31">
        <v>0.14546671630819108</v>
      </c>
      <c r="T125" s="31">
        <v>0.14546671630819108</v>
      </c>
    </row>
    <row r="126" spans="2:20" outlineLevel="1">
      <c r="B126" s="18" t="str">
        <f>"Current Case- "&amp;CHOOSE($K$4,$B$16,$B$17,$B$18)</f>
        <v>Current Case- Management Case</v>
      </c>
      <c r="C126" s="17"/>
      <c r="D126" s="17"/>
      <c r="E126" s="17"/>
      <c r="F126" s="17"/>
      <c r="G126" s="17"/>
      <c r="H126" s="17"/>
      <c r="I126" s="17"/>
      <c r="J126" s="32"/>
      <c r="K126" s="33">
        <f>CHOOSE($K$4,K123,K124,K125)</f>
        <v>0.19567263817291081</v>
      </c>
      <c r="L126" s="33">
        <f>CHOOSE($K$4,L123,L124,L125)</f>
        <v>0.17802608070082981</v>
      </c>
      <c r="M126" s="33">
        <f>CHOOSE($K$4,M123,M124,M125)</f>
        <v>0.16452852005836993</v>
      </c>
      <c r="N126" s="33">
        <f>CHOOSE($K$4,N123,N124,N125)</f>
        <v>0.15393871991733432</v>
      </c>
      <c r="O126" s="33">
        <f>CHOOSE($K$4,O123,O124,O125)</f>
        <v>0.14546671630819108</v>
      </c>
      <c r="P126" s="33">
        <f t="shared" ref="P126:T126" si="62">CHOOSE($K$4,P123,P124,P125)</f>
        <v>0.14546671630819108</v>
      </c>
      <c r="Q126" s="33">
        <f t="shared" si="62"/>
        <v>0.14546671630819108</v>
      </c>
      <c r="R126" s="33">
        <f t="shared" si="62"/>
        <v>0.14546671630819108</v>
      </c>
      <c r="S126" s="33">
        <f t="shared" si="62"/>
        <v>0.14546671630819108</v>
      </c>
      <c r="T126" s="33">
        <f t="shared" si="62"/>
        <v>0.14546671630819108</v>
      </c>
    </row>
    <row r="127" spans="2:20" outlineLevel="1">
      <c r="B127" s="20"/>
      <c r="J127" s="205"/>
      <c r="K127" s="206"/>
      <c r="L127" s="206"/>
      <c r="M127" s="206"/>
      <c r="N127" s="206"/>
      <c r="O127" s="206"/>
      <c r="P127" s="206"/>
      <c r="Q127" s="206"/>
      <c r="R127" s="206"/>
      <c r="S127" s="206"/>
      <c r="T127" s="206"/>
    </row>
    <row r="128" spans="2:20" outlineLevel="1">
      <c r="B128" s="34" t="s">
        <v>598</v>
      </c>
      <c r="C128" s="35"/>
      <c r="D128" s="35"/>
      <c r="E128" s="35"/>
      <c r="F128" s="35"/>
      <c r="G128" s="35"/>
      <c r="H128" s="35"/>
      <c r="I128" s="35"/>
      <c r="J128" s="35"/>
      <c r="K128" s="35"/>
      <c r="L128" s="35"/>
      <c r="M128" s="35"/>
      <c r="N128" s="35"/>
      <c r="O128" s="35"/>
      <c r="P128" s="35"/>
      <c r="Q128" s="35"/>
      <c r="R128" s="35"/>
      <c r="S128" s="35"/>
      <c r="T128" s="35"/>
    </row>
    <row r="129" spans="2:20" outlineLevel="1">
      <c r="B129" s="28" t="s">
        <v>28</v>
      </c>
      <c r="C129" s="29"/>
      <c r="D129" s="29"/>
      <c r="E129" s="29"/>
      <c r="F129" s="29"/>
      <c r="G129" s="29"/>
      <c r="H129" s="29"/>
      <c r="I129" s="29"/>
      <c r="J129" s="30"/>
      <c r="K129" s="36">
        <v>1.4999999999999999E-2</v>
      </c>
      <c r="L129" s="36">
        <v>1.4999999999999999E-2</v>
      </c>
      <c r="M129" s="36">
        <v>1.4999999999999999E-2</v>
      </c>
      <c r="N129" s="36">
        <v>1.4999999999999999E-2</v>
      </c>
      <c r="O129" s="36">
        <v>1.4999999999999999E-2</v>
      </c>
      <c r="P129" s="36">
        <v>1.4999999999999999E-2</v>
      </c>
      <c r="Q129" s="36">
        <v>1.4999999999999999E-2</v>
      </c>
      <c r="R129" s="36">
        <v>1.4999999999999999E-2</v>
      </c>
      <c r="S129" s="36">
        <v>1.4999999999999999E-2</v>
      </c>
      <c r="T129" s="36">
        <v>1.4999999999999999E-2</v>
      </c>
    </row>
    <row r="130" spans="2:20" outlineLevel="1">
      <c r="B130" s="28" t="s">
        <v>441</v>
      </c>
      <c r="C130" s="29"/>
      <c r="D130" s="29"/>
      <c r="E130" s="29"/>
      <c r="F130" s="29"/>
      <c r="G130" s="29"/>
      <c r="H130" s="29"/>
      <c r="I130" s="29"/>
      <c r="J130" s="30"/>
      <c r="K130" s="36">
        <v>1.4999999999999999E-2</v>
      </c>
      <c r="L130" s="36">
        <v>1.4999999999999999E-2</v>
      </c>
      <c r="M130" s="36">
        <v>1.4999999999999999E-2</v>
      </c>
      <c r="N130" s="36">
        <v>1.4999999999999999E-2</v>
      </c>
      <c r="O130" s="36">
        <v>1.4999999999999999E-2</v>
      </c>
      <c r="P130" s="36">
        <v>1.4999999999999999E-2</v>
      </c>
      <c r="Q130" s="36">
        <v>1.4999999999999999E-2</v>
      </c>
      <c r="R130" s="36">
        <v>1.4999999999999999E-2</v>
      </c>
      <c r="S130" s="36">
        <v>1.4999999999999999E-2</v>
      </c>
      <c r="T130" s="36">
        <v>1.4999999999999999E-2</v>
      </c>
    </row>
    <row r="131" spans="2:20" outlineLevel="1">
      <c r="B131" s="28" t="s">
        <v>29</v>
      </c>
      <c r="C131" s="29"/>
      <c r="D131" s="29"/>
      <c r="E131" s="29"/>
      <c r="F131" s="29"/>
      <c r="G131" s="29"/>
      <c r="H131" s="29"/>
      <c r="I131" s="29"/>
      <c r="J131" s="30"/>
      <c r="K131" s="36">
        <v>1.4999999999999999E-2</v>
      </c>
      <c r="L131" s="36">
        <v>1.4999999999999999E-2</v>
      </c>
      <c r="M131" s="36">
        <v>1.4999999999999999E-2</v>
      </c>
      <c r="N131" s="36">
        <v>1.4999999999999999E-2</v>
      </c>
      <c r="O131" s="36">
        <v>1.4999999999999999E-2</v>
      </c>
      <c r="P131" s="36">
        <v>1.4999999999999999E-2</v>
      </c>
      <c r="Q131" s="36">
        <v>1.4999999999999999E-2</v>
      </c>
      <c r="R131" s="36">
        <v>1.4999999999999999E-2</v>
      </c>
      <c r="S131" s="36">
        <v>1.4999999999999999E-2</v>
      </c>
      <c r="T131" s="36">
        <v>1.4999999999999999E-2</v>
      </c>
    </row>
    <row r="132" spans="2:20" outlineLevel="1">
      <c r="B132" s="18" t="str">
        <f>"Current Case- "&amp;CHOOSE($K$4,$B$16,$B$17,$B$18)</f>
        <v>Current Case- Management Case</v>
      </c>
      <c r="C132" s="17"/>
      <c r="D132" s="17"/>
      <c r="E132" s="17"/>
      <c r="F132" s="17"/>
      <c r="G132" s="17"/>
      <c r="H132" s="17"/>
      <c r="I132" s="17"/>
      <c r="J132" s="32"/>
      <c r="K132" s="37">
        <f>CHOOSE($K$4,K129,K130,K131)</f>
        <v>1.4999999999999999E-2</v>
      </c>
      <c r="L132" s="37">
        <f>CHOOSE($K$4,L129,L130,L131)</f>
        <v>1.4999999999999999E-2</v>
      </c>
      <c r="M132" s="37">
        <f>CHOOSE($K$4,M129,M130,M131)</f>
        <v>1.4999999999999999E-2</v>
      </c>
      <c r="N132" s="37">
        <f>CHOOSE($K$4,N129,N130,N131)</f>
        <v>1.4999999999999999E-2</v>
      </c>
      <c r="O132" s="37">
        <f>CHOOSE($K$4,O129,O130,O131)</f>
        <v>1.4999999999999999E-2</v>
      </c>
      <c r="P132" s="37">
        <f t="shared" ref="P132:T132" si="63">CHOOSE($K$4,P129,P130,P131)</f>
        <v>1.4999999999999999E-2</v>
      </c>
      <c r="Q132" s="37">
        <f t="shared" si="63"/>
        <v>1.4999999999999999E-2</v>
      </c>
      <c r="R132" s="37">
        <f t="shared" si="63"/>
        <v>1.4999999999999999E-2</v>
      </c>
      <c r="S132" s="37">
        <f t="shared" si="63"/>
        <v>1.4999999999999999E-2</v>
      </c>
      <c r="T132" s="37">
        <f t="shared" si="63"/>
        <v>1.4999999999999999E-2</v>
      </c>
    </row>
    <row r="133" spans="2:20" outlineLevel="1">
      <c r="B133" s="20"/>
      <c r="J133" s="205"/>
      <c r="K133" s="206"/>
      <c r="L133" s="206"/>
      <c r="M133" s="206"/>
      <c r="N133" s="206"/>
      <c r="O133" s="206"/>
      <c r="P133" s="206"/>
      <c r="Q133" s="206"/>
      <c r="R133" s="206"/>
      <c r="S133" s="206"/>
      <c r="T133" s="206"/>
    </row>
    <row r="134" spans="2:20" outlineLevel="1">
      <c r="B134" s="34" t="s">
        <v>599</v>
      </c>
      <c r="C134" s="35"/>
      <c r="D134" s="35"/>
      <c r="E134" s="35"/>
      <c r="F134" s="35"/>
      <c r="G134" s="35"/>
      <c r="H134" s="35"/>
      <c r="I134" s="35"/>
      <c r="J134" s="35"/>
      <c r="K134" s="35"/>
      <c r="L134" s="35"/>
      <c r="M134" s="35"/>
      <c r="N134" s="35"/>
      <c r="O134" s="35"/>
      <c r="P134" s="35"/>
      <c r="Q134" s="35"/>
      <c r="R134" s="35"/>
      <c r="S134" s="35"/>
      <c r="T134" s="35"/>
    </row>
    <row r="135" spans="2:20" outlineLevel="1">
      <c r="B135" s="28" t="s">
        <v>28</v>
      </c>
      <c r="C135" s="29"/>
      <c r="D135" s="29"/>
      <c r="E135" s="29"/>
      <c r="F135" s="29"/>
      <c r="G135" s="29"/>
      <c r="H135" s="29"/>
      <c r="I135" s="29"/>
      <c r="J135" s="30"/>
      <c r="K135" s="31">
        <v>0</v>
      </c>
      <c r="L135" s="31">
        <v>0</v>
      </c>
      <c r="M135" s="31">
        <v>0</v>
      </c>
      <c r="N135" s="31">
        <v>0</v>
      </c>
      <c r="O135" s="31">
        <v>0</v>
      </c>
      <c r="P135" s="31">
        <v>0</v>
      </c>
      <c r="Q135" s="31">
        <v>0</v>
      </c>
      <c r="R135" s="31">
        <v>0</v>
      </c>
      <c r="S135" s="31">
        <v>0</v>
      </c>
      <c r="T135" s="31">
        <v>0</v>
      </c>
    </row>
    <row r="136" spans="2:20" outlineLevel="1">
      <c r="B136" s="28" t="s">
        <v>441</v>
      </c>
      <c r="C136" s="29"/>
      <c r="D136" s="29"/>
      <c r="E136" s="29"/>
      <c r="F136" s="29"/>
      <c r="G136" s="29"/>
      <c r="H136" s="29"/>
      <c r="I136" s="29"/>
      <c r="J136" s="30"/>
      <c r="K136" s="31">
        <v>0</v>
      </c>
      <c r="L136" s="31">
        <v>0</v>
      </c>
      <c r="M136" s="31">
        <v>0</v>
      </c>
      <c r="N136" s="31">
        <v>0</v>
      </c>
      <c r="O136" s="31">
        <v>0</v>
      </c>
      <c r="P136" s="31">
        <v>0</v>
      </c>
      <c r="Q136" s="31">
        <v>0</v>
      </c>
      <c r="R136" s="31">
        <v>0</v>
      </c>
      <c r="S136" s="31">
        <v>0</v>
      </c>
      <c r="T136" s="31">
        <v>0</v>
      </c>
    </row>
    <row r="137" spans="2:20" outlineLevel="1">
      <c r="B137" s="28" t="s">
        <v>29</v>
      </c>
      <c r="C137" s="29"/>
      <c r="D137" s="29"/>
      <c r="E137" s="29"/>
      <c r="F137" s="29"/>
      <c r="G137" s="29"/>
      <c r="H137" s="29"/>
      <c r="I137" s="29"/>
      <c r="J137" s="30"/>
      <c r="K137" s="31">
        <v>0</v>
      </c>
      <c r="L137" s="31">
        <v>0</v>
      </c>
      <c r="M137" s="31">
        <v>0</v>
      </c>
      <c r="N137" s="31">
        <v>0</v>
      </c>
      <c r="O137" s="31">
        <v>0</v>
      </c>
      <c r="P137" s="31">
        <v>0</v>
      </c>
      <c r="Q137" s="31">
        <v>0</v>
      </c>
      <c r="R137" s="31">
        <v>0</v>
      </c>
      <c r="S137" s="31">
        <v>0</v>
      </c>
      <c r="T137" s="31">
        <v>0</v>
      </c>
    </row>
    <row r="138" spans="2:20" outlineLevel="1">
      <c r="B138" s="18" t="str">
        <f>"Current Case- "&amp;CHOOSE($K$4,$B$16,$B$17,$B$18)</f>
        <v>Current Case- Management Case</v>
      </c>
      <c r="C138" s="17"/>
      <c r="D138" s="17"/>
      <c r="E138" s="17"/>
      <c r="F138" s="17"/>
      <c r="G138" s="17"/>
      <c r="H138" s="17"/>
      <c r="I138" s="17"/>
      <c r="J138" s="32"/>
      <c r="K138" s="33">
        <f>CHOOSE($K$4,K135,K136,K137)</f>
        <v>0</v>
      </c>
      <c r="L138" s="33">
        <f>CHOOSE($K$4,L135,L136,L137)</f>
        <v>0</v>
      </c>
      <c r="M138" s="33">
        <f>CHOOSE($K$4,M135,M136,M137)</f>
        <v>0</v>
      </c>
      <c r="N138" s="33">
        <f>CHOOSE($K$4,N135,N136,N137)</f>
        <v>0</v>
      </c>
      <c r="O138" s="33">
        <f>CHOOSE($K$4,O135,O136,O137)</f>
        <v>0</v>
      </c>
      <c r="P138" s="33">
        <f t="shared" ref="P138:T138" si="64">CHOOSE($K$4,P135,P136,P137)</f>
        <v>0</v>
      </c>
      <c r="Q138" s="33">
        <f t="shared" si="64"/>
        <v>0</v>
      </c>
      <c r="R138" s="33">
        <f t="shared" si="64"/>
        <v>0</v>
      </c>
      <c r="S138" s="33">
        <f t="shared" si="64"/>
        <v>0</v>
      </c>
      <c r="T138" s="33">
        <f t="shared" si="64"/>
        <v>0</v>
      </c>
    </row>
    <row r="139" spans="2:20" outlineLevel="1">
      <c r="B139" s="20"/>
      <c r="J139" s="205"/>
      <c r="K139" s="206"/>
      <c r="L139" s="206"/>
      <c r="M139" s="206"/>
      <c r="N139" s="206"/>
      <c r="O139" s="206"/>
      <c r="P139" s="206"/>
      <c r="Q139" s="206"/>
      <c r="R139" s="206"/>
      <c r="S139" s="206"/>
      <c r="T139" s="206"/>
    </row>
    <row r="140" spans="2:20" outlineLevel="1">
      <c r="B140" s="34" t="s">
        <v>600</v>
      </c>
      <c r="C140" s="35"/>
      <c r="D140" s="35"/>
      <c r="E140" s="35"/>
      <c r="F140" s="35"/>
      <c r="G140" s="35"/>
      <c r="H140" s="35"/>
      <c r="I140" s="35"/>
      <c r="J140" s="35"/>
      <c r="K140" s="35"/>
      <c r="L140" s="35"/>
      <c r="M140" s="35"/>
      <c r="N140" s="35"/>
      <c r="O140" s="35"/>
      <c r="P140" s="35"/>
      <c r="Q140" s="35"/>
      <c r="R140" s="35"/>
      <c r="S140" s="35"/>
      <c r="T140" s="35"/>
    </row>
    <row r="141" spans="2:20" outlineLevel="1">
      <c r="B141" s="28" t="s">
        <v>28</v>
      </c>
      <c r="C141" s="29"/>
      <c r="D141" s="29"/>
      <c r="E141" s="29"/>
      <c r="F141" s="29"/>
      <c r="G141" s="29"/>
      <c r="H141" s="29"/>
      <c r="I141" s="29"/>
      <c r="J141" s="30"/>
      <c r="K141" s="31">
        <v>0</v>
      </c>
      <c r="L141" s="31">
        <v>0</v>
      </c>
      <c r="M141" s="31">
        <v>0</v>
      </c>
      <c r="N141" s="31">
        <v>0</v>
      </c>
      <c r="O141" s="31">
        <v>0</v>
      </c>
      <c r="P141" s="31">
        <v>0</v>
      </c>
      <c r="Q141" s="31">
        <v>0</v>
      </c>
      <c r="R141" s="31">
        <v>0</v>
      </c>
      <c r="S141" s="31">
        <v>0</v>
      </c>
      <c r="T141" s="31">
        <v>0</v>
      </c>
    </row>
    <row r="142" spans="2:20" outlineLevel="1">
      <c r="B142" s="28" t="s">
        <v>441</v>
      </c>
      <c r="C142" s="29"/>
      <c r="D142" s="29"/>
      <c r="E142" s="29"/>
      <c r="F142" s="29"/>
      <c r="G142" s="29"/>
      <c r="H142" s="29"/>
      <c r="I142" s="29"/>
      <c r="J142" s="30"/>
      <c r="K142" s="31">
        <v>0</v>
      </c>
      <c r="L142" s="31">
        <v>0</v>
      </c>
      <c r="M142" s="31">
        <v>0</v>
      </c>
      <c r="N142" s="31">
        <v>0</v>
      </c>
      <c r="O142" s="31">
        <v>0</v>
      </c>
      <c r="P142" s="31">
        <v>0</v>
      </c>
      <c r="Q142" s="31">
        <v>0</v>
      </c>
      <c r="R142" s="31">
        <v>0</v>
      </c>
      <c r="S142" s="31">
        <v>0</v>
      </c>
      <c r="T142" s="31">
        <v>0</v>
      </c>
    </row>
    <row r="143" spans="2:20" outlineLevel="1">
      <c r="B143" s="28" t="s">
        <v>29</v>
      </c>
      <c r="C143" s="29"/>
      <c r="D143" s="29"/>
      <c r="E143" s="29"/>
      <c r="F143" s="29"/>
      <c r="G143" s="29"/>
      <c r="H143" s="29"/>
      <c r="I143" s="29"/>
      <c r="J143" s="30"/>
      <c r="K143" s="31">
        <v>0</v>
      </c>
      <c r="L143" s="31">
        <v>0</v>
      </c>
      <c r="M143" s="31">
        <v>0</v>
      </c>
      <c r="N143" s="31">
        <v>0</v>
      </c>
      <c r="O143" s="31">
        <v>0</v>
      </c>
      <c r="P143" s="31">
        <v>0</v>
      </c>
      <c r="Q143" s="31">
        <v>0</v>
      </c>
      <c r="R143" s="31">
        <v>0</v>
      </c>
      <c r="S143" s="31">
        <v>0</v>
      </c>
      <c r="T143" s="31">
        <v>0</v>
      </c>
    </row>
    <row r="144" spans="2:20" outlineLevel="1">
      <c r="B144" s="18" t="str">
        <f>"Current Case- "&amp;CHOOSE($K$4,$B$16,$B$17,$B$18)</f>
        <v>Current Case- Management Case</v>
      </c>
      <c r="C144" s="17"/>
      <c r="D144" s="17"/>
      <c r="E144" s="17"/>
      <c r="F144" s="17"/>
      <c r="G144" s="17"/>
      <c r="H144" s="17"/>
      <c r="I144" s="17"/>
      <c r="J144" s="32"/>
      <c r="K144" s="33">
        <f>CHOOSE($K$4,K141,K142,K143)</f>
        <v>0</v>
      </c>
      <c r="L144" s="33">
        <f>CHOOSE($K$4,L141,L142,L143)</f>
        <v>0</v>
      </c>
      <c r="M144" s="33">
        <f>CHOOSE($K$4,M141,M142,M143)</f>
        <v>0</v>
      </c>
      <c r="N144" s="33">
        <f>CHOOSE($K$4,N141,N142,N143)</f>
        <v>0</v>
      </c>
      <c r="O144" s="33">
        <f>CHOOSE($K$4,O141,O142,O143)</f>
        <v>0</v>
      </c>
      <c r="P144" s="33">
        <f t="shared" ref="P144:T144" si="65">CHOOSE($K$4,P141,P142,P143)</f>
        <v>0</v>
      </c>
      <c r="Q144" s="33">
        <f t="shared" si="65"/>
        <v>0</v>
      </c>
      <c r="R144" s="33">
        <f t="shared" si="65"/>
        <v>0</v>
      </c>
      <c r="S144" s="33">
        <f t="shared" si="65"/>
        <v>0</v>
      </c>
      <c r="T144" s="33">
        <f t="shared" si="65"/>
        <v>0</v>
      </c>
    </row>
    <row r="145" spans="1:20" outlineLevel="1">
      <c r="B145" s="20"/>
      <c r="J145" s="205"/>
      <c r="K145" s="206"/>
      <c r="L145" s="206"/>
      <c r="M145" s="206"/>
      <c r="N145" s="206"/>
      <c r="O145" s="206"/>
      <c r="P145" s="206"/>
      <c r="Q145" s="206"/>
      <c r="R145" s="206"/>
      <c r="S145" s="206"/>
      <c r="T145" s="206"/>
    </row>
    <row r="146" spans="1:20" outlineLevel="1">
      <c r="B146" s="34" t="s">
        <v>601</v>
      </c>
      <c r="C146" s="35"/>
      <c r="D146" s="35"/>
      <c r="E146" s="35"/>
      <c r="F146" s="35"/>
      <c r="G146" s="35"/>
      <c r="H146" s="35"/>
      <c r="I146" s="35"/>
      <c r="J146" s="35"/>
      <c r="K146" s="35"/>
      <c r="L146" s="35"/>
      <c r="M146" s="35"/>
      <c r="N146" s="35"/>
      <c r="O146" s="35"/>
      <c r="P146" s="35"/>
      <c r="Q146" s="35"/>
      <c r="R146" s="35"/>
      <c r="S146" s="35"/>
      <c r="T146" s="35"/>
    </row>
    <row r="147" spans="1:20" outlineLevel="1">
      <c r="B147" s="28" t="s">
        <v>28</v>
      </c>
      <c r="C147" s="29"/>
      <c r="D147" s="29"/>
      <c r="E147" s="29"/>
      <c r="F147" s="29"/>
      <c r="G147" s="29"/>
      <c r="H147" s="29"/>
      <c r="I147" s="29"/>
      <c r="J147" s="30"/>
      <c r="K147" s="36">
        <v>4.0000000000000001E-3</v>
      </c>
      <c r="L147" s="36">
        <v>4.0000000000000001E-3</v>
      </c>
      <c r="M147" s="36">
        <v>4.0000000000000001E-3</v>
      </c>
      <c r="N147" s="36">
        <v>4.0000000000000001E-3</v>
      </c>
      <c r="O147" s="36">
        <v>4.0000000000000001E-3</v>
      </c>
      <c r="P147" s="36">
        <v>4.0000000000000001E-3</v>
      </c>
      <c r="Q147" s="36">
        <v>4.0000000000000001E-3</v>
      </c>
      <c r="R147" s="36">
        <v>4.0000000000000001E-3</v>
      </c>
      <c r="S147" s="36">
        <v>4.0000000000000001E-3</v>
      </c>
      <c r="T147" s="36">
        <v>4.0000000000000001E-3</v>
      </c>
    </row>
    <row r="148" spans="1:20" outlineLevel="1">
      <c r="B148" s="28" t="s">
        <v>441</v>
      </c>
      <c r="C148" s="29"/>
      <c r="D148" s="29"/>
      <c r="E148" s="29"/>
      <c r="F148" s="29"/>
      <c r="G148" s="29"/>
      <c r="H148" s="29"/>
      <c r="I148" s="29"/>
      <c r="J148" s="30"/>
      <c r="K148" s="36">
        <v>4.0000000000000001E-3</v>
      </c>
      <c r="L148" s="36">
        <v>4.0000000000000001E-3</v>
      </c>
      <c r="M148" s="36">
        <v>4.0000000000000001E-3</v>
      </c>
      <c r="N148" s="36">
        <v>4.0000000000000001E-3</v>
      </c>
      <c r="O148" s="36">
        <v>4.0000000000000001E-3</v>
      </c>
      <c r="P148" s="36">
        <v>4.0000000000000001E-3</v>
      </c>
      <c r="Q148" s="36">
        <v>4.0000000000000001E-3</v>
      </c>
      <c r="R148" s="36">
        <v>4.0000000000000001E-3</v>
      </c>
      <c r="S148" s="36">
        <v>4.0000000000000001E-3</v>
      </c>
      <c r="T148" s="36">
        <v>4.0000000000000001E-3</v>
      </c>
    </row>
    <row r="149" spans="1:20" outlineLevel="1">
      <c r="B149" s="28" t="s">
        <v>29</v>
      </c>
      <c r="C149" s="29"/>
      <c r="D149" s="29"/>
      <c r="E149" s="29"/>
      <c r="F149" s="29"/>
      <c r="G149" s="29"/>
      <c r="H149" s="29"/>
      <c r="I149" s="29"/>
      <c r="J149" s="30"/>
      <c r="K149" s="36">
        <v>4.0000000000000001E-3</v>
      </c>
      <c r="L149" s="36">
        <v>4.0000000000000001E-3</v>
      </c>
      <c r="M149" s="36">
        <v>4.0000000000000001E-3</v>
      </c>
      <c r="N149" s="36">
        <v>4.0000000000000001E-3</v>
      </c>
      <c r="O149" s="36">
        <v>4.0000000000000001E-3</v>
      </c>
      <c r="P149" s="36">
        <v>4.0000000000000001E-3</v>
      </c>
      <c r="Q149" s="36">
        <v>4.0000000000000001E-3</v>
      </c>
      <c r="R149" s="36">
        <v>4.0000000000000001E-3</v>
      </c>
      <c r="S149" s="36">
        <v>4.0000000000000001E-3</v>
      </c>
      <c r="T149" s="36">
        <v>4.0000000000000001E-3</v>
      </c>
    </row>
    <row r="150" spans="1:20" outlineLevel="1">
      <c r="B150" s="18" t="str">
        <f>"Current Case- "&amp;CHOOSE($K$4,$B$16,$B$17,$B$18)</f>
        <v>Current Case- Management Case</v>
      </c>
      <c r="C150" s="17"/>
      <c r="D150" s="17"/>
      <c r="E150" s="17"/>
      <c r="F150" s="17"/>
      <c r="G150" s="17"/>
      <c r="H150" s="17"/>
      <c r="I150" s="17"/>
      <c r="J150" s="32"/>
      <c r="K150" s="37">
        <f>CHOOSE($K$4,K147,K148,K149)</f>
        <v>4.0000000000000001E-3</v>
      </c>
      <c r="L150" s="37">
        <f>CHOOSE($K$4,L147,L148,L149)</f>
        <v>4.0000000000000001E-3</v>
      </c>
      <c r="M150" s="37">
        <f>CHOOSE($K$4,M147,M148,M149)</f>
        <v>4.0000000000000001E-3</v>
      </c>
      <c r="N150" s="37">
        <f>CHOOSE($K$4,N147,N148,N149)</f>
        <v>4.0000000000000001E-3</v>
      </c>
      <c r="O150" s="37">
        <f>CHOOSE($K$4,O147,O148,O149)</f>
        <v>4.0000000000000001E-3</v>
      </c>
      <c r="P150" s="37">
        <f t="shared" ref="P150:T150" si="66">CHOOSE($K$4,P147,P148,P149)</f>
        <v>4.0000000000000001E-3</v>
      </c>
      <c r="Q150" s="37">
        <f t="shared" si="66"/>
        <v>4.0000000000000001E-3</v>
      </c>
      <c r="R150" s="37">
        <f t="shared" si="66"/>
        <v>4.0000000000000001E-3</v>
      </c>
      <c r="S150" s="37">
        <f t="shared" si="66"/>
        <v>4.0000000000000001E-3</v>
      </c>
      <c r="T150" s="37">
        <f t="shared" si="66"/>
        <v>4.0000000000000001E-3</v>
      </c>
    </row>
    <row r="151" spans="1:20" outlineLevel="1">
      <c r="B151" s="20"/>
      <c r="J151" s="205"/>
      <c r="K151" s="206"/>
      <c r="L151" s="206"/>
      <c r="M151" s="206"/>
      <c r="N151" s="206"/>
      <c r="O151" s="206"/>
      <c r="P151" s="206"/>
      <c r="Q151" s="206"/>
      <c r="R151" s="206"/>
      <c r="S151" s="206"/>
      <c r="T151" s="206"/>
    </row>
    <row r="152" spans="1:20">
      <c r="B152" s="20"/>
      <c r="J152" s="205"/>
      <c r="K152" s="206"/>
      <c r="L152" s="206"/>
      <c r="M152" s="206"/>
      <c r="N152" s="206"/>
      <c r="O152" s="206"/>
      <c r="P152" s="206"/>
      <c r="Q152" s="206"/>
      <c r="R152" s="206"/>
      <c r="S152" s="206"/>
      <c r="T152" s="206"/>
    </row>
    <row r="153" spans="1:20" ht="18">
      <c r="A153" t="s">
        <v>27</v>
      </c>
      <c r="B153" s="22" t="s">
        <v>662</v>
      </c>
      <c r="C153" s="21"/>
      <c r="D153" s="21"/>
      <c r="E153" s="21"/>
      <c r="F153" s="21"/>
      <c r="G153" s="21"/>
      <c r="H153" s="21"/>
      <c r="I153" s="21"/>
      <c r="J153" s="21"/>
      <c r="K153" s="21"/>
      <c r="L153" s="21"/>
      <c r="M153" s="21"/>
      <c r="N153" s="21"/>
      <c r="O153" s="21"/>
      <c r="P153" s="21"/>
      <c r="Q153" s="21"/>
      <c r="R153" s="21"/>
      <c r="S153" s="21"/>
      <c r="T153" s="21"/>
    </row>
    <row r="154" spans="1:20" outlineLevel="1">
      <c r="B154" s="20"/>
      <c r="J154" s="205"/>
      <c r="K154" s="206"/>
      <c r="L154" s="206"/>
      <c r="M154" s="206"/>
      <c r="N154" s="206"/>
      <c r="O154" s="206"/>
      <c r="P154" s="206"/>
      <c r="Q154" s="206"/>
      <c r="R154" s="206"/>
      <c r="S154" s="206"/>
      <c r="T154" s="206"/>
    </row>
    <row r="155" spans="1:20" outlineLevel="1">
      <c r="B155" s="34" t="s">
        <v>81</v>
      </c>
      <c r="C155" s="35"/>
      <c r="D155" s="35"/>
      <c r="E155" s="35"/>
      <c r="F155" s="35"/>
      <c r="G155" s="35"/>
      <c r="H155" s="35"/>
      <c r="I155" s="35"/>
      <c r="J155" s="35"/>
      <c r="K155" s="35"/>
      <c r="L155" s="35"/>
      <c r="M155" s="35"/>
      <c r="N155" s="35"/>
      <c r="O155" s="35"/>
      <c r="P155" s="35"/>
      <c r="Q155" s="35"/>
      <c r="R155" s="35"/>
      <c r="S155" s="35"/>
      <c r="T155" s="35"/>
    </row>
    <row r="156" spans="1:20" outlineLevel="1">
      <c r="B156" s="28" t="s">
        <v>28</v>
      </c>
      <c r="C156" s="29"/>
      <c r="D156" s="29"/>
      <c r="E156" s="29"/>
      <c r="F156" s="29"/>
      <c r="G156" s="29"/>
      <c r="H156" s="29"/>
      <c r="I156" s="29"/>
      <c r="J156" s="30"/>
      <c r="K156" s="31">
        <v>0.01</v>
      </c>
      <c r="L156" s="31">
        <v>0.01</v>
      </c>
      <c r="M156" s="31">
        <v>0.01</v>
      </c>
      <c r="N156" s="31">
        <v>0.01</v>
      </c>
      <c r="O156" s="31">
        <v>0.01</v>
      </c>
      <c r="P156" s="31">
        <v>0.01</v>
      </c>
      <c r="Q156" s="31">
        <v>0.01</v>
      </c>
      <c r="R156" s="31">
        <v>0.01</v>
      </c>
      <c r="S156" s="31">
        <v>0.01</v>
      </c>
      <c r="T156" s="31">
        <v>0.01</v>
      </c>
    </row>
    <row r="157" spans="1:20" outlineLevel="1">
      <c r="B157" s="28" t="s">
        <v>441</v>
      </c>
      <c r="C157" s="29"/>
      <c r="D157" s="29"/>
      <c r="E157" s="29"/>
      <c r="F157" s="29"/>
      <c r="G157" s="29"/>
      <c r="H157" s="29"/>
      <c r="I157" s="29"/>
      <c r="J157" s="30"/>
      <c r="K157" s="31">
        <v>0.01</v>
      </c>
      <c r="L157" s="31">
        <v>0.01</v>
      </c>
      <c r="M157" s="31">
        <v>0.01</v>
      </c>
      <c r="N157" s="31">
        <v>0.01</v>
      </c>
      <c r="O157" s="31">
        <v>0.01</v>
      </c>
      <c r="P157" s="31">
        <v>0.01</v>
      </c>
      <c r="Q157" s="31">
        <v>0.01</v>
      </c>
      <c r="R157" s="31">
        <v>0.01</v>
      </c>
      <c r="S157" s="31">
        <v>0.01</v>
      </c>
      <c r="T157" s="31">
        <v>0.01</v>
      </c>
    </row>
    <row r="158" spans="1:20" outlineLevel="1">
      <c r="B158" s="28" t="s">
        <v>29</v>
      </c>
      <c r="C158" s="29"/>
      <c r="D158" s="29"/>
      <c r="E158" s="29"/>
      <c r="F158" s="29"/>
      <c r="G158" s="29"/>
      <c r="H158" s="29"/>
      <c r="I158" s="29"/>
      <c r="J158" s="30"/>
      <c r="K158" s="31">
        <v>0.01</v>
      </c>
      <c r="L158" s="31">
        <v>0.01</v>
      </c>
      <c r="M158" s="31">
        <v>0.01</v>
      </c>
      <c r="N158" s="31">
        <v>0.01</v>
      </c>
      <c r="O158" s="31">
        <v>0.01</v>
      </c>
      <c r="P158" s="31">
        <v>0.01</v>
      </c>
      <c r="Q158" s="31">
        <v>0.01</v>
      </c>
      <c r="R158" s="31">
        <v>0.01</v>
      </c>
      <c r="S158" s="31">
        <v>0.01</v>
      </c>
      <c r="T158" s="31">
        <v>0.01</v>
      </c>
    </row>
    <row r="159" spans="1:20" outlineLevel="1">
      <c r="B159" s="18" t="str">
        <f>"Current Case- "&amp;CHOOSE($K$4,$B$16,$B$17,$B$18)</f>
        <v>Current Case- Management Case</v>
      </c>
      <c r="C159" s="17"/>
      <c r="D159" s="17"/>
      <c r="E159" s="17"/>
      <c r="F159" s="17"/>
      <c r="G159" s="17"/>
      <c r="H159" s="17"/>
      <c r="I159" s="17"/>
      <c r="J159" s="32"/>
      <c r="K159" s="33">
        <f>CHOOSE($K$4,K156,K157,K158)</f>
        <v>0.01</v>
      </c>
      <c r="L159" s="33">
        <f>CHOOSE($K$4,L156,L157,L158)</f>
        <v>0.01</v>
      </c>
      <c r="M159" s="33">
        <f>CHOOSE($K$4,M156,M157,M158)</f>
        <v>0.01</v>
      </c>
      <c r="N159" s="33">
        <f>CHOOSE($K$4,N156,N157,N158)</f>
        <v>0.01</v>
      </c>
      <c r="O159" s="33">
        <f>CHOOSE($K$4,O156,O157,O158)</f>
        <v>0.01</v>
      </c>
      <c r="P159" s="33">
        <f t="shared" ref="P159:T159" si="67">CHOOSE($K$4,P156,P157,P158)</f>
        <v>0.01</v>
      </c>
      <c r="Q159" s="33">
        <f t="shared" si="67"/>
        <v>0.01</v>
      </c>
      <c r="R159" s="33">
        <f t="shared" si="67"/>
        <v>0.01</v>
      </c>
      <c r="S159" s="33">
        <f t="shared" si="67"/>
        <v>0.01</v>
      </c>
      <c r="T159" s="33">
        <f t="shared" si="67"/>
        <v>0.01</v>
      </c>
    </row>
    <row r="160" spans="1:20" outlineLevel="1">
      <c r="B160" s="20"/>
      <c r="J160" s="205"/>
      <c r="K160" s="206"/>
      <c r="L160" s="206"/>
      <c r="M160" s="206"/>
      <c r="N160" s="206"/>
      <c r="O160" s="206"/>
      <c r="P160" s="206"/>
      <c r="Q160" s="206"/>
      <c r="R160" s="206"/>
      <c r="S160" s="206"/>
      <c r="T160" s="206"/>
    </row>
    <row r="161" spans="2:20" outlineLevel="1">
      <c r="B161" s="34" t="s">
        <v>670</v>
      </c>
      <c r="C161" s="35"/>
      <c r="D161" s="35"/>
      <c r="E161" s="35"/>
      <c r="F161" s="35"/>
      <c r="G161" s="35"/>
      <c r="H161" s="35"/>
      <c r="I161" s="35"/>
      <c r="J161" s="35"/>
      <c r="K161" s="35"/>
      <c r="L161" s="35"/>
      <c r="M161" s="35"/>
      <c r="N161" s="35"/>
      <c r="O161" s="35"/>
      <c r="P161" s="35"/>
      <c r="Q161" s="35"/>
      <c r="R161" s="35"/>
      <c r="S161" s="35"/>
      <c r="T161" s="35"/>
    </row>
    <row r="162" spans="2:20" outlineLevel="1">
      <c r="B162" s="28" t="s">
        <v>28</v>
      </c>
      <c r="C162" s="29"/>
      <c r="D162" s="29"/>
      <c r="E162" s="29"/>
      <c r="F162" s="29"/>
      <c r="G162" s="29"/>
      <c r="H162" s="29"/>
      <c r="I162" s="29"/>
      <c r="J162" s="30"/>
      <c r="K162" s="31">
        <v>0</v>
      </c>
      <c r="L162" s="31">
        <v>0</v>
      </c>
      <c r="M162" s="31">
        <v>0</v>
      </c>
      <c r="N162" s="31">
        <v>0</v>
      </c>
      <c r="O162" s="31">
        <v>0</v>
      </c>
      <c r="P162" s="31">
        <v>0</v>
      </c>
      <c r="Q162" s="31">
        <v>0</v>
      </c>
      <c r="R162" s="31">
        <v>0</v>
      </c>
      <c r="S162" s="31">
        <v>0</v>
      </c>
      <c r="T162" s="31">
        <v>0</v>
      </c>
    </row>
    <row r="163" spans="2:20" outlineLevel="1">
      <c r="B163" s="28" t="s">
        <v>441</v>
      </c>
      <c r="C163" s="29"/>
      <c r="D163" s="29"/>
      <c r="E163" s="29"/>
      <c r="F163" s="29"/>
      <c r="G163" s="29"/>
      <c r="H163" s="29"/>
      <c r="I163" s="29"/>
      <c r="J163" s="30"/>
      <c r="K163" s="31">
        <v>0</v>
      </c>
      <c r="L163" s="31">
        <v>0</v>
      </c>
      <c r="M163" s="31">
        <v>0</v>
      </c>
      <c r="N163" s="31">
        <v>0</v>
      </c>
      <c r="O163" s="31">
        <v>0</v>
      </c>
      <c r="P163" s="31">
        <v>0</v>
      </c>
      <c r="Q163" s="31">
        <v>0</v>
      </c>
      <c r="R163" s="31">
        <v>0</v>
      </c>
      <c r="S163" s="31">
        <v>0</v>
      </c>
      <c r="T163" s="31">
        <v>0</v>
      </c>
    </row>
    <row r="164" spans="2:20" outlineLevel="1">
      <c r="B164" s="28" t="s">
        <v>29</v>
      </c>
      <c r="C164" s="29"/>
      <c r="D164" s="29"/>
      <c r="E164" s="29"/>
      <c r="F164" s="29"/>
      <c r="G164" s="29"/>
      <c r="H164" s="29"/>
      <c r="I164" s="29"/>
      <c r="J164" s="30"/>
      <c r="K164" s="31">
        <v>0</v>
      </c>
      <c r="L164" s="31">
        <v>0</v>
      </c>
      <c r="M164" s="31">
        <v>0</v>
      </c>
      <c r="N164" s="31">
        <v>0</v>
      </c>
      <c r="O164" s="31">
        <v>0</v>
      </c>
      <c r="P164" s="31">
        <v>0</v>
      </c>
      <c r="Q164" s="31">
        <v>0</v>
      </c>
      <c r="R164" s="31">
        <v>0</v>
      </c>
      <c r="S164" s="31">
        <v>0</v>
      </c>
      <c r="T164" s="31">
        <v>0</v>
      </c>
    </row>
    <row r="165" spans="2:20" outlineLevel="1">
      <c r="B165" s="18" t="str">
        <f>"Current Case- "&amp;CHOOSE($K$4,$B$16,$B$17,$B$18)</f>
        <v>Current Case- Management Case</v>
      </c>
      <c r="C165" s="17"/>
      <c r="D165" s="17"/>
      <c r="E165" s="17"/>
      <c r="F165" s="17"/>
      <c r="G165" s="17"/>
      <c r="H165" s="17"/>
      <c r="I165" s="17"/>
      <c r="J165" s="32"/>
      <c r="K165" s="33">
        <f>CHOOSE($K$4,K162,K163,K164)</f>
        <v>0</v>
      </c>
      <c r="L165" s="33">
        <f>CHOOSE($K$4,L162,L163,L164)</f>
        <v>0</v>
      </c>
      <c r="M165" s="33">
        <f>CHOOSE($K$4,M162,M163,M164)</f>
        <v>0</v>
      </c>
      <c r="N165" s="33">
        <f>CHOOSE($K$4,N162,N163,N164)</f>
        <v>0</v>
      </c>
      <c r="O165" s="33">
        <f>CHOOSE($K$4,O162,O163,O164)</f>
        <v>0</v>
      </c>
      <c r="P165" s="33">
        <f t="shared" ref="P165:T165" si="68">CHOOSE($K$4,P162,P163,P164)</f>
        <v>0</v>
      </c>
      <c r="Q165" s="33">
        <f t="shared" si="68"/>
        <v>0</v>
      </c>
      <c r="R165" s="33">
        <f t="shared" si="68"/>
        <v>0</v>
      </c>
      <c r="S165" s="33">
        <f t="shared" si="68"/>
        <v>0</v>
      </c>
      <c r="T165" s="33">
        <f t="shared" si="68"/>
        <v>0</v>
      </c>
    </row>
    <row r="166" spans="2:20" outlineLevel="1">
      <c r="B166" s="20"/>
      <c r="J166" s="205"/>
      <c r="K166" s="206"/>
      <c r="L166" s="206"/>
      <c r="M166" s="206"/>
      <c r="N166" s="206"/>
      <c r="O166" s="206"/>
      <c r="P166" s="206"/>
      <c r="Q166" s="206"/>
      <c r="R166" s="206"/>
      <c r="S166" s="206"/>
      <c r="T166" s="206"/>
    </row>
    <row r="167" spans="2:20" outlineLevel="1">
      <c r="B167" s="34" t="s">
        <v>675</v>
      </c>
      <c r="C167" s="35"/>
      <c r="D167" s="35"/>
      <c r="E167" s="35"/>
      <c r="F167" s="35"/>
      <c r="G167" s="35"/>
      <c r="H167" s="35"/>
      <c r="I167" s="35"/>
      <c r="J167" s="35"/>
      <c r="K167" s="35"/>
      <c r="L167" s="35"/>
      <c r="M167" s="35"/>
      <c r="N167" s="35"/>
      <c r="O167" s="35"/>
      <c r="P167" s="35"/>
      <c r="Q167" s="35"/>
      <c r="R167" s="35"/>
      <c r="S167" s="35"/>
      <c r="T167" s="35"/>
    </row>
    <row r="168" spans="2:20" outlineLevel="1">
      <c r="B168" s="28" t="s">
        <v>28</v>
      </c>
      <c r="C168" s="29"/>
      <c r="D168" s="29"/>
      <c r="E168" s="29"/>
      <c r="F168" s="29"/>
      <c r="G168" s="29"/>
      <c r="H168" s="29"/>
      <c r="I168" s="29"/>
      <c r="J168" s="30"/>
      <c r="K168" s="31">
        <v>0</v>
      </c>
      <c r="L168" s="31">
        <v>0</v>
      </c>
      <c r="M168" s="31">
        <v>0</v>
      </c>
      <c r="N168" s="31">
        <v>0</v>
      </c>
      <c r="O168" s="31">
        <v>0</v>
      </c>
      <c r="P168" s="31">
        <v>0</v>
      </c>
      <c r="Q168" s="31">
        <v>0</v>
      </c>
      <c r="R168" s="31">
        <v>0</v>
      </c>
      <c r="S168" s="31">
        <v>0</v>
      </c>
      <c r="T168" s="31">
        <v>0</v>
      </c>
    </row>
    <row r="169" spans="2:20" outlineLevel="1">
      <c r="B169" s="28" t="s">
        <v>441</v>
      </c>
      <c r="C169" s="29"/>
      <c r="D169" s="29"/>
      <c r="E169" s="29"/>
      <c r="F169" s="29"/>
      <c r="G169" s="29"/>
      <c r="H169" s="29"/>
      <c r="I169" s="29"/>
      <c r="J169" s="30"/>
      <c r="K169" s="31">
        <v>0</v>
      </c>
      <c r="L169" s="31">
        <v>0</v>
      </c>
      <c r="M169" s="31">
        <v>0</v>
      </c>
      <c r="N169" s="31">
        <v>0</v>
      </c>
      <c r="O169" s="31">
        <v>0</v>
      </c>
      <c r="P169" s="31">
        <v>0</v>
      </c>
      <c r="Q169" s="31">
        <v>0</v>
      </c>
      <c r="R169" s="31">
        <v>0</v>
      </c>
      <c r="S169" s="31">
        <v>0</v>
      </c>
      <c r="T169" s="31">
        <v>0</v>
      </c>
    </row>
    <row r="170" spans="2:20" outlineLevel="1">
      <c r="B170" s="28" t="s">
        <v>29</v>
      </c>
      <c r="C170" s="29"/>
      <c r="D170" s="29"/>
      <c r="E170" s="29"/>
      <c r="F170" s="29"/>
      <c r="G170" s="29"/>
      <c r="H170" s="29"/>
      <c r="I170" s="29"/>
      <c r="J170" s="30"/>
      <c r="K170" s="31">
        <v>0</v>
      </c>
      <c r="L170" s="31">
        <v>0</v>
      </c>
      <c r="M170" s="31">
        <v>0</v>
      </c>
      <c r="N170" s="31">
        <v>0</v>
      </c>
      <c r="O170" s="31">
        <v>0</v>
      </c>
      <c r="P170" s="31">
        <v>0</v>
      </c>
      <c r="Q170" s="31">
        <v>0</v>
      </c>
      <c r="R170" s="31">
        <v>0</v>
      </c>
      <c r="S170" s="31">
        <v>0</v>
      </c>
      <c r="T170" s="31">
        <v>0</v>
      </c>
    </row>
    <row r="171" spans="2:20" outlineLevel="1">
      <c r="B171" s="18" t="str">
        <f>"Current Case- "&amp;CHOOSE($K$4,$B$16,$B$17,$B$18)</f>
        <v>Current Case- Management Case</v>
      </c>
      <c r="C171" s="17"/>
      <c r="D171" s="17"/>
      <c r="E171" s="17"/>
      <c r="F171" s="17"/>
      <c r="G171" s="17"/>
      <c r="H171" s="17"/>
      <c r="I171" s="17"/>
      <c r="J171" s="32"/>
      <c r="K171" s="33">
        <f>CHOOSE($K$4,K168,K169,K170)</f>
        <v>0</v>
      </c>
      <c r="L171" s="33">
        <f>CHOOSE($K$4,L168,L169,L170)</f>
        <v>0</v>
      </c>
      <c r="M171" s="33">
        <f>CHOOSE($K$4,M168,M169,M170)</f>
        <v>0</v>
      </c>
      <c r="N171" s="33">
        <f>CHOOSE($K$4,N168,N169,N170)</f>
        <v>0</v>
      </c>
      <c r="O171" s="33">
        <f>CHOOSE($K$4,O168,O169,O170)</f>
        <v>0</v>
      </c>
      <c r="P171" s="33">
        <f t="shared" ref="P171:T171" si="69">CHOOSE($K$4,P168,P169,P170)</f>
        <v>0</v>
      </c>
      <c r="Q171" s="33">
        <f t="shared" si="69"/>
        <v>0</v>
      </c>
      <c r="R171" s="33">
        <f t="shared" si="69"/>
        <v>0</v>
      </c>
      <c r="S171" s="33">
        <f t="shared" si="69"/>
        <v>0</v>
      </c>
      <c r="T171" s="33">
        <f t="shared" si="69"/>
        <v>0</v>
      </c>
    </row>
    <row r="172" spans="2:20" outlineLevel="1">
      <c r="B172" s="20"/>
      <c r="J172" s="205"/>
      <c r="K172" s="206"/>
      <c r="L172" s="206"/>
      <c r="M172" s="206"/>
      <c r="N172" s="206"/>
      <c r="O172" s="206"/>
      <c r="P172" s="206"/>
      <c r="Q172" s="206"/>
      <c r="R172" s="206"/>
      <c r="S172" s="206"/>
      <c r="T172" s="206"/>
    </row>
    <row r="173" spans="2:20" outlineLevel="1">
      <c r="B173" s="34" t="s">
        <v>671</v>
      </c>
      <c r="C173" s="35"/>
      <c r="D173" s="35"/>
      <c r="E173" s="35"/>
      <c r="F173" s="35"/>
      <c r="G173" s="35"/>
      <c r="H173" s="35"/>
      <c r="I173" s="35"/>
      <c r="J173" s="35"/>
      <c r="K173" s="35"/>
      <c r="L173" s="35"/>
      <c r="M173" s="35"/>
      <c r="N173" s="35"/>
      <c r="O173" s="35"/>
      <c r="P173" s="35"/>
      <c r="Q173" s="35"/>
      <c r="R173" s="35"/>
      <c r="S173" s="35"/>
      <c r="T173" s="35"/>
    </row>
    <row r="174" spans="2:20" outlineLevel="1">
      <c r="B174" s="28" t="s">
        <v>28</v>
      </c>
      <c r="C174" s="29"/>
      <c r="D174" s="29"/>
      <c r="E174" s="29"/>
      <c r="F174" s="29"/>
      <c r="G174" s="29"/>
      <c r="H174" s="29"/>
      <c r="I174" s="29"/>
      <c r="J174" s="30"/>
      <c r="K174" s="31">
        <v>0.02</v>
      </c>
      <c r="L174" s="31">
        <v>0.02</v>
      </c>
      <c r="M174" s="31">
        <v>0.02</v>
      </c>
      <c r="N174" s="31">
        <v>0.02</v>
      </c>
      <c r="O174" s="31">
        <v>0.02</v>
      </c>
      <c r="P174" s="31">
        <v>0.02</v>
      </c>
      <c r="Q174" s="31">
        <v>0.02</v>
      </c>
      <c r="R174" s="31">
        <v>0.02</v>
      </c>
      <c r="S174" s="31">
        <v>0.02</v>
      </c>
      <c r="T174" s="31">
        <v>0.02</v>
      </c>
    </row>
    <row r="175" spans="2:20" outlineLevel="1">
      <c r="B175" s="28" t="s">
        <v>441</v>
      </c>
      <c r="C175" s="29"/>
      <c r="D175" s="29"/>
      <c r="E175" s="29"/>
      <c r="F175" s="29"/>
      <c r="G175" s="29"/>
      <c r="H175" s="29"/>
      <c r="I175" s="29"/>
      <c r="J175" s="30"/>
      <c r="K175" s="31">
        <v>0.02</v>
      </c>
      <c r="L175" s="31">
        <v>0.02</v>
      </c>
      <c r="M175" s="31">
        <v>0.02</v>
      </c>
      <c r="N175" s="31">
        <v>0.02</v>
      </c>
      <c r="O175" s="31">
        <v>0.02</v>
      </c>
      <c r="P175" s="31">
        <v>0.02</v>
      </c>
      <c r="Q175" s="31">
        <v>0.02</v>
      </c>
      <c r="R175" s="31">
        <v>0.02</v>
      </c>
      <c r="S175" s="31">
        <v>0.02</v>
      </c>
      <c r="T175" s="31">
        <v>0.02</v>
      </c>
    </row>
    <row r="176" spans="2:20" outlineLevel="1">
      <c r="B176" s="28" t="s">
        <v>29</v>
      </c>
      <c r="C176" s="29"/>
      <c r="D176" s="29"/>
      <c r="E176" s="29"/>
      <c r="F176" s="29"/>
      <c r="G176" s="29"/>
      <c r="H176" s="29"/>
      <c r="I176" s="29"/>
      <c r="J176" s="30"/>
      <c r="K176" s="31">
        <v>0.02</v>
      </c>
      <c r="L176" s="31">
        <v>0.02</v>
      </c>
      <c r="M176" s="31">
        <v>0.02</v>
      </c>
      <c r="N176" s="31">
        <v>0.02</v>
      </c>
      <c r="O176" s="31">
        <v>0.02</v>
      </c>
      <c r="P176" s="31">
        <v>0.02</v>
      </c>
      <c r="Q176" s="31">
        <v>0.02</v>
      </c>
      <c r="R176" s="31">
        <v>0.02</v>
      </c>
      <c r="S176" s="31">
        <v>0.02</v>
      </c>
      <c r="T176" s="31">
        <v>0.02</v>
      </c>
    </row>
    <row r="177" spans="1:20" outlineLevel="1">
      <c r="B177" s="18" t="str">
        <f>"Current Case- "&amp;CHOOSE($K$4,$B$16,$B$17,$B$18)</f>
        <v>Current Case- Management Case</v>
      </c>
      <c r="C177" s="17"/>
      <c r="D177" s="17"/>
      <c r="E177" s="17"/>
      <c r="F177" s="17"/>
      <c r="G177" s="17"/>
      <c r="H177" s="17"/>
      <c r="I177" s="17"/>
      <c r="J177" s="32"/>
      <c r="K177" s="33">
        <f>CHOOSE($K$4,K174,K175,K176)</f>
        <v>0.02</v>
      </c>
      <c r="L177" s="33">
        <f>CHOOSE($K$4,L174,L175,L176)</f>
        <v>0.02</v>
      </c>
      <c r="M177" s="33">
        <f>CHOOSE($K$4,M174,M175,M176)</f>
        <v>0.02</v>
      </c>
      <c r="N177" s="33">
        <f>CHOOSE($K$4,N174,N175,N176)</f>
        <v>0.02</v>
      </c>
      <c r="O177" s="33">
        <f>CHOOSE($K$4,O174,O175,O176)</f>
        <v>0.02</v>
      </c>
      <c r="P177" s="33">
        <f t="shared" ref="P177:T177" si="70">CHOOSE($K$4,P174,P175,P176)</f>
        <v>0.02</v>
      </c>
      <c r="Q177" s="33">
        <f t="shared" si="70"/>
        <v>0.02</v>
      </c>
      <c r="R177" s="33">
        <f t="shared" si="70"/>
        <v>0.02</v>
      </c>
      <c r="S177" s="33">
        <f t="shared" si="70"/>
        <v>0.02</v>
      </c>
      <c r="T177" s="33">
        <f t="shared" si="70"/>
        <v>0.02</v>
      </c>
    </row>
    <row r="178" spans="1:20">
      <c r="B178" s="20"/>
      <c r="J178" s="205"/>
      <c r="K178" s="206"/>
      <c r="L178" s="206"/>
      <c r="M178" s="206"/>
      <c r="N178" s="206"/>
      <c r="O178" s="206"/>
      <c r="P178" s="206"/>
      <c r="Q178" s="206"/>
      <c r="R178" s="206"/>
      <c r="S178" s="206"/>
      <c r="T178" s="206"/>
    </row>
    <row r="179" spans="1:20" ht="18">
      <c r="A179" t="s">
        <v>27</v>
      </c>
      <c r="B179" s="22" t="s">
        <v>700</v>
      </c>
      <c r="C179" s="21"/>
      <c r="D179" s="21"/>
      <c r="E179" s="21"/>
      <c r="F179" s="21"/>
      <c r="G179" s="21"/>
      <c r="H179" s="21"/>
      <c r="I179" s="21"/>
      <c r="J179" s="21"/>
      <c r="K179" s="21"/>
      <c r="L179" s="21"/>
      <c r="M179" s="21"/>
      <c r="N179" s="21"/>
      <c r="O179" s="21"/>
      <c r="P179" s="21"/>
      <c r="Q179" s="21"/>
      <c r="R179" s="21"/>
      <c r="S179" s="21"/>
      <c r="T179" s="21"/>
    </row>
    <row r="180" spans="1:20" outlineLevel="1"/>
    <row r="181" spans="1:20" outlineLevel="1">
      <c r="B181" s="34" t="s">
        <v>702</v>
      </c>
      <c r="C181" s="35"/>
      <c r="D181" s="35"/>
      <c r="E181" s="35"/>
      <c r="F181" s="35"/>
      <c r="G181" s="35"/>
      <c r="H181" s="35"/>
      <c r="I181" s="35"/>
      <c r="J181" s="35"/>
      <c r="K181" s="35"/>
      <c r="L181" s="35"/>
      <c r="M181" s="35"/>
      <c r="N181" s="35"/>
      <c r="O181" s="35"/>
      <c r="P181" s="35"/>
      <c r="Q181" s="35"/>
      <c r="R181" s="35"/>
      <c r="S181" s="35"/>
      <c r="T181" s="35"/>
    </row>
    <row r="182" spans="1:20" outlineLevel="1">
      <c r="B182" s="28" t="s">
        <v>28</v>
      </c>
      <c r="C182" s="29"/>
      <c r="D182" s="29"/>
      <c r="E182" s="29"/>
      <c r="F182" s="29"/>
      <c r="G182" s="29"/>
      <c r="H182" s="29"/>
      <c r="I182" s="29"/>
      <c r="J182" s="30"/>
      <c r="K182" s="31">
        <v>0.02</v>
      </c>
      <c r="L182" s="31">
        <v>0.02</v>
      </c>
      <c r="M182" s="31">
        <v>0.02</v>
      </c>
      <c r="N182" s="31">
        <v>0.02</v>
      </c>
      <c r="O182" s="31">
        <v>0.02</v>
      </c>
      <c r="P182" s="31">
        <v>0.02</v>
      </c>
      <c r="Q182" s="31">
        <v>0.02</v>
      </c>
      <c r="R182" s="31">
        <v>0.02</v>
      </c>
      <c r="S182" s="31">
        <v>0.02</v>
      </c>
      <c r="T182" s="31">
        <v>0.02</v>
      </c>
    </row>
    <row r="183" spans="1:20" outlineLevel="1">
      <c r="B183" s="28" t="s">
        <v>441</v>
      </c>
      <c r="C183" s="29"/>
      <c r="D183" s="29"/>
      <c r="E183" s="29"/>
      <c r="F183" s="29"/>
      <c r="G183" s="29"/>
      <c r="H183" s="29"/>
      <c r="I183" s="29"/>
      <c r="J183" s="30"/>
      <c r="K183" s="31">
        <v>0.02</v>
      </c>
      <c r="L183" s="31">
        <v>0.02</v>
      </c>
      <c r="M183" s="31">
        <v>0.02</v>
      </c>
      <c r="N183" s="31">
        <v>0.02</v>
      </c>
      <c r="O183" s="31">
        <v>0.02</v>
      </c>
      <c r="P183" s="31">
        <v>0.02</v>
      </c>
      <c r="Q183" s="31">
        <v>0.02</v>
      </c>
      <c r="R183" s="31">
        <v>0.02</v>
      </c>
      <c r="S183" s="31">
        <v>0.02</v>
      </c>
      <c r="T183" s="31">
        <v>0.02</v>
      </c>
    </row>
    <row r="184" spans="1:20" outlineLevel="1">
      <c r="B184" s="28" t="s">
        <v>29</v>
      </c>
      <c r="C184" s="29"/>
      <c r="D184" s="29"/>
      <c r="E184" s="29"/>
      <c r="F184" s="29"/>
      <c r="G184" s="29"/>
      <c r="H184" s="29"/>
      <c r="I184" s="29"/>
      <c r="J184" s="30"/>
      <c r="K184" s="31">
        <v>0.02</v>
      </c>
      <c r="L184" s="31">
        <v>0.02</v>
      </c>
      <c r="M184" s="31">
        <v>0.02</v>
      </c>
      <c r="N184" s="31">
        <v>0.02</v>
      </c>
      <c r="O184" s="31">
        <v>0.02</v>
      </c>
      <c r="P184" s="31">
        <v>0.02</v>
      </c>
      <c r="Q184" s="31">
        <v>0.02</v>
      </c>
      <c r="R184" s="31">
        <v>0.02</v>
      </c>
      <c r="S184" s="31">
        <v>0.02</v>
      </c>
      <c r="T184" s="31">
        <v>0.02</v>
      </c>
    </row>
    <row r="185" spans="1:20" outlineLevel="1">
      <c r="B185" s="18" t="str">
        <f>"Current Case- "&amp;CHOOSE($K$4,$B$16,$B$17,$B$18)</f>
        <v>Current Case- Management Case</v>
      </c>
      <c r="C185" s="17"/>
      <c r="D185" s="17"/>
      <c r="E185" s="17"/>
      <c r="F185" s="17"/>
      <c r="G185" s="17"/>
      <c r="H185" s="17"/>
      <c r="I185" s="17"/>
      <c r="J185" s="32"/>
      <c r="K185" s="33">
        <f>CHOOSE($K$4,K182,K183,K184)</f>
        <v>0.02</v>
      </c>
      <c r="L185" s="33">
        <f t="shared" ref="L185" si="71">CHOOSE($K$4,L182,L183,L184)</f>
        <v>0.02</v>
      </c>
      <c r="M185" s="33">
        <f t="shared" ref="M185" si="72">CHOOSE($K$4,M182,M183,M184)</f>
        <v>0.02</v>
      </c>
      <c r="N185" s="33">
        <f t="shared" ref="N185" si="73">CHOOSE($K$4,N182,N183,N184)</f>
        <v>0.02</v>
      </c>
      <c r="O185" s="33">
        <f t="shared" ref="O185:T185" si="74">CHOOSE($K$4,O182,O183,O184)</f>
        <v>0.02</v>
      </c>
      <c r="P185" s="33">
        <f t="shared" si="74"/>
        <v>0.02</v>
      </c>
      <c r="Q185" s="33">
        <f t="shared" si="74"/>
        <v>0.02</v>
      </c>
      <c r="R185" s="33">
        <f t="shared" si="74"/>
        <v>0.02</v>
      </c>
      <c r="S185" s="33">
        <f t="shared" si="74"/>
        <v>0.02</v>
      </c>
      <c r="T185" s="33">
        <f t="shared" si="74"/>
        <v>0.02</v>
      </c>
    </row>
    <row r="186" spans="1:20" outlineLevel="1">
      <c r="B186" s="20"/>
      <c r="J186" s="205"/>
      <c r="K186" s="366"/>
      <c r="L186" s="366"/>
      <c r="M186" s="366"/>
      <c r="N186" s="366"/>
      <c r="O186" s="366"/>
      <c r="P186" s="366"/>
      <c r="Q186" s="366"/>
      <c r="R186" s="366"/>
      <c r="S186" s="366"/>
      <c r="T186" s="366"/>
    </row>
    <row r="187" spans="1:20" outlineLevel="1">
      <c r="B187" s="34" t="s">
        <v>703</v>
      </c>
      <c r="C187" s="35"/>
      <c r="D187" s="35"/>
      <c r="E187" s="35"/>
      <c r="F187" s="35"/>
      <c r="G187" s="35"/>
      <c r="H187" s="35"/>
      <c r="I187" s="35"/>
      <c r="J187" s="35"/>
      <c r="K187" s="35"/>
      <c r="L187" s="35"/>
      <c r="M187" s="35"/>
      <c r="N187" s="35"/>
      <c r="O187" s="35"/>
      <c r="P187" s="35"/>
      <c r="Q187" s="35"/>
      <c r="R187" s="35"/>
      <c r="S187" s="35"/>
      <c r="T187" s="35"/>
    </row>
    <row r="188" spans="1:20" outlineLevel="1">
      <c r="B188" s="28" t="s">
        <v>28</v>
      </c>
      <c r="C188" s="29"/>
      <c r="D188" s="29"/>
      <c r="E188" s="29"/>
      <c r="F188" s="29"/>
      <c r="G188" s="29"/>
      <c r="H188" s="29"/>
      <c r="I188" s="29"/>
      <c r="J188" s="30"/>
      <c r="K188" s="31">
        <v>0.01</v>
      </c>
      <c r="L188" s="31">
        <v>0.01</v>
      </c>
      <c r="M188" s="31">
        <v>0.01</v>
      </c>
      <c r="N188" s="31">
        <v>0.01</v>
      </c>
      <c r="O188" s="31">
        <v>0.01</v>
      </c>
      <c r="P188" s="31">
        <v>0.01</v>
      </c>
      <c r="Q188" s="31">
        <v>0.01</v>
      </c>
      <c r="R188" s="31">
        <v>0.01</v>
      </c>
      <c r="S188" s="31">
        <v>0.01</v>
      </c>
      <c r="T188" s="31">
        <v>0.01</v>
      </c>
    </row>
    <row r="189" spans="1:20" outlineLevel="1">
      <c r="B189" s="28" t="s">
        <v>441</v>
      </c>
      <c r="C189" s="29"/>
      <c r="D189" s="29"/>
      <c r="E189" s="29"/>
      <c r="F189" s="29"/>
      <c r="G189" s="29"/>
      <c r="H189" s="29"/>
      <c r="I189" s="29"/>
      <c r="J189" s="30"/>
      <c r="K189" s="31">
        <v>0.01</v>
      </c>
      <c r="L189" s="31">
        <v>0.01</v>
      </c>
      <c r="M189" s="31">
        <v>0.01</v>
      </c>
      <c r="N189" s="31">
        <v>0.01</v>
      </c>
      <c r="O189" s="31">
        <v>0.01</v>
      </c>
      <c r="P189" s="31">
        <v>0.01</v>
      </c>
      <c r="Q189" s="31">
        <v>0.01</v>
      </c>
      <c r="R189" s="31">
        <v>0.01</v>
      </c>
      <c r="S189" s="31">
        <v>0.01</v>
      </c>
      <c r="T189" s="31">
        <v>0.01</v>
      </c>
    </row>
    <row r="190" spans="1:20" outlineLevel="1">
      <c r="B190" s="28" t="s">
        <v>29</v>
      </c>
      <c r="C190" s="29"/>
      <c r="D190" s="29"/>
      <c r="E190" s="29"/>
      <c r="F190" s="29"/>
      <c r="G190" s="29"/>
      <c r="H190" s="29"/>
      <c r="I190" s="29"/>
      <c r="J190" s="30"/>
      <c r="K190" s="31">
        <v>0.01</v>
      </c>
      <c r="L190" s="31">
        <v>0.01</v>
      </c>
      <c r="M190" s="31">
        <v>0.01</v>
      </c>
      <c r="N190" s="31">
        <v>0.01</v>
      </c>
      <c r="O190" s="31">
        <v>0.01</v>
      </c>
      <c r="P190" s="31">
        <v>0.01</v>
      </c>
      <c r="Q190" s="31">
        <v>0.01</v>
      </c>
      <c r="R190" s="31">
        <v>0.01</v>
      </c>
      <c r="S190" s="31">
        <v>0.01</v>
      </c>
      <c r="T190" s="31">
        <v>0.01</v>
      </c>
    </row>
    <row r="191" spans="1:20" outlineLevel="1">
      <c r="B191" s="18" t="str">
        <f>"Current Case- "&amp;CHOOSE($K$4,$B$16,$B$17,$B$18)</f>
        <v>Current Case- Management Case</v>
      </c>
      <c r="C191" s="17"/>
      <c r="D191" s="17"/>
      <c r="E191" s="17"/>
      <c r="F191" s="17"/>
      <c r="G191" s="17"/>
      <c r="H191" s="17"/>
      <c r="I191" s="17"/>
      <c r="J191" s="32"/>
      <c r="K191" s="33">
        <f>CHOOSE($K$4,K188,K189,K190)</f>
        <v>0.01</v>
      </c>
      <c r="L191" s="33">
        <f t="shared" ref="L191:O191" si="75">CHOOSE($K$4,L188,L189,L190)</f>
        <v>0.01</v>
      </c>
      <c r="M191" s="33">
        <f t="shared" si="75"/>
        <v>0.01</v>
      </c>
      <c r="N191" s="33">
        <f t="shared" si="75"/>
        <v>0.01</v>
      </c>
      <c r="O191" s="33">
        <f t="shared" si="75"/>
        <v>0.01</v>
      </c>
      <c r="P191" s="33">
        <f t="shared" ref="P191:T191" si="76">CHOOSE($K$4,P188,P189,P190)</f>
        <v>0.01</v>
      </c>
      <c r="Q191" s="33">
        <f t="shared" si="76"/>
        <v>0.01</v>
      </c>
      <c r="R191" s="33">
        <f t="shared" si="76"/>
        <v>0.01</v>
      </c>
      <c r="S191" s="33">
        <f t="shared" si="76"/>
        <v>0.01</v>
      </c>
      <c r="T191" s="33">
        <f t="shared" si="76"/>
        <v>0.01</v>
      </c>
    </row>
    <row r="192" spans="1:20" outlineLevel="1">
      <c r="B192" s="20"/>
      <c r="J192" s="205"/>
      <c r="K192" s="366"/>
      <c r="L192" s="366"/>
      <c r="M192" s="366"/>
      <c r="N192" s="366"/>
      <c r="O192" s="366"/>
      <c r="P192" s="366"/>
      <c r="Q192" s="366"/>
      <c r="R192" s="366"/>
      <c r="S192" s="366"/>
      <c r="T192" s="366"/>
    </row>
    <row r="193" spans="1:20" outlineLevel="1">
      <c r="B193" s="34" t="s">
        <v>701</v>
      </c>
      <c r="C193" s="35"/>
      <c r="D193" s="35"/>
      <c r="E193" s="35"/>
      <c r="F193" s="35"/>
      <c r="G193" s="35"/>
      <c r="H193" s="35"/>
      <c r="I193" s="35"/>
      <c r="J193" s="35"/>
      <c r="K193" s="35"/>
      <c r="L193" s="35"/>
      <c r="M193" s="35"/>
      <c r="N193" s="35"/>
      <c r="O193" s="35"/>
      <c r="P193" s="35"/>
      <c r="Q193" s="35"/>
      <c r="R193" s="35"/>
      <c r="S193" s="35"/>
      <c r="T193" s="35"/>
    </row>
    <row r="194" spans="1:20" outlineLevel="1">
      <c r="B194" s="28" t="s">
        <v>28</v>
      </c>
      <c r="C194" s="29"/>
      <c r="D194" s="29"/>
      <c r="E194" s="29"/>
      <c r="F194" s="29"/>
      <c r="G194" s="29"/>
      <c r="H194" s="29"/>
      <c r="I194" s="29"/>
      <c r="J194" s="30"/>
      <c r="K194" s="31">
        <v>0</v>
      </c>
      <c r="L194" s="31">
        <v>0</v>
      </c>
      <c r="M194" s="31">
        <v>0</v>
      </c>
      <c r="N194" s="31">
        <v>0</v>
      </c>
      <c r="O194" s="31">
        <v>0</v>
      </c>
      <c r="P194" s="31">
        <v>0</v>
      </c>
      <c r="Q194" s="31">
        <v>0</v>
      </c>
      <c r="R194" s="31">
        <v>0</v>
      </c>
      <c r="S194" s="31">
        <v>0</v>
      </c>
      <c r="T194" s="31">
        <v>0</v>
      </c>
    </row>
    <row r="195" spans="1:20" outlineLevel="1">
      <c r="B195" s="28" t="s">
        <v>441</v>
      </c>
      <c r="C195" s="29"/>
      <c r="D195" s="29"/>
      <c r="E195" s="29"/>
      <c r="F195" s="29"/>
      <c r="G195" s="29"/>
      <c r="H195" s="29"/>
      <c r="I195" s="29"/>
      <c r="J195" s="30"/>
      <c r="K195" s="31">
        <v>0</v>
      </c>
      <c r="L195" s="31">
        <v>0</v>
      </c>
      <c r="M195" s="31">
        <v>0</v>
      </c>
      <c r="N195" s="31">
        <v>0</v>
      </c>
      <c r="O195" s="31">
        <v>0</v>
      </c>
      <c r="P195" s="31">
        <v>0</v>
      </c>
      <c r="Q195" s="31">
        <v>0</v>
      </c>
      <c r="R195" s="31">
        <v>0</v>
      </c>
      <c r="S195" s="31">
        <v>0</v>
      </c>
      <c r="T195" s="31">
        <v>0</v>
      </c>
    </row>
    <row r="196" spans="1:20" outlineLevel="1">
      <c r="B196" s="28" t="s">
        <v>29</v>
      </c>
      <c r="C196" s="29"/>
      <c r="D196" s="29"/>
      <c r="E196" s="29"/>
      <c r="F196" s="29"/>
      <c r="G196" s="29"/>
      <c r="H196" s="29"/>
      <c r="I196" s="29"/>
      <c r="J196" s="30"/>
      <c r="K196" s="31">
        <v>0</v>
      </c>
      <c r="L196" s="31">
        <v>0</v>
      </c>
      <c r="M196" s="31">
        <v>0</v>
      </c>
      <c r="N196" s="31">
        <v>0</v>
      </c>
      <c r="O196" s="31">
        <v>0</v>
      </c>
      <c r="P196" s="31">
        <v>0</v>
      </c>
      <c r="Q196" s="31">
        <v>0</v>
      </c>
      <c r="R196" s="31">
        <v>0</v>
      </c>
      <c r="S196" s="31">
        <v>0</v>
      </c>
      <c r="T196" s="31">
        <v>0</v>
      </c>
    </row>
    <row r="197" spans="1:20" outlineLevel="1">
      <c r="B197" s="18" t="str">
        <f>"Current Case- "&amp;CHOOSE($K$4,$B$16,$B$17,$B$18)</f>
        <v>Current Case- Management Case</v>
      </c>
      <c r="C197" s="17"/>
      <c r="D197" s="17"/>
      <c r="E197" s="17"/>
      <c r="F197" s="17"/>
      <c r="G197" s="17"/>
      <c r="H197" s="17"/>
      <c r="I197" s="17"/>
      <c r="J197" s="32"/>
      <c r="K197" s="33">
        <f>CHOOSE($K$4,K194,K195,K196)</f>
        <v>0</v>
      </c>
      <c r="L197" s="33">
        <f t="shared" ref="L197:O197" si="77">CHOOSE($K$4,L194,L195,L196)</f>
        <v>0</v>
      </c>
      <c r="M197" s="33">
        <f t="shared" si="77"/>
        <v>0</v>
      </c>
      <c r="N197" s="33">
        <f t="shared" si="77"/>
        <v>0</v>
      </c>
      <c r="O197" s="33">
        <f t="shared" si="77"/>
        <v>0</v>
      </c>
      <c r="P197" s="33">
        <f t="shared" ref="P197:T197" si="78">CHOOSE($K$4,P194,P195,P196)</f>
        <v>0</v>
      </c>
      <c r="Q197" s="33">
        <f t="shared" si="78"/>
        <v>0</v>
      </c>
      <c r="R197" s="33">
        <f t="shared" si="78"/>
        <v>0</v>
      </c>
      <c r="S197" s="33">
        <f t="shared" si="78"/>
        <v>0</v>
      </c>
      <c r="T197" s="33">
        <f t="shared" si="78"/>
        <v>0</v>
      </c>
    </row>
    <row r="199" spans="1:20" ht="18">
      <c r="A199" t="s">
        <v>27</v>
      </c>
      <c r="B199" s="22" t="s">
        <v>36</v>
      </c>
      <c r="C199" s="21"/>
      <c r="D199" s="21"/>
      <c r="E199" s="21"/>
      <c r="F199" s="21"/>
      <c r="G199" s="21"/>
      <c r="H199" s="21"/>
      <c r="I199" s="21"/>
      <c r="J199" s="21"/>
      <c r="K199" s="21"/>
      <c r="L199" s="21"/>
      <c r="M199" s="21"/>
      <c r="N199" s="21"/>
      <c r="O199" s="21"/>
      <c r="P199" s="21"/>
      <c r="Q199" s="21"/>
      <c r="R199" s="21"/>
      <c r="S199" s="21"/>
      <c r="T199" s="21"/>
    </row>
    <row r="200" spans="1:20" outlineLevel="1"/>
    <row r="201" spans="1:20" outlineLevel="1">
      <c r="B201" s="34" t="s">
        <v>37</v>
      </c>
      <c r="C201" s="35"/>
      <c r="D201" s="35"/>
      <c r="E201" s="35"/>
      <c r="F201" s="35"/>
      <c r="G201" s="35"/>
      <c r="H201" s="35"/>
      <c r="I201" s="35"/>
      <c r="J201" s="35"/>
      <c r="K201" s="35"/>
      <c r="L201" s="35"/>
      <c r="M201" s="35"/>
      <c r="N201" s="35"/>
      <c r="O201" s="35"/>
      <c r="P201" s="35"/>
      <c r="Q201" s="35"/>
      <c r="R201" s="35"/>
      <c r="S201" s="35"/>
      <c r="T201" s="35"/>
    </row>
    <row r="202" spans="1:20" outlineLevel="1">
      <c r="B202" s="28" t="s">
        <v>28</v>
      </c>
      <c r="C202" s="29"/>
      <c r="D202" s="29"/>
      <c r="E202" s="29"/>
      <c r="F202" s="29"/>
      <c r="G202" s="29"/>
      <c r="H202" s="29"/>
      <c r="I202" s="29"/>
      <c r="J202" s="30"/>
      <c r="K202" s="31">
        <v>0.9</v>
      </c>
      <c r="L202" s="31">
        <v>0.92</v>
      </c>
      <c r="M202" s="31">
        <v>0.94</v>
      </c>
      <c r="N202" s="31">
        <v>0.96</v>
      </c>
      <c r="O202" s="31">
        <v>0.98</v>
      </c>
      <c r="P202" s="31">
        <v>1</v>
      </c>
      <c r="Q202" s="31">
        <v>1.02</v>
      </c>
      <c r="R202" s="31">
        <v>1.04</v>
      </c>
      <c r="S202" s="31">
        <v>1.06</v>
      </c>
      <c r="T202" s="31">
        <v>1.08</v>
      </c>
    </row>
    <row r="203" spans="1:20" outlineLevel="1">
      <c r="B203" s="28" t="s">
        <v>441</v>
      </c>
      <c r="C203" s="29"/>
      <c r="D203" s="29"/>
      <c r="E203" s="29"/>
      <c r="F203" s="29"/>
      <c r="G203" s="29"/>
      <c r="H203" s="29"/>
      <c r="I203" s="29"/>
      <c r="J203" s="30"/>
      <c r="K203" s="31">
        <v>0.9</v>
      </c>
      <c r="L203" s="31">
        <v>0.92</v>
      </c>
      <c r="M203" s="31">
        <v>0.94</v>
      </c>
      <c r="N203" s="31">
        <v>0.96</v>
      </c>
      <c r="O203" s="31">
        <v>0.98</v>
      </c>
      <c r="P203" s="31">
        <v>1</v>
      </c>
      <c r="Q203" s="31">
        <v>1.02</v>
      </c>
      <c r="R203" s="31">
        <v>1.04</v>
      </c>
      <c r="S203" s="31">
        <v>1.06</v>
      </c>
      <c r="T203" s="31">
        <v>1.08</v>
      </c>
    </row>
    <row r="204" spans="1:20" outlineLevel="1">
      <c r="B204" s="28" t="s">
        <v>29</v>
      </c>
      <c r="C204" s="29"/>
      <c r="D204" s="29"/>
      <c r="E204" s="29"/>
      <c r="F204" s="29"/>
      <c r="G204" s="29"/>
      <c r="H204" s="29"/>
      <c r="I204" s="29"/>
      <c r="J204" s="30"/>
      <c r="K204" s="31">
        <v>0.9</v>
      </c>
      <c r="L204" s="31">
        <v>0.92</v>
      </c>
      <c r="M204" s="31">
        <v>0.94</v>
      </c>
      <c r="N204" s="31">
        <v>0.96</v>
      </c>
      <c r="O204" s="31">
        <v>0.98</v>
      </c>
      <c r="P204" s="31">
        <v>1</v>
      </c>
      <c r="Q204" s="31">
        <v>1.02</v>
      </c>
      <c r="R204" s="31">
        <v>1.04</v>
      </c>
      <c r="S204" s="31">
        <v>1.06</v>
      </c>
      <c r="T204" s="31">
        <v>1.08</v>
      </c>
    </row>
    <row r="205" spans="1:20" outlineLevel="1">
      <c r="B205" s="18" t="str">
        <f>"Current Case- "&amp;CHOOSE($K$4,$B$16,$B$17,$B$18)</f>
        <v>Current Case- Management Case</v>
      </c>
      <c r="C205" s="17"/>
      <c r="D205" s="17"/>
      <c r="E205" s="17"/>
      <c r="F205" s="17"/>
      <c r="G205" s="17"/>
      <c r="H205" s="17"/>
      <c r="I205" s="17"/>
      <c r="J205" s="32"/>
      <c r="K205" s="33">
        <f>CHOOSE($K$4,K202,K203,K204)</f>
        <v>0.9</v>
      </c>
      <c r="L205" s="33">
        <f t="shared" ref="L205" si="79">CHOOSE($K$4,L202,L203,L204)</f>
        <v>0.92</v>
      </c>
      <c r="M205" s="33">
        <f t="shared" ref="M205" si="80">CHOOSE($K$4,M202,M203,M204)</f>
        <v>0.94</v>
      </c>
      <c r="N205" s="33">
        <f t="shared" ref="N205" si="81">CHOOSE($K$4,N202,N203,N204)</f>
        <v>0.96</v>
      </c>
      <c r="O205" s="33">
        <f t="shared" ref="O205:T205" si="82">CHOOSE($K$4,O202,O203,O204)</f>
        <v>0.98</v>
      </c>
      <c r="P205" s="33">
        <f t="shared" si="82"/>
        <v>1</v>
      </c>
      <c r="Q205" s="33">
        <f t="shared" si="82"/>
        <v>1.02</v>
      </c>
      <c r="R205" s="33">
        <f t="shared" si="82"/>
        <v>1.04</v>
      </c>
      <c r="S205" s="33">
        <f t="shared" si="82"/>
        <v>1.06</v>
      </c>
      <c r="T205" s="33">
        <f t="shared" si="82"/>
        <v>1.08</v>
      </c>
    </row>
  </sheetData>
  <mergeCells count="3">
    <mergeCell ref="K8:O8"/>
    <mergeCell ref="E8:J8"/>
    <mergeCell ref="P8:T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7</xdr:col>
                    <xdr:colOff>335280</xdr:colOff>
                    <xdr:row>2</xdr:row>
                    <xdr:rowOff>213360</xdr:rowOff>
                  </from>
                  <to>
                    <xdr:col>9</xdr:col>
                    <xdr:colOff>121920</xdr:colOff>
                    <xdr:row>4</xdr:row>
                    <xdr:rowOff>7620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6193-A9E6-48D3-97A6-FE6AE8F061CF}">
  <dimension ref="A2:T270"/>
  <sheetViews>
    <sheetView showGridLines="0" zoomScale="90" zoomScaleNormal="90" workbookViewId="0">
      <pane xSplit="1" ySplit="9" topLeftCell="B67" activePane="bottomRight" state="frozen"/>
      <selection pane="topRight" activeCell="B1" sqref="B1"/>
      <selection pane="bottomLeft" activeCell="A10" sqref="A10"/>
      <selection pane="bottomRight" activeCell="B9" sqref="B9"/>
    </sheetView>
  </sheetViews>
  <sheetFormatPr defaultRowHeight="14.4" outlineLevelRow="1"/>
  <cols>
    <col min="1" max="1" width="1.88671875" customWidth="1"/>
    <col min="2" max="2" width="32.33203125" customWidth="1"/>
    <col min="3" max="3" width="9.109375" customWidth="1"/>
    <col min="4" max="4" width="18.77734375" customWidth="1"/>
    <col min="5" max="10" width="8.88671875" customWidth="1"/>
    <col min="11" max="15" width="10" bestFit="1" customWidth="1"/>
    <col min="16" max="20" width="10.33203125" bestFit="1" customWidth="1"/>
  </cols>
  <sheetData>
    <row r="2" spans="1:20" ht="21">
      <c r="B2" s="13" t="str">
        <f>'Input Sheet'!C6</f>
        <v>Hindustan Unilever Ltd.</v>
      </c>
    </row>
    <row r="3" spans="1:20" ht="18">
      <c r="B3" s="15" t="s">
        <v>38</v>
      </c>
    </row>
    <row r="4" spans="1:20">
      <c r="I4" t="s">
        <v>39</v>
      </c>
    </row>
    <row r="8" spans="1:20">
      <c r="E8" s="708" t="s">
        <v>24</v>
      </c>
      <c r="F8" s="708"/>
      <c r="G8" s="708"/>
      <c r="H8" s="708"/>
      <c r="I8" s="708"/>
      <c r="J8" s="708"/>
      <c r="K8" s="707" t="s">
        <v>25</v>
      </c>
      <c r="L8" s="707"/>
      <c r="M8" s="707"/>
      <c r="N8" s="707"/>
      <c r="O8" s="707"/>
      <c r="P8" s="708" t="s">
        <v>1056</v>
      </c>
      <c r="Q8" s="708"/>
      <c r="R8" s="708"/>
      <c r="S8" s="708"/>
      <c r="T8" s="708"/>
    </row>
    <row r="9" spans="1:20">
      <c r="B9" s="16" t="s">
        <v>1300</v>
      </c>
      <c r="E9" s="19">
        <v>2020</v>
      </c>
      <c r="F9" s="19">
        <f>E9+1</f>
        <v>2021</v>
      </c>
      <c r="G9" s="19">
        <f t="shared" ref="G9:O9" si="0">F9+1</f>
        <v>2022</v>
      </c>
      <c r="H9" s="19">
        <f t="shared" si="0"/>
        <v>2023</v>
      </c>
      <c r="I9" s="19">
        <f t="shared" si="0"/>
        <v>2024</v>
      </c>
      <c r="J9" s="19">
        <f t="shared" si="0"/>
        <v>2025</v>
      </c>
      <c r="K9" s="19">
        <f t="shared" si="0"/>
        <v>2026</v>
      </c>
      <c r="L9" s="19">
        <f t="shared" si="0"/>
        <v>2027</v>
      </c>
      <c r="M9" s="19">
        <f t="shared" si="0"/>
        <v>2028</v>
      </c>
      <c r="N9" s="19">
        <f t="shared" si="0"/>
        <v>2029</v>
      </c>
      <c r="O9" s="19">
        <f t="shared" si="0"/>
        <v>2030</v>
      </c>
      <c r="P9" s="19">
        <f t="shared" ref="P9" si="1">O9+1</f>
        <v>2031</v>
      </c>
      <c r="Q9" s="19">
        <f t="shared" ref="Q9" si="2">P9+1</f>
        <v>2032</v>
      </c>
      <c r="R9" s="19">
        <f t="shared" ref="R9" si="3">Q9+1</f>
        <v>2033</v>
      </c>
      <c r="S9" s="19">
        <f t="shared" ref="S9" si="4">R9+1</f>
        <v>2034</v>
      </c>
      <c r="T9" s="19">
        <f t="shared" ref="T9" si="5">S9+1</f>
        <v>2035</v>
      </c>
    </row>
    <row r="11" spans="1:20" ht="18">
      <c r="A11" t="s">
        <v>27</v>
      </c>
      <c r="B11" s="22" t="s">
        <v>40</v>
      </c>
      <c r="C11" s="21"/>
      <c r="D11" s="21"/>
      <c r="E11" s="21"/>
      <c r="F11" s="21"/>
      <c r="G11" s="21"/>
      <c r="H11" s="21"/>
      <c r="I11" s="21"/>
      <c r="J11" s="21"/>
      <c r="K11" s="21"/>
      <c r="L11" s="21"/>
      <c r="M11" s="21"/>
      <c r="N11" s="21"/>
      <c r="O11" s="21"/>
      <c r="P11" s="21"/>
      <c r="Q11" s="21"/>
      <c r="R11" s="21"/>
      <c r="S11" s="21"/>
      <c r="T11" s="21"/>
    </row>
    <row r="12" spans="1:20" outlineLevel="1"/>
    <row r="13" spans="1:20" ht="15.6" outlineLevel="1">
      <c r="B13" s="23" t="s">
        <v>509</v>
      </c>
      <c r="C13" s="24"/>
      <c r="D13" s="24"/>
      <c r="E13" s="24"/>
      <c r="F13" s="24"/>
      <c r="G13" s="24"/>
      <c r="H13" s="24"/>
      <c r="I13" s="24"/>
      <c r="J13" s="24"/>
      <c r="K13" s="24"/>
      <c r="L13" s="24"/>
      <c r="M13" s="24"/>
      <c r="N13" s="24"/>
      <c r="O13" s="24"/>
      <c r="P13" s="24"/>
      <c r="Q13" s="24"/>
      <c r="R13" s="24"/>
      <c r="S13" s="24"/>
      <c r="T13" s="24"/>
    </row>
    <row r="14" spans="1:20" ht="1.8" customHeight="1" outlineLevel="1">
      <c r="B14" s="25"/>
      <c r="C14" s="25"/>
      <c r="D14" s="25"/>
      <c r="E14" s="25"/>
      <c r="F14" s="25"/>
      <c r="G14" s="25"/>
      <c r="H14" s="25"/>
      <c r="I14" s="25"/>
      <c r="J14" s="25"/>
      <c r="K14" s="25"/>
      <c r="L14" s="25"/>
      <c r="M14" s="25"/>
      <c r="N14" s="25"/>
      <c r="O14" s="25"/>
      <c r="P14" s="25"/>
      <c r="Q14" s="25"/>
      <c r="R14" s="25"/>
      <c r="S14" s="25"/>
      <c r="T14" s="25"/>
    </row>
    <row r="15" spans="1:20" outlineLevel="1">
      <c r="B15" t="s">
        <v>359</v>
      </c>
      <c r="E15" s="246">
        <v>13640</v>
      </c>
      <c r="F15" s="246">
        <v>13957</v>
      </c>
      <c r="G15" s="246">
        <v>16570</v>
      </c>
      <c r="H15" s="246">
        <v>21233</v>
      </c>
      <c r="I15" s="246">
        <v>21822</v>
      </c>
      <c r="J15" s="246">
        <v>22958</v>
      </c>
      <c r="K15" s="247">
        <f>J15*(1+K22)</f>
        <v>25483.38</v>
      </c>
      <c r="L15" s="247">
        <f t="shared" ref="L15:O15" si="6">K15*(1+L22)</f>
        <v>28286.551800000005</v>
      </c>
      <c r="M15" s="247">
        <f t="shared" si="6"/>
        <v>31398.072498000009</v>
      </c>
      <c r="N15" s="247">
        <f t="shared" si="6"/>
        <v>34851.860472780012</v>
      </c>
      <c r="O15" s="247">
        <f t="shared" si="6"/>
        <v>38685.565124785819</v>
      </c>
      <c r="P15" s="247">
        <f t="shared" ref="P15:P19" si="7">O15*(1+P22)</f>
        <v>42940.977288512266</v>
      </c>
      <c r="Q15" s="247">
        <f t="shared" ref="Q15:Q19" si="8">P15*(1+Q22)</f>
        <v>47664.484790248622</v>
      </c>
      <c r="R15" s="247">
        <f t="shared" ref="R15:R19" si="9">Q15*(1+R22)</f>
        <v>52430.93326927349</v>
      </c>
      <c r="S15" s="247">
        <f t="shared" ref="S15:S19" si="10">R15*(1+S22)</f>
        <v>57149.717263508108</v>
      </c>
      <c r="T15" s="247">
        <f t="shared" ref="T15:T19" si="11">S15*(1+T22)</f>
        <v>61721.694644588759</v>
      </c>
    </row>
    <row r="16" spans="1:20" outlineLevel="1">
      <c r="B16" t="s">
        <v>431</v>
      </c>
      <c r="E16" s="246">
        <v>17488</v>
      </c>
      <c r="F16" s="246">
        <v>18038</v>
      </c>
      <c r="G16" s="246">
        <v>19567</v>
      </c>
      <c r="H16" s="246">
        <v>22022</v>
      </c>
      <c r="I16" s="246">
        <v>13037</v>
      </c>
      <c r="J16" s="246">
        <v>13523</v>
      </c>
      <c r="K16" s="247">
        <f t="shared" ref="K16:K19" si="12">J16*(1+K23)</f>
        <v>14334.380000000001</v>
      </c>
      <c r="L16" s="247">
        <f t="shared" ref="L16:L19" si="13">K16*(1+L23)</f>
        <v>15194.442800000003</v>
      </c>
      <c r="M16" s="247">
        <f t="shared" ref="M16:M19" si="14">L16*(1+M23)</f>
        <v>16106.109368000003</v>
      </c>
      <c r="N16" s="247">
        <f t="shared" ref="N16:N19" si="15">M16*(1+N23)</f>
        <v>17072.475930080003</v>
      </c>
      <c r="O16" s="247">
        <f t="shared" ref="O16:O19" si="16">N16*(1+O23)</f>
        <v>18096.824485884805</v>
      </c>
      <c r="P16" s="247">
        <f t="shared" si="7"/>
        <v>19182.633955037894</v>
      </c>
      <c r="Q16" s="247">
        <f t="shared" si="8"/>
        <v>20333.591992340171</v>
      </c>
      <c r="R16" s="247">
        <f t="shared" si="9"/>
        <v>21553.607511880582</v>
      </c>
      <c r="S16" s="247">
        <f t="shared" si="10"/>
        <v>22846.823962593418</v>
      </c>
      <c r="T16" s="247">
        <f t="shared" si="11"/>
        <v>24217.633400349026</v>
      </c>
    </row>
    <row r="17" spans="2:20" outlineLevel="1">
      <c r="B17" t="s">
        <v>435</v>
      </c>
      <c r="E17" s="246">
        <v>0</v>
      </c>
      <c r="F17" s="246">
        <v>0</v>
      </c>
      <c r="G17" s="246">
        <v>0</v>
      </c>
      <c r="H17" s="246">
        <v>0</v>
      </c>
      <c r="I17" s="246">
        <v>9411</v>
      </c>
      <c r="J17" s="246">
        <v>9166</v>
      </c>
      <c r="K17" s="247">
        <f t="shared" si="12"/>
        <v>10357.58</v>
      </c>
      <c r="L17" s="247">
        <f t="shared" si="13"/>
        <v>11704.065399999999</v>
      </c>
      <c r="M17" s="247">
        <f t="shared" si="14"/>
        <v>13225.593901999999</v>
      </c>
      <c r="N17" s="247">
        <f t="shared" si="15"/>
        <v>14944.921109259996</v>
      </c>
      <c r="O17" s="247">
        <f t="shared" si="16"/>
        <v>16887.760853463795</v>
      </c>
      <c r="P17" s="247">
        <f t="shared" si="7"/>
        <v>19083.169764414088</v>
      </c>
      <c r="Q17" s="247">
        <f t="shared" si="8"/>
        <v>21563.981833787919</v>
      </c>
      <c r="R17" s="247">
        <f t="shared" si="9"/>
        <v>24367.299472180344</v>
      </c>
      <c r="S17" s="247">
        <f t="shared" si="10"/>
        <v>27535.048403563786</v>
      </c>
      <c r="T17" s="247">
        <f t="shared" si="11"/>
        <v>31114.604696027076</v>
      </c>
    </row>
    <row r="18" spans="2:20" outlineLevel="1">
      <c r="B18" t="s">
        <v>436</v>
      </c>
      <c r="E18" s="246">
        <v>7450</v>
      </c>
      <c r="F18" s="246">
        <v>13204</v>
      </c>
      <c r="G18" s="246">
        <v>14105</v>
      </c>
      <c r="H18" s="246">
        <v>14876</v>
      </c>
      <c r="I18" s="246">
        <v>15291</v>
      </c>
      <c r="J18" s="246">
        <v>15294</v>
      </c>
      <c r="K18" s="247">
        <f t="shared" si="12"/>
        <v>16211.640000000001</v>
      </c>
      <c r="L18" s="247">
        <f t="shared" si="13"/>
        <v>17184.338400000001</v>
      </c>
      <c r="M18" s="247">
        <f t="shared" si="14"/>
        <v>18215.398704000003</v>
      </c>
      <c r="N18" s="247">
        <f t="shared" si="15"/>
        <v>19308.322626240006</v>
      </c>
      <c r="O18" s="247">
        <f t="shared" si="16"/>
        <v>20466.821983814407</v>
      </c>
      <c r="P18" s="247">
        <f t="shared" si="7"/>
        <v>21694.831302843271</v>
      </c>
      <c r="Q18" s="247">
        <f t="shared" si="8"/>
        <v>22779.572867985436</v>
      </c>
      <c r="R18" s="247">
        <f t="shared" si="9"/>
        <v>23690.755782704855</v>
      </c>
      <c r="S18" s="247">
        <f t="shared" si="10"/>
        <v>24401.478456186</v>
      </c>
      <c r="T18" s="247">
        <f t="shared" si="11"/>
        <v>24889.508025309719</v>
      </c>
    </row>
    <row r="19" spans="2:20" outlineLevel="1">
      <c r="B19" t="s">
        <v>433</v>
      </c>
      <c r="E19" s="246">
        <v>1205</v>
      </c>
      <c r="F19" s="246">
        <v>1829</v>
      </c>
      <c r="G19" s="246">
        <v>2204</v>
      </c>
      <c r="H19" s="246">
        <v>2459</v>
      </c>
      <c r="I19" s="246">
        <v>2275</v>
      </c>
      <c r="J19" s="246">
        <v>2180</v>
      </c>
      <c r="K19" s="247">
        <f t="shared" si="12"/>
        <v>2223.6</v>
      </c>
      <c r="L19" s="247">
        <f t="shared" si="13"/>
        <v>2268.0720000000001</v>
      </c>
      <c r="M19" s="247">
        <f t="shared" si="14"/>
        <v>2313.4334400000002</v>
      </c>
      <c r="N19" s="247">
        <f t="shared" si="15"/>
        <v>2359.7021088000001</v>
      </c>
      <c r="O19" s="247">
        <f t="shared" si="16"/>
        <v>2406.8961509760002</v>
      </c>
      <c r="P19" s="247">
        <f t="shared" si="7"/>
        <v>2455.0340739955204</v>
      </c>
      <c r="Q19" s="247">
        <f t="shared" si="8"/>
        <v>2504.1347554754307</v>
      </c>
      <c r="R19" s="247">
        <f t="shared" si="9"/>
        <v>2554.2174505849393</v>
      </c>
      <c r="S19" s="247">
        <f t="shared" si="10"/>
        <v>2605.3017995966384</v>
      </c>
      <c r="T19" s="247">
        <f t="shared" si="11"/>
        <v>2657.4078355885713</v>
      </c>
    </row>
    <row r="20" spans="2:20" outlineLevel="1">
      <c r="B20" s="39" t="s">
        <v>41</v>
      </c>
      <c r="C20" s="40"/>
      <c r="D20" s="40"/>
      <c r="E20" s="248">
        <f>SUM(E15:E19)</f>
        <v>39783</v>
      </c>
      <c r="F20" s="248">
        <f t="shared" ref="F20:O20" si="17">SUM(F15:F19)</f>
        <v>47028</v>
      </c>
      <c r="G20" s="248">
        <f t="shared" si="17"/>
        <v>52446</v>
      </c>
      <c r="H20" s="248">
        <f t="shared" si="17"/>
        <v>60590</v>
      </c>
      <c r="I20" s="248">
        <f t="shared" si="17"/>
        <v>61836</v>
      </c>
      <c r="J20" s="248">
        <f t="shared" si="17"/>
        <v>63121</v>
      </c>
      <c r="K20" s="248">
        <f t="shared" si="17"/>
        <v>68610.580000000016</v>
      </c>
      <c r="L20" s="248">
        <f t="shared" si="17"/>
        <v>74637.470400000006</v>
      </c>
      <c r="M20" s="248">
        <f t="shared" si="17"/>
        <v>81258.607912000007</v>
      </c>
      <c r="N20" s="248">
        <f t="shared" si="17"/>
        <v>88537.282247160038</v>
      </c>
      <c r="O20" s="248">
        <f t="shared" si="17"/>
        <v>96543.868598924819</v>
      </c>
      <c r="P20" s="248">
        <f t="shared" ref="P20:T20" si="18">SUM(P15:P19)</f>
        <v>105356.64638480304</v>
      </c>
      <c r="Q20" s="248">
        <f t="shared" si="18"/>
        <v>114845.76623983758</v>
      </c>
      <c r="R20" s="248">
        <f t="shared" si="18"/>
        <v>124596.8134866242</v>
      </c>
      <c r="S20" s="248">
        <f t="shared" si="18"/>
        <v>134538.36988544796</v>
      </c>
      <c r="T20" s="248">
        <f t="shared" si="18"/>
        <v>144600.84860186314</v>
      </c>
    </row>
    <row r="21" spans="2:20" outlineLevel="1"/>
    <row r="22" spans="2:20" outlineLevel="1">
      <c r="B22" s="41" t="s">
        <v>503</v>
      </c>
      <c r="C22" s="41"/>
      <c r="D22" s="41"/>
      <c r="E22" s="42">
        <f>'Control Sheet'!E19</f>
        <v>5.9499766972191948E-2</v>
      </c>
      <c r="F22" s="42">
        <f>'Control Sheet'!F19</f>
        <v>2.3240469208211101E-2</v>
      </c>
      <c r="G22" s="42">
        <f>'Control Sheet'!G19</f>
        <v>0.18721788349931945</v>
      </c>
      <c r="H22" s="42">
        <f>'Control Sheet'!H19</f>
        <v>0.28141219070609536</v>
      </c>
      <c r="I22" s="42">
        <f>'Control Sheet'!I19</f>
        <v>2.7739838929967453E-2</v>
      </c>
      <c r="J22" s="42">
        <f>'Control Sheet'!J19</f>
        <v>0.11</v>
      </c>
      <c r="K22" s="42">
        <f>'Control Sheet'!K19</f>
        <v>0.11</v>
      </c>
      <c r="L22" s="42">
        <f>'Control Sheet'!L19</f>
        <v>0.11</v>
      </c>
      <c r="M22" s="42">
        <f>'Control Sheet'!M19</f>
        <v>0.11</v>
      </c>
      <c r="N22" s="42">
        <f>'Control Sheet'!N19</f>
        <v>0.11</v>
      </c>
      <c r="O22" s="42">
        <f>'Control Sheet'!O19</f>
        <v>0.11</v>
      </c>
      <c r="P22" s="42">
        <f>'Control Sheet'!P19</f>
        <v>0.11</v>
      </c>
      <c r="Q22" s="42">
        <f>'Control Sheet'!Q19</f>
        <v>0.11</v>
      </c>
      <c r="R22" s="42">
        <f>'Control Sheet'!R19</f>
        <v>0.1</v>
      </c>
      <c r="S22" s="42">
        <f>'Control Sheet'!S19</f>
        <v>0.09</v>
      </c>
      <c r="T22" s="42">
        <f>'Control Sheet'!T19</f>
        <v>0.08</v>
      </c>
    </row>
    <row r="23" spans="2:20" outlineLevel="1">
      <c r="B23" s="41" t="s">
        <v>504</v>
      </c>
      <c r="C23" s="41"/>
      <c r="D23" s="41"/>
      <c r="E23" s="42">
        <f>'Control Sheet'!E27</f>
        <v>-1.752808988764043E-2</v>
      </c>
      <c r="F23" s="42">
        <f>'Control Sheet'!F27</f>
        <v>3.1450137236962439E-2</v>
      </c>
      <c r="G23" s="42">
        <f>'Control Sheet'!G27</f>
        <v>8.4765495065971752E-2</v>
      </c>
      <c r="H23" s="42">
        <f>'Control Sheet'!H27</f>
        <v>0.12546634639955023</v>
      </c>
      <c r="I23" s="42">
        <f>'Control Sheet'!I27</f>
        <v>-0.40800108981927163</v>
      </c>
      <c r="J23" s="42">
        <f>'Control Sheet'!J27</f>
        <v>3.7278514995781276E-2</v>
      </c>
      <c r="K23" s="42">
        <f>'Control Sheet'!K27</f>
        <v>0.06</v>
      </c>
      <c r="L23" s="42">
        <f>'Control Sheet'!L27</f>
        <v>0.06</v>
      </c>
      <c r="M23" s="42">
        <f>'Control Sheet'!M27</f>
        <v>0.06</v>
      </c>
      <c r="N23" s="42">
        <f>'Control Sheet'!N27</f>
        <v>0.06</v>
      </c>
      <c r="O23" s="42">
        <f>'Control Sheet'!O27</f>
        <v>0.06</v>
      </c>
      <c r="P23" s="42">
        <f>'Control Sheet'!P27</f>
        <v>0.06</v>
      </c>
      <c r="Q23" s="42">
        <f>'Control Sheet'!Q27</f>
        <v>0.06</v>
      </c>
      <c r="R23" s="42">
        <f>'Control Sheet'!R27</f>
        <v>0.06</v>
      </c>
      <c r="S23" s="42">
        <f>'Control Sheet'!S27</f>
        <v>0.06</v>
      </c>
      <c r="T23" s="42">
        <f>'Control Sheet'!T27</f>
        <v>0.06</v>
      </c>
    </row>
    <row r="24" spans="2:20" outlineLevel="1">
      <c r="B24" s="41" t="s">
        <v>505</v>
      </c>
      <c r="C24" s="41"/>
      <c r="D24" s="41"/>
      <c r="E24" s="42">
        <f>'Control Sheet'!E35</f>
        <v>0</v>
      </c>
      <c r="F24" s="42">
        <f>'Control Sheet'!F35</f>
        <v>0</v>
      </c>
      <c r="G24" s="42">
        <f>'Control Sheet'!G35</f>
        <v>0</v>
      </c>
      <c r="H24" s="42">
        <f>'Control Sheet'!H35</f>
        <v>0</v>
      </c>
      <c r="I24" s="42">
        <f>'Control Sheet'!I35</f>
        <v>0</v>
      </c>
      <c r="J24" s="42">
        <f>'Control Sheet'!J35</f>
        <v>-2.6033365210923365E-2</v>
      </c>
      <c r="K24" s="42">
        <f>'Control Sheet'!K35</f>
        <v>0.13</v>
      </c>
      <c r="L24" s="42">
        <f>'Control Sheet'!L35</f>
        <v>0.13</v>
      </c>
      <c r="M24" s="42">
        <f>'Control Sheet'!M35</f>
        <v>0.13</v>
      </c>
      <c r="N24" s="42">
        <f>'Control Sheet'!N35</f>
        <v>0.13</v>
      </c>
      <c r="O24" s="42">
        <f>'Control Sheet'!O35</f>
        <v>0.13</v>
      </c>
      <c r="P24" s="42">
        <f>'Control Sheet'!P35</f>
        <v>0.13</v>
      </c>
      <c r="Q24" s="42">
        <f>'Control Sheet'!Q35</f>
        <v>0.13</v>
      </c>
      <c r="R24" s="42">
        <f>'Control Sheet'!R35</f>
        <v>0.13</v>
      </c>
      <c r="S24" s="42">
        <f>'Control Sheet'!S35</f>
        <v>0.13</v>
      </c>
      <c r="T24" s="42">
        <f>'Control Sheet'!T35</f>
        <v>0.13</v>
      </c>
    </row>
    <row r="25" spans="2:20" outlineLevel="1">
      <c r="B25" s="41" t="s">
        <v>506</v>
      </c>
      <c r="C25" s="41"/>
      <c r="D25" s="41"/>
      <c r="E25" s="42">
        <f>'Control Sheet'!E43</f>
        <v>0.10114268066707854</v>
      </c>
      <c r="F25" s="42">
        <f>'Control Sheet'!F43</f>
        <v>4.4734258869723709E-2</v>
      </c>
      <c r="G25" s="42">
        <f>'Control Sheet'!G43</f>
        <v>0.77234899328859052</v>
      </c>
      <c r="H25" s="42">
        <f>'Control Sheet'!H43</f>
        <v>6.8236897909724314E-2</v>
      </c>
      <c r="I25" s="42">
        <f>'Control Sheet'!I43</f>
        <v>5.4661467564693478E-2</v>
      </c>
      <c r="J25" s="42">
        <f>'Control Sheet'!J43</f>
        <v>2.789728421618709E-2</v>
      </c>
      <c r="K25" s="42">
        <f>'Control Sheet'!K43</f>
        <v>0.06</v>
      </c>
      <c r="L25" s="42">
        <f>'Control Sheet'!L43</f>
        <v>0.06</v>
      </c>
      <c r="M25" s="42">
        <f>'Control Sheet'!M43</f>
        <v>0.06</v>
      </c>
      <c r="N25" s="42">
        <f>'Control Sheet'!N43</f>
        <v>0.06</v>
      </c>
      <c r="O25" s="42">
        <f>'Control Sheet'!O43</f>
        <v>0.06</v>
      </c>
      <c r="P25" s="42">
        <f>'Control Sheet'!P43</f>
        <v>0.06</v>
      </c>
      <c r="Q25" s="42">
        <f>'Control Sheet'!Q43</f>
        <v>0.05</v>
      </c>
      <c r="R25" s="42">
        <f>'Control Sheet'!R43</f>
        <v>0.04</v>
      </c>
      <c r="S25" s="42">
        <f>'Control Sheet'!S43</f>
        <v>0.03</v>
      </c>
      <c r="T25" s="42">
        <f>'Control Sheet'!T43</f>
        <v>0.02</v>
      </c>
    </row>
    <row r="26" spans="2:20" outlineLevel="1">
      <c r="B26" s="41" t="s">
        <v>507</v>
      </c>
      <c r="C26" s="41"/>
      <c r="D26" s="41"/>
      <c r="E26" s="42">
        <f>'Control Sheet'!E51</f>
        <v>-0.19933554817275745</v>
      </c>
      <c r="F26" s="42">
        <f>'Control Sheet'!F51</f>
        <v>0.51784232365145222</v>
      </c>
      <c r="G26" s="42">
        <f>'Control Sheet'!G51</f>
        <v>0.20503007107709137</v>
      </c>
      <c r="H26" s="42">
        <f>'Control Sheet'!H51</f>
        <v>0.1156987295825771</v>
      </c>
      <c r="I26" s="42">
        <f>'Control Sheet'!I51</f>
        <v>-7.48271655144368E-2</v>
      </c>
      <c r="J26" s="42">
        <f>'Control Sheet'!J51</f>
        <v>-4.1758241758241721E-2</v>
      </c>
      <c r="K26" s="42">
        <f>'Control Sheet'!K51</f>
        <v>0.02</v>
      </c>
      <c r="L26" s="42">
        <f>'Control Sheet'!L51</f>
        <v>0.02</v>
      </c>
      <c r="M26" s="42">
        <f>'Control Sheet'!M51</f>
        <v>0.02</v>
      </c>
      <c r="N26" s="42">
        <f>'Control Sheet'!N51</f>
        <v>0.02</v>
      </c>
      <c r="O26" s="42">
        <f>'Control Sheet'!O51</f>
        <v>0.02</v>
      </c>
      <c r="P26" s="42">
        <f>'Control Sheet'!P51</f>
        <v>0.02</v>
      </c>
      <c r="Q26" s="42">
        <f>'Control Sheet'!Q51</f>
        <v>0.02</v>
      </c>
      <c r="R26" s="42">
        <f>'Control Sheet'!R51</f>
        <v>0.02</v>
      </c>
      <c r="S26" s="42">
        <f>'Control Sheet'!S51</f>
        <v>0.02</v>
      </c>
      <c r="T26" s="42">
        <f>'Control Sheet'!T51</f>
        <v>0.02</v>
      </c>
    </row>
    <row r="27" spans="2:20" outlineLevel="1">
      <c r="B27" s="41" t="s">
        <v>508</v>
      </c>
      <c r="C27" s="41"/>
      <c r="D27" s="41"/>
      <c r="E27" s="41"/>
      <c r="F27" s="41"/>
      <c r="G27" s="41"/>
      <c r="H27" s="41"/>
      <c r="I27" s="41"/>
      <c r="J27" s="41"/>
      <c r="K27" s="44">
        <f>K20/J20-1</f>
        <v>8.6969154481076227E-2</v>
      </c>
      <c r="L27" s="44">
        <f t="shared" ref="L27:O27" si="19">L20/K20-1</f>
        <v>8.7841997546150852E-2</v>
      </c>
      <c r="M27" s="44">
        <f t="shared" si="19"/>
        <v>8.8710636581273983E-2</v>
      </c>
      <c r="N27" s="44">
        <f t="shared" si="19"/>
        <v>8.9574194318496891E-2</v>
      </c>
      <c r="O27" s="44">
        <f t="shared" si="19"/>
        <v>9.0431806223887135E-2</v>
      </c>
      <c r="P27" s="44">
        <f t="shared" ref="P27" si="20">P20/O20-1</f>
        <v>9.1282625336772227E-2</v>
      </c>
      <c r="Q27" s="44">
        <f t="shared" ref="Q27" si="21">Q20/P20-1</f>
        <v>9.0066646772113623E-2</v>
      </c>
      <c r="R27" s="44">
        <f t="shared" ref="R27" si="22">R20/Q20-1</f>
        <v>8.4905587433001806E-2</v>
      </c>
      <c r="S27" s="44">
        <f t="shared" ref="S27" si="23">S20/R20-1</f>
        <v>7.9789812601355203E-2</v>
      </c>
      <c r="T27" s="44">
        <f t="shared" ref="T27" si="24">T20/S20-1</f>
        <v>7.479263146255466E-2</v>
      </c>
    </row>
    <row r="28" spans="2:20" outlineLevel="1"/>
    <row r="29" spans="2:20" ht="15.6" outlineLevel="1">
      <c r="B29" s="23" t="s">
        <v>204</v>
      </c>
      <c r="C29" s="24"/>
      <c r="D29" s="24"/>
      <c r="E29" s="24"/>
      <c r="F29" s="24"/>
      <c r="G29" s="24"/>
      <c r="H29" s="24"/>
      <c r="I29" s="24"/>
      <c r="J29" s="24"/>
      <c r="K29" s="24"/>
      <c r="L29" s="24"/>
      <c r="M29" s="24"/>
      <c r="N29" s="24"/>
      <c r="O29" s="24"/>
      <c r="P29" s="24"/>
      <c r="Q29" s="24"/>
      <c r="R29" s="24"/>
      <c r="S29" s="24"/>
      <c r="T29" s="24"/>
    </row>
    <row r="30" spans="2:20" ht="1.8" customHeight="1" outlineLevel="1">
      <c r="B30" s="25"/>
      <c r="C30" s="25"/>
      <c r="D30" s="25"/>
      <c r="E30" s="25"/>
      <c r="F30" s="25"/>
      <c r="G30" s="25"/>
      <c r="H30" s="25"/>
      <c r="I30" s="25"/>
      <c r="J30" s="25"/>
      <c r="K30" s="25"/>
      <c r="L30" s="25"/>
      <c r="M30" s="25"/>
      <c r="N30" s="25"/>
      <c r="O30" s="25"/>
      <c r="P30" s="25"/>
      <c r="Q30" s="25"/>
      <c r="R30" s="25"/>
      <c r="S30" s="25"/>
      <c r="T30" s="25"/>
    </row>
    <row r="31" spans="2:20" outlineLevel="1"/>
    <row r="32" spans="2:20" outlineLevel="1">
      <c r="B32" t="s">
        <v>204</v>
      </c>
      <c r="E32" s="246">
        <f>' Income Statement'!D45</f>
        <v>632</v>
      </c>
      <c r="F32" s="246">
        <f>' Income Statement'!E45</f>
        <v>410</v>
      </c>
      <c r="G32" s="246">
        <f>' Income Statement'!F45</f>
        <v>258</v>
      </c>
      <c r="H32" s="246">
        <f>' Income Statement'!G45</f>
        <v>512</v>
      </c>
      <c r="I32" s="246">
        <f>' Income Statement'!H45</f>
        <v>811</v>
      </c>
      <c r="J32" s="246">
        <f>' Income Statement'!I45</f>
        <v>1017</v>
      </c>
      <c r="K32" s="247">
        <f>J32+(J32*K34)</f>
        <v>1017</v>
      </c>
      <c r="L32" s="247">
        <f t="shared" ref="L32:O32" si="25">K32+(K32*L34)</f>
        <v>1017</v>
      </c>
      <c r="M32" s="247">
        <f t="shared" si="25"/>
        <v>1017</v>
      </c>
      <c r="N32" s="247">
        <f t="shared" si="25"/>
        <v>1017</v>
      </c>
      <c r="O32" s="247">
        <f t="shared" si="25"/>
        <v>1017</v>
      </c>
      <c r="P32" s="247">
        <f t="shared" ref="P32" si="26">O32+(O32*P34)</f>
        <v>1017</v>
      </c>
      <c r="Q32" s="247">
        <f t="shared" ref="Q32" si="27">P32+(P32*Q34)</f>
        <v>1017</v>
      </c>
      <c r="R32" s="247">
        <f t="shared" ref="R32" si="28">Q32+(Q32*R34)</f>
        <v>1017</v>
      </c>
      <c r="S32" s="247">
        <f t="shared" ref="S32" si="29">R32+(R32*S34)</f>
        <v>1017</v>
      </c>
      <c r="T32" s="247">
        <f t="shared" ref="T32" si="30">S32+(S32*T34)</f>
        <v>1017</v>
      </c>
    </row>
    <row r="33" spans="1:20" outlineLevel="1"/>
    <row r="34" spans="1:20" outlineLevel="1">
      <c r="B34" t="s">
        <v>645</v>
      </c>
      <c r="E34" s="337">
        <f>'Assumptions Working'!E349</f>
        <v>1.5886182540281023E-2</v>
      </c>
      <c r="F34" s="337">
        <f>'Assumptions Working'!F349</f>
        <v>8.7182104278302284E-3</v>
      </c>
      <c r="G34" s="337">
        <f>'Assumptions Working'!G349</f>
        <v>4.9193456126301336E-3</v>
      </c>
      <c r="H34" s="337">
        <f>'Assumptions Working'!H349</f>
        <v>8.4516342027071648E-3</v>
      </c>
      <c r="I34" s="337">
        <f>'Assumptions Working'!I349</f>
        <v>1.3102623755977769E-2</v>
      </c>
      <c r="J34" s="337">
        <f>'Assumptions Working'!J349</f>
        <v>1.6111912041951174E-2</v>
      </c>
      <c r="K34" s="338">
        <f>'Control Sheet'!K59</f>
        <v>0</v>
      </c>
      <c r="L34" s="338">
        <f>'Control Sheet'!L59</f>
        <v>0</v>
      </c>
      <c r="M34" s="338">
        <f>'Control Sheet'!M59</f>
        <v>0</v>
      </c>
      <c r="N34" s="338">
        <f>'Control Sheet'!N59</f>
        <v>0</v>
      </c>
      <c r="O34" s="338">
        <f>'Control Sheet'!O59</f>
        <v>0</v>
      </c>
      <c r="P34" s="338">
        <f>'Control Sheet'!P59</f>
        <v>0</v>
      </c>
      <c r="Q34" s="338">
        <f>'Control Sheet'!Q59</f>
        <v>0</v>
      </c>
      <c r="R34" s="338">
        <f>'Control Sheet'!R59</f>
        <v>0</v>
      </c>
      <c r="S34" s="338">
        <f>'Control Sheet'!S59</f>
        <v>0</v>
      </c>
      <c r="T34" s="338">
        <f>'Control Sheet'!T59</f>
        <v>0</v>
      </c>
    </row>
    <row r="35" spans="1:20" outlineLevel="1"/>
    <row r="36" spans="1:20" outlineLevel="1"/>
    <row r="38" spans="1:20" ht="18">
      <c r="A38" t="s">
        <v>27</v>
      </c>
      <c r="B38" s="22" t="s">
        <v>43</v>
      </c>
      <c r="C38" s="21"/>
      <c r="D38" s="21"/>
      <c r="E38" s="21"/>
      <c r="F38" s="21"/>
      <c r="G38" s="21"/>
      <c r="H38" s="21"/>
      <c r="I38" s="21"/>
      <c r="J38" s="21"/>
      <c r="K38" s="21"/>
      <c r="L38" s="21"/>
      <c r="M38" s="21"/>
      <c r="N38" s="21"/>
      <c r="O38" s="21"/>
      <c r="P38" s="21"/>
      <c r="Q38" s="21"/>
      <c r="R38" s="21"/>
      <c r="S38" s="21"/>
      <c r="T38" s="21"/>
    </row>
    <row r="39" spans="1:20" outlineLevel="1"/>
    <row r="40" spans="1:20" outlineLevel="1">
      <c r="B40" s="52" t="s">
        <v>79</v>
      </c>
      <c r="C40" s="25"/>
      <c r="D40" s="25"/>
      <c r="E40" s="249">
        <f>-' Income Statement'!D20</f>
        <v>18259</v>
      </c>
      <c r="F40" s="249">
        <f>-' Income Statement'!E20</f>
        <v>22148</v>
      </c>
      <c r="G40" s="249">
        <f>-' Income Statement'!F20</f>
        <v>25735</v>
      </c>
      <c r="H40" s="249">
        <f>-' Income Statement'!G20</f>
        <v>31716</v>
      </c>
      <c r="I40" s="249">
        <f>-' Income Statement'!H20</f>
        <v>29760</v>
      </c>
      <c r="J40" s="249">
        <f>-' Income Statement'!I20</f>
        <v>30578</v>
      </c>
      <c r="K40" s="250">
        <f>K20*K42</f>
        <v>33619.184200000011</v>
      </c>
      <c r="L40" s="250">
        <f t="shared" ref="L40:O40" si="31">L20*L42</f>
        <v>36404.426187600002</v>
      </c>
      <c r="M40" s="250">
        <f t="shared" si="31"/>
        <v>39451.054141276007</v>
      </c>
      <c r="N40" s="250">
        <f t="shared" si="31"/>
        <v>42785.641645940093</v>
      </c>
      <c r="O40" s="250">
        <f t="shared" si="31"/>
        <v>46437.600796082836</v>
      </c>
      <c r="P40" s="250">
        <f>P20*P42</f>
        <v>50676.546911090263</v>
      </c>
      <c r="Q40" s="250">
        <f t="shared" ref="Q40:T40" si="32">Q20*Q42</f>
        <v>55240.813561361872</v>
      </c>
      <c r="R40" s="250">
        <f t="shared" si="32"/>
        <v>59931.067287066238</v>
      </c>
      <c r="S40" s="250">
        <f t="shared" si="32"/>
        <v>64712.955914900464</v>
      </c>
      <c r="T40" s="250">
        <f t="shared" si="32"/>
        <v>69553.008177496173</v>
      </c>
    </row>
    <row r="41" spans="1:20" outlineLevel="1"/>
    <row r="42" spans="1:20" outlineLevel="1">
      <c r="B42" s="41" t="s">
        <v>447</v>
      </c>
      <c r="C42" s="41"/>
      <c r="D42" s="41"/>
      <c r="E42" s="59">
        <f>'Control Sheet'!E71</f>
        <v>0.45896488449840378</v>
      </c>
      <c r="F42" s="59">
        <f>'Control Sheet'!F71</f>
        <v>0.47095347452581438</v>
      </c>
      <c r="G42" s="59">
        <f>'Control Sheet'!G71</f>
        <v>0.49069519124432748</v>
      </c>
      <c r="H42" s="59">
        <f>'Control Sheet'!H71</f>
        <v>0.5235391218223836</v>
      </c>
      <c r="I42" s="59">
        <f>'Control Sheet'!I71</f>
        <v>0.48080651415277242</v>
      </c>
      <c r="J42" s="59">
        <f>'Control Sheet'!J71</f>
        <v>0.48443465724560764</v>
      </c>
      <c r="K42" s="59">
        <f>'Control Sheet'!K71</f>
        <v>0.49</v>
      </c>
      <c r="L42" s="59">
        <f>'Control Sheet'!L71</f>
        <v>0.48775000000000002</v>
      </c>
      <c r="M42" s="59">
        <f>'Control Sheet'!M71</f>
        <v>0.48550000000000004</v>
      </c>
      <c r="N42" s="59">
        <f>'Control Sheet'!N71</f>
        <v>0.48325000000000007</v>
      </c>
      <c r="O42" s="59">
        <f>'Control Sheet'!O71</f>
        <v>0.48099999999999998</v>
      </c>
      <c r="P42" s="59">
        <f>'Control Sheet'!P71</f>
        <v>0.48099999999999998</v>
      </c>
      <c r="Q42" s="59">
        <f>'Control Sheet'!Q71</f>
        <v>0.48099999999999998</v>
      </c>
      <c r="R42" s="59">
        <f>'Control Sheet'!R71</f>
        <v>0.48099999999999998</v>
      </c>
      <c r="S42" s="59">
        <f>'Control Sheet'!S71</f>
        <v>0.48099999999999998</v>
      </c>
      <c r="T42" s="59">
        <f>'Control Sheet'!T71</f>
        <v>0.48099999999999998</v>
      </c>
    </row>
    <row r="43" spans="1:20" outlineLevel="1">
      <c r="B43" s="245" t="s">
        <v>446</v>
      </c>
      <c r="C43" s="41"/>
      <c r="D43" s="41"/>
      <c r="E43" s="256">
        <f>100%-E42</f>
        <v>0.54103511550159622</v>
      </c>
      <c r="F43" s="256">
        <f t="shared" ref="F43:O43" si="33">100%-F42</f>
        <v>0.52904652547418562</v>
      </c>
      <c r="G43" s="256">
        <f t="shared" si="33"/>
        <v>0.50930480875567252</v>
      </c>
      <c r="H43" s="256">
        <f t="shared" si="33"/>
        <v>0.4764608781776164</v>
      </c>
      <c r="I43" s="256">
        <f t="shared" si="33"/>
        <v>0.51919348584722758</v>
      </c>
      <c r="J43" s="256">
        <f t="shared" si="33"/>
        <v>0.51556534275439236</v>
      </c>
      <c r="K43" s="256">
        <f t="shared" si="33"/>
        <v>0.51</v>
      </c>
      <c r="L43" s="256">
        <f t="shared" si="33"/>
        <v>0.51224999999999998</v>
      </c>
      <c r="M43" s="256">
        <f t="shared" si="33"/>
        <v>0.51449999999999996</v>
      </c>
      <c r="N43" s="256">
        <f t="shared" si="33"/>
        <v>0.51674999999999993</v>
      </c>
      <c r="O43" s="256">
        <f t="shared" si="33"/>
        <v>0.51900000000000002</v>
      </c>
      <c r="P43" s="256">
        <f t="shared" ref="P43:T43" si="34">100%-P42</f>
        <v>0.51900000000000002</v>
      </c>
      <c r="Q43" s="256">
        <f t="shared" si="34"/>
        <v>0.51900000000000002</v>
      </c>
      <c r="R43" s="256">
        <f t="shared" si="34"/>
        <v>0.51900000000000002</v>
      </c>
      <c r="S43" s="256">
        <f t="shared" si="34"/>
        <v>0.51900000000000002</v>
      </c>
      <c r="T43" s="256">
        <f t="shared" si="34"/>
        <v>0.51900000000000002</v>
      </c>
    </row>
    <row r="45" spans="1:20" ht="18">
      <c r="A45" t="s">
        <v>27</v>
      </c>
      <c r="B45" s="22" t="s">
        <v>44</v>
      </c>
      <c r="C45" s="21"/>
      <c r="D45" s="21"/>
      <c r="E45" s="21"/>
      <c r="F45" s="21"/>
      <c r="G45" s="21"/>
      <c r="H45" s="21"/>
      <c r="I45" s="21"/>
      <c r="J45" s="21"/>
      <c r="K45" s="21"/>
      <c r="L45" s="21"/>
      <c r="M45" s="21"/>
      <c r="N45" s="21"/>
      <c r="O45" s="21"/>
      <c r="P45" s="21"/>
      <c r="Q45" s="21"/>
      <c r="R45" s="21"/>
      <c r="S45" s="21"/>
      <c r="T45" s="21"/>
    </row>
    <row r="46" spans="1:20" outlineLevel="1"/>
    <row r="47" spans="1:20" ht="15.6" outlineLevel="1">
      <c r="B47" s="23" t="s">
        <v>210</v>
      </c>
      <c r="C47" s="24"/>
      <c r="D47" s="24"/>
      <c r="E47" s="24"/>
      <c r="F47" s="24"/>
      <c r="G47" s="24"/>
      <c r="H47" s="24"/>
      <c r="I47" s="24"/>
      <c r="J47" s="24"/>
      <c r="K47" s="24"/>
      <c r="L47" s="24"/>
      <c r="M47" s="24"/>
      <c r="N47" s="24"/>
      <c r="O47" s="24"/>
      <c r="P47" s="24"/>
      <c r="Q47" s="24"/>
      <c r="R47" s="24"/>
      <c r="S47" s="24"/>
      <c r="T47" s="24"/>
    </row>
    <row r="48" spans="1:20" ht="1.8" customHeight="1" outlineLevel="1">
      <c r="B48" s="25"/>
      <c r="C48" s="25"/>
      <c r="D48" s="25"/>
      <c r="E48" s="25"/>
      <c r="F48" s="25"/>
      <c r="G48" s="25"/>
      <c r="H48" s="25"/>
      <c r="I48" s="25"/>
      <c r="J48" s="25"/>
      <c r="K48" s="25"/>
      <c r="L48" s="25"/>
      <c r="M48" s="25"/>
      <c r="N48" s="25"/>
      <c r="O48" s="25"/>
      <c r="P48" s="25"/>
      <c r="Q48" s="25"/>
      <c r="R48" s="25"/>
      <c r="S48" s="25"/>
      <c r="T48" s="25"/>
    </row>
    <row r="49" spans="2:20" outlineLevel="1"/>
    <row r="50" spans="2:20" outlineLevel="1">
      <c r="B50" t="s">
        <v>210</v>
      </c>
      <c r="E50" s="246">
        <f>-' Income Statement'!D33</f>
        <v>1820</v>
      </c>
      <c r="F50" s="246">
        <f>-' Income Statement'!E33</f>
        <v>2358</v>
      </c>
      <c r="G50" s="246">
        <f>-' Income Statement'!F33</f>
        <v>2545</v>
      </c>
      <c r="H50" s="246">
        <f>-' Income Statement'!G33</f>
        <v>2854</v>
      </c>
      <c r="I50" s="246">
        <f>-' Income Statement'!H33</f>
        <v>3009</v>
      </c>
      <c r="J50" s="246">
        <f>-' Income Statement'!I33</f>
        <v>3077</v>
      </c>
      <c r="K50" s="56">
        <f>K20*K53</f>
        <v>3293.3078400000009</v>
      </c>
      <c r="L50" s="56">
        <f>L20*L53</f>
        <v>3582.5985792000001</v>
      </c>
      <c r="M50" s="56">
        <f>M20*M53</f>
        <v>3900.4131797760006</v>
      </c>
      <c r="N50" s="56">
        <f>N20*N53</f>
        <v>4249.7895478636819</v>
      </c>
      <c r="O50" s="56">
        <f>O20*O53</f>
        <v>4634.1056927483914</v>
      </c>
      <c r="P50" s="56">
        <f t="shared" ref="P50:T50" si="35">P20*P53</f>
        <v>5057.1190264705456</v>
      </c>
      <c r="Q50" s="56">
        <f t="shared" si="35"/>
        <v>5512.5967795122042</v>
      </c>
      <c r="R50" s="56">
        <f t="shared" si="35"/>
        <v>5980.647047357962</v>
      </c>
      <c r="S50" s="56">
        <f t="shared" si="35"/>
        <v>6457.8417545015018</v>
      </c>
      <c r="T50" s="56">
        <f t="shared" si="35"/>
        <v>6940.8407328894309</v>
      </c>
    </row>
    <row r="51" spans="2:20" outlineLevel="1">
      <c r="B51" s="39" t="s">
        <v>519</v>
      </c>
      <c r="C51" s="40"/>
      <c r="D51" s="40"/>
      <c r="E51" s="60">
        <f t="shared" ref="E51:I51" si="36">E50</f>
        <v>1820</v>
      </c>
      <c r="F51" s="60">
        <f t="shared" si="36"/>
        <v>2358</v>
      </c>
      <c r="G51" s="60">
        <f t="shared" si="36"/>
        <v>2545</v>
      </c>
      <c r="H51" s="60">
        <f t="shared" si="36"/>
        <v>2854</v>
      </c>
      <c r="I51" s="60">
        <f t="shared" si="36"/>
        <v>3009</v>
      </c>
      <c r="J51" s="60">
        <f>J50</f>
        <v>3077</v>
      </c>
      <c r="K51" s="60">
        <f t="shared" ref="K51:O51" si="37">K50</f>
        <v>3293.3078400000009</v>
      </c>
      <c r="L51" s="60">
        <f t="shared" si="37"/>
        <v>3582.5985792000001</v>
      </c>
      <c r="M51" s="60">
        <f t="shared" si="37"/>
        <v>3900.4131797760006</v>
      </c>
      <c r="N51" s="60">
        <f t="shared" si="37"/>
        <v>4249.7895478636819</v>
      </c>
      <c r="O51" s="60">
        <f t="shared" si="37"/>
        <v>4634.1056927483914</v>
      </c>
      <c r="P51" s="60">
        <f t="shared" ref="P51:T51" si="38">P50</f>
        <v>5057.1190264705456</v>
      </c>
      <c r="Q51" s="60">
        <f t="shared" si="38"/>
        <v>5512.5967795122042</v>
      </c>
      <c r="R51" s="60">
        <f t="shared" si="38"/>
        <v>5980.647047357962</v>
      </c>
      <c r="S51" s="60">
        <f t="shared" si="38"/>
        <v>6457.8417545015018</v>
      </c>
      <c r="T51" s="60">
        <f t="shared" si="38"/>
        <v>6940.8407328894309</v>
      </c>
    </row>
    <row r="52" spans="2:20" outlineLevel="1"/>
    <row r="53" spans="2:20" outlineLevel="1">
      <c r="B53" s="41" t="s">
        <v>520</v>
      </c>
      <c r="C53" s="41"/>
      <c r="D53" s="41"/>
      <c r="E53" s="59">
        <f>'Control Sheet'!E80</f>
        <v>4.574818389764472E-2</v>
      </c>
      <c r="F53" s="59">
        <f>'Control Sheet'!F80</f>
        <v>5.0140341923960191E-2</v>
      </c>
      <c r="G53" s="59">
        <f>'Control Sheet'!G80</f>
        <v>4.8526103039316627E-2</v>
      </c>
      <c r="H53" s="59">
        <f>'Control Sheet'!H80</f>
        <v>4.7111257840871577E-2</v>
      </c>
      <c r="I53" s="59">
        <f>'Control Sheet'!I80</f>
        <v>4.8613803799922452E-2</v>
      </c>
      <c r="J53" s="59">
        <f>'Control Sheet'!J80</f>
        <v>4.7638662251865464E-2</v>
      </c>
      <c r="K53" s="59">
        <f>'Control Sheet'!K80</f>
        <v>4.8000000000000001E-2</v>
      </c>
      <c r="L53" s="59">
        <f>'Control Sheet'!L80</f>
        <v>4.8000000000000001E-2</v>
      </c>
      <c r="M53" s="59">
        <f>'Control Sheet'!M80</f>
        <v>4.8000000000000001E-2</v>
      </c>
      <c r="N53" s="59">
        <f>'Control Sheet'!N80</f>
        <v>4.8000000000000001E-2</v>
      </c>
      <c r="O53" s="59">
        <f>'Control Sheet'!O80</f>
        <v>4.8000000000000001E-2</v>
      </c>
      <c r="P53" s="59">
        <f>'Control Sheet'!P80</f>
        <v>4.8000000000000001E-2</v>
      </c>
      <c r="Q53" s="59">
        <f>'Control Sheet'!Q80</f>
        <v>4.8000000000000001E-2</v>
      </c>
      <c r="R53" s="59">
        <f>'Control Sheet'!R80</f>
        <v>4.8000000000000001E-2</v>
      </c>
      <c r="S53" s="59">
        <f>'Control Sheet'!S80</f>
        <v>4.8000000000000001E-2</v>
      </c>
      <c r="T53" s="59">
        <f>'Control Sheet'!T80</f>
        <v>4.8000000000000001E-2</v>
      </c>
    </row>
    <row r="54" spans="2:20" outlineLevel="1">
      <c r="B54" s="41" t="s">
        <v>522</v>
      </c>
      <c r="C54" s="41"/>
      <c r="D54" s="41"/>
      <c r="E54" s="59"/>
      <c r="F54" s="256">
        <f>F51/E51-1</f>
        <v>0.29560439560439566</v>
      </c>
      <c r="G54" s="256">
        <f t="shared" ref="G54:O54" si="39">G51/F51-1</f>
        <v>7.9304495335029701E-2</v>
      </c>
      <c r="H54" s="256">
        <f t="shared" si="39"/>
        <v>0.1214145383104126</v>
      </c>
      <c r="I54" s="256">
        <f t="shared" si="39"/>
        <v>5.4309740714786336E-2</v>
      </c>
      <c r="J54" s="256">
        <f t="shared" si="39"/>
        <v>2.2598870056497189E-2</v>
      </c>
      <c r="K54" s="256">
        <f t="shared" si="39"/>
        <v>7.029829054273673E-2</v>
      </c>
      <c r="L54" s="256">
        <f t="shared" si="39"/>
        <v>8.7841997546150852E-2</v>
      </c>
      <c r="M54" s="256">
        <f t="shared" si="39"/>
        <v>8.8710636581274205E-2</v>
      </c>
      <c r="N54" s="256">
        <f t="shared" si="39"/>
        <v>8.9574194318496669E-2</v>
      </c>
      <c r="O54" s="256">
        <f t="shared" si="39"/>
        <v>9.0431806223887135E-2</v>
      </c>
      <c r="P54" s="256">
        <f t="shared" ref="P54" si="40">P51/O51-1</f>
        <v>9.1282625336772005E-2</v>
      </c>
      <c r="Q54" s="256">
        <f t="shared" ref="Q54" si="41">Q51/P51-1</f>
        <v>9.0066646772113845E-2</v>
      </c>
      <c r="R54" s="256">
        <f t="shared" ref="R54" si="42">R51/Q51-1</f>
        <v>8.4905587433001806E-2</v>
      </c>
      <c r="S54" s="256">
        <f t="shared" ref="S54" si="43">S51/R51-1</f>
        <v>7.9789812601355203E-2</v>
      </c>
      <c r="T54" s="256">
        <f t="shared" ref="T54" si="44">T51/S51-1</f>
        <v>7.4792631462554882E-2</v>
      </c>
    </row>
    <row r="55" spans="2:20" outlineLevel="1"/>
    <row r="56" spans="2:20" ht="15.6" outlineLevel="1">
      <c r="B56" s="23" t="s">
        <v>211</v>
      </c>
      <c r="C56" s="24"/>
      <c r="D56" s="24"/>
      <c r="E56" s="24"/>
      <c r="F56" s="24"/>
      <c r="G56" s="24"/>
      <c r="H56" s="24"/>
      <c r="I56" s="24"/>
      <c r="J56" s="24"/>
      <c r="K56" s="24"/>
      <c r="L56" s="24"/>
      <c r="M56" s="24"/>
      <c r="N56" s="24"/>
      <c r="O56" s="24"/>
      <c r="P56" s="24"/>
      <c r="Q56" s="24"/>
      <c r="R56" s="24"/>
      <c r="S56" s="24"/>
      <c r="T56" s="24"/>
    </row>
    <row r="57" spans="2:20" ht="1.8" customHeight="1" outlineLevel="1">
      <c r="B57" s="25"/>
      <c r="C57" s="25"/>
      <c r="D57" s="25"/>
      <c r="E57" s="25"/>
      <c r="F57" s="25"/>
      <c r="G57" s="25"/>
      <c r="H57" s="25"/>
      <c r="I57" s="25"/>
      <c r="J57" s="25"/>
      <c r="K57" s="25"/>
      <c r="L57" s="25"/>
      <c r="M57" s="25"/>
      <c r="N57" s="25"/>
      <c r="O57" s="25"/>
      <c r="P57" s="25"/>
      <c r="Q57" s="25"/>
      <c r="R57" s="25"/>
      <c r="S57" s="25"/>
      <c r="T57" s="25"/>
    </row>
    <row r="58" spans="2:20" outlineLevel="1"/>
    <row r="59" spans="2:20" outlineLevel="1">
      <c r="B59" t="s">
        <v>211</v>
      </c>
      <c r="E59" s="246">
        <f>-' Income Statement'!D34</f>
        <v>9843</v>
      </c>
      <c r="F59" s="246">
        <f>-' Income Statement'!E34</f>
        <v>10896</v>
      </c>
      <c r="G59" s="246">
        <f>-' Income Statement'!F34</f>
        <v>11309</v>
      </c>
      <c r="H59" s="246">
        <f>-' Income Statement'!G34</f>
        <v>11861</v>
      </c>
      <c r="I59" s="246">
        <f>-' Income Statement'!H34</f>
        <v>14464</v>
      </c>
      <c r="J59" s="246">
        <f>-' Income Statement'!I34</f>
        <v>14615</v>
      </c>
      <c r="K59" s="56">
        <f>K20*K62</f>
        <v>15917.654560000004</v>
      </c>
      <c r="L59" s="56">
        <f>L20*L62</f>
        <v>17315.893132800004</v>
      </c>
      <c r="M59" s="56">
        <f>M20*M62</f>
        <v>18851.997035584001</v>
      </c>
      <c r="N59" s="56">
        <f>N20*N62</f>
        <v>20540.64948134113</v>
      </c>
      <c r="O59" s="56">
        <f>O20*O62</f>
        <v>22398.177514950559</v>
      </c>
      <c r="P59" s="56">
        <f t="shared" ref="P59:T59" si="45">P20*P62</f>
        <v>24442.741961274307</v>
      </c>
      <c r="Q59" s="56">
        <f t="shared" si="45"/>
        <v>26644.21776764232</v>
      </c>
      <c r="R59" s="56">
        <f t="shared" si="45"/>
        <v>28906.460728896818</v>
      </c>
      <c r="S59" s="56">
        <f t="shared" si="45"/>
        <v>31212.901813423927</v>
      </c>
      <c r="T59" s="56">
        <f t="shared" si="45"/>
        <v>33547.39687563225</v>
      </c>
    </row>
    <row r="60" spans="2:20" outlineLevel="1">
      <c r="B60" s="39" t="s">
        <v>521</v>
      </c>
      <c r="C60" s="40"/>
      <c r="D60" s="40"/>
      <c r="E60" s="60">
        <f t="shared" ref="E60:I60" si="46">E59</f>
        <v>9843</v>
      </c>
      <c r="F60" s="60">
        <f t="shared" si="46"/>
        <v>10896</v>
      </c>
      <c r="G60" s="60">
        <f t="shared" si="46"/>
        <v>11309</v>
      </c>
      <c r="H60" s="60">
        <f t="shared" si="46"/>
        <v>11861</v>
      </c>
      <c r="I60" s="60">
        <f t="shared" si="46"/>
        <v>14464</v>
      </c>
      <c r="J60" s="60">
        <f>J59</f>
        <v>14615</v>
      </c>
      <c r="K60" s="60">
        <f t="shared" ref="K60" si="47">K59</f>
        <v>15917.654560000004</v>
      </c>
      <c r="L60" s="60">
        <f t="shared" ref="L60" si="48">L59</f>
        <v>17315.893132800004</v>
      </c>
      <c r="M60" s="60">
        <f t="shared" ref="M60" si="49">M59</f>
        <v>18851.997035584001</v>
      </c>
      <c r="N60" s="60">
        <f t="shared" ref="N60" si="50">N59</f>
        <v>20540.64948134113</v>
      </c>
      <c r="O60" s="60">
        <f t="shared" ref="O60:T60" si="51">O59</f>
        <v>22398.177514950559</v>
      </c>
      <c r="P60" s="60">
        <f t="shared" si="51"/>
        <v>24442.741961274307</v>
      </c>
      <c r="Q60" s="60">
        <f t="shared" si="51"/>
        <v>26644.21776764232</v>
      </c>
      <c r="R60" s="60">
        <f t="shared" si="51"/>
        <v>28906.460728896818</v>
      </c>
      <c r="S60" s="60">
        <f t="shared" si="51"/>
        <v>31212.901813423927</v>
      </c>
      <c r="T60" s="60">
        <f t="shared" si="51"/>
        <v>33547.39687563225</v>
      </c>
    </row>
    <row r="61" spans="2:20" outlineLevel="1"/>
    <row r="62" spans="2:20" outlineLevel="1">
      <c r="B62" s="41" t="s">
        <v>502</v>
      </c>
      <c r="C62" s="41"/>
      <c r="D62" s="41"/>
      <c r="E62" s="59">
        <f>'Control Sheet'!E86</f>
        <v>0.24741723851896538</v>
      </c>
      <c r="F62" s="59">
        <f>'Control Sheet'!F86</f>
        <v>0.23169175810155651</v>
      </c>
      <c r="G62" s="59">
        <f>'Control Sheet'!G86</f>
        <v>0.21563131602028754</v>
      </c>
      <c r="H62" s="59">
        <f>'Control Sheet'!H86</f>
        <v>0.19579068999669857</v>
      </c>
      <c r="I62" s="59">
        <f>'Control Sheet'!I86</f>
        <v>0.23368230580328292</v>
      </c>
      <c r="J62" s="59">
        <f>'Control Sheet'!J86</f>
        <v>0.23153942428035043</v>
      </c>
      <c r="K62" s="59">
        <f>'Control Sheet'!K86</f>
        <v>0.23200000000000001</v>
      </c>
      <c r="L62" s="59">
        <f>'Control Sheet'!L86</f>
        <v>0.23200000000000001</v>
      </c>
      <c r="M62" s="59">
        <f>'Control Sheet'!M86</f>
        <v>0.23200000000000001</v>
      </c>
      <c r="N62" s="59">
        <f>'Control Sheet'!N86</f>
        <v>0.23200000000000001</v>
      </c>
      <c r="O62" s="59">
        <f>'Control Sheet'!O86</f>
        <v>0.23200000000000001</v>
      </c>
      <c r="P62" s="59">
        <f>'Control Sheet'!P86</f>
        <v>0.23200000000000001</v>
      </c>
      <c r="Q62" s="59">
        <f>'Control Sheet'!Q86</f>
        <v>0.23200000000000001</v>
      </c>
      <c r="R62" s="59">
        <f>'Control Sheet'!R86</f>
        <v>0.23200000000000001</v>
      </c>
      <c r="S62" s="59">
        <f>'Control Sheet'!S86</f>
        <v>0.23200000000000001</v>
      </c>
      <c r="T62" s="59">
        <f>'Control Sheet'!T86</f>
        <v>0.23200000000000001</v>
      </c>
    </row>
    <row r="63" spans="2:20" outlineLevel="1">
      <c r="B63" s="41" t="s">
        <v>522</v>
      </c>
      <c r="C63" s="41"/>
      <c r="D63" s="41"/>
      <c r="E63" s="59"/>
      <c r="F63" s="256">
        <f>F60/E60-1</f>
        <v>0.10697957939652536</v>
      </c>
      <c r="G63" s="256">
        <f t="shared" ref="G63:O63" si="52">G60/F60-1</f>
        <v>3.7903817914831217E-2</v>
      </c>
      <c r="H63" s="256">
        <f t="shared" si="52"/>
        <v>4.8810681757891938E-2</v>
      </c>
      <c r="I63" s="256">
        <f t="shared" si="52"/>
        <v>0.21945873029255547</v>
      </c>
      <c r="J63" s="256">
        <f t="shared" si="52"/>
        <v>1.0439712389380462E-2</v>
      </c>
      <c r="K63" s="256">
        <f t="shared" si="52"/>
        <v>8.9131341772152206E-2</v>
      </c>
      <c r="L63" s="256">
        <f t="shared" si="52"/>
        <v>8.7841997546150852E-2</v>
      </c>
      <c r="M63" s="256">
        <f t="shared" si="52"/>
        <v>8.8710636581273983E-2</v>
      </c>
      <c r="N63" s="256">
        <f t="shared" si="52"/>
        <v>8.9574194318496891E-2</v>
      </c>
      <c r="O63" s="256">
        <f t="shared" si="52"/>
        <v>9.0431806223887135E-2</v>
      </c>
      <c r="P63" s="256">
        <f t="shared" ref="P63" si="53">P60/O60-1</f>
        <v>9.1282625336772227E-2</v>
      </c>
      <c r="Q63" s="256">
        <f t="shared" ref="Q63" si="54">Q60/P60-1</f>
        <v>9.0066646772113623E-2</v>
      </c>
      <c r="R63" s="256">
        <f t="shared" ref="R63" si="55">R60/Q60-1</f>
        <v>8.4905587433002028E-2</v>
      </c>
      <c r="S63" s="256">
        <f t="shared" ref="S63" si="56">S60/R60-1</f>
        <v>7.9789812601355203E-2</v>
      </c>
      <c r="T63" s="256">
        <f t="shared" ref="T63" si="57">T60/S60-1</f>
        <v>7.4792631462554882E-2</v>
      </c>
    </row>
    <row r="64" spans="2:20" outlineLevel="1"/>
    <row r="65" spans="1:20" ht="15" outlineLevel="1" thickBot="1">
      <c r="B65" s="53" t="s">
        <v>47</v>
      </c>
      <c r="C65" s="49"/>
      <c r="D65" s="49"/>
      <c r="E65" s="57">
        <f>E51+E60</f>
        <v>11663</v>
      </c>
      <c r="F65" s="57">
        <f t="shared" ref="F65:O65" si="58">F51+F60</f>
        <v>13254</v>
      </c>
      <c r="G65" s="57">
        <f t="shared" si="58"/>
        <v>13854</v>
      </c>
      <c r="H65" s="57">
        <f t="shared" si="58"/>
        <v>14715</v>
      </c>
      <c r="I65" s="57">
        <f t="shared" si="58"/>
        <v>17473</v>
      </c>
      <c r="J65" s="57">
        <f t="shared" si="58"/>
        <v>17692</v>
      </c>
      <c r="K65" s="57">
        <f t="shared" si="58"/>
        <v>19210.962400000004</v>
      </c>
      <c r="L65" s="57">
        <f t="shared" si="58"/>
        <v>20898.491712000003</v>
      </c>
      <c r="M65" s="57">
        <f t="shared" si="58"/>
        <v>22752.410215360003</v>
      </c>
      <c r="N65" s="57">
        <f t="shared" si="58"/>
        <v>24790.439029204812</v>
      </c>
      <c r="O65" s="57">
        <f t="shared" si="58"/>
        <v>27032.283207698951</v>
      </c>
      <c r="P65" s="57">
        <f t="shared" ref="P65:T65" si="59">P51+P60</f>
        <v>29499.860987744854</v>
      </c>
      <c r="Q65" s="57">
        <f t="shared" si="59"/>
        <v>32156.814547154525</v>
      </c>
      <c r="R65" s="57">
        <f t="shared" si="59"/>
        <v>34887.107776254779</v>
      </c>
      <c r="S65" s="57">
        <f t="shared" si="59"/>
        <v>37670.743567925427</v>
      </c>
      <c r="T65" s="57">
        <f t="shared" si="59"/>
        <v>40488.237608521682</v>
      </c>
    </row>
    <row r="66" spans="1:20" outlineLevel="1">
      <c r="B66" s="41" t="s">
        <v>46</v>
      </c>
      <c r="C66" s="41"/>
      <c r="D66" s="41"/>
      <c r="E66" s="44">
        <f t="shared" ref="E66:O66" si="60">E65/E20</f>
        <v>0.29316542241661009</v>
      </c>
      <c r="F66" s="44">
        <f t="shared" si="60"/>
        <v>0.28183210002551673</v>
      </c>
      <c r="G66" s="44">
        <f t="shared" si="60"/>
        <v>0.26415741905960416</v>
      </c>
      <c r="H66" s="44">
        <f t="shared" si="60"/>
        <v>0.24286185839247401</v>
      </c>
      <c r="I66" s="44">
        <f t="shared" si="60"/>
        <v>0.28257002393427777</v>
      </c>
      <c r="J66" s="44">
        <f t="shared" si="60"/>
        <v>0.2802870676953787</v>
      </c>
      <c r="K66" s="44">
        <f t="shared" si="60"/>
        <v>0.27999999999999997</v>
      </c>
      <c r="L66" s="44">
        <f t="shared" si="60"/>
        <v>0.28000000000000003</v>
      </c>
      <c r="M66" s="44">
        <f t="shared" si="60"/>
        <v>0.28000000000000003</v>
      </c>
      <c r="N66" s="44">
        <f t="shared" si="60"/>
        <v>0.28000000000000003</v>
      </c>
      <c r="O66" s="44">
        <f t="shared" si="60"/>
        <v>0.28000000000000003</v>
      </c>
      <c r="P66" s="44">
        <f t="shared" ref="P66:T66" si="61">P65/P20</f>
        <v>0.28000000000000003</v>
      </c>
      <c r="Q66" s="44">
        <f t="shared" si="61"/>
        <v>0.28000000000000003</v>
      </c>
      <c r="R66" s="44">
        <f t="shared" si="61"/>
        <v>0.28000000000000003</v>
      </c>
      <c r="S66" s="44">
        <f t="shared" si="61"/>
        <v>0.27999999999999997</v>
      </c>
      <c r="T66" s="44">
        <f t="shared" si="61"/>
        <v>0.28000000000000003</v>
      </c>
    </row>
    <row r="68" spans="1:20" ht="18">
      <c r="A68" t="s">
        <v>27</v>
      </c>
      <c r="B68" s="22" t="s">
        <v>48</v>
      </c>
      <c r="C68" s="21"/>
      <c r="D68" s="21"/>
      <c r="E68" s="21"/>
      <c r="F68" s="21"/>
      <c r="G68" s="21"/>
      <c r="H68" s="21"/>
      <c r="I68" s="21"/>
      <c r="J68" s="21"/>
      <c r="K68" s="21"/>
      <c r="L68" s="21"/>
      <c r="M68" s="21"/>
      <c r="N68" s="21"/>
      <c r="O68" s="21"/>
      <c r="P68" s="21"/>
      <c r="Q68" s="21"/>
      <c r="R68" s="21"/>
      <c r="S68" s="21"/>
      <c r="T68" s="21"/>
    </row>
    <row r="69" spans="1:20" outlineLevel="1"/>
    <row r="70" spans="1:20" ht="15.6" outlineLevel="1">
      <c r="B70" s="23" t="s">
        <v>188</v>
      </c>
      <c r="C70" s="24"/>
      <c r="D70" s="24"/>
      <c r="E70" s="24"/>
      <c r="F70" s="24"/>
      <c r="G70" s="24"/>
      <c r="H70" s="24"/>
      <c r="I70" s="24"/>
      <c r="J70" s="24"/>
      <c r="K70" s="24"/>
      <c r="L70" s="24"/>
      <c r="M70" s="24"/>
      <c r="N70" s="24"/>
      <c r="O70" s="24"/>
      <c r="P70" s="24"/>
      <c r="Q70" s="24"/>
      <c r="R70" s="24"/>
      <c r="S70" s="24"/>
      <c r="T70" s="24"/>
    </row>
    <row r="71" spans="1:20" ht="1.8" customHeight="1" outlineLevel="1">
      <c r="B71" s="25"/>
      <c r="C71" s="25"/>
      <c r="D71" s="25"/>
      <c r="E71" s="25"/>
      <c r="F71" s="25"/>
      <c r="G71" s="25"/>
      <c r="H71" s="25"/>
      <c r="I71" s="25"/>
      <c r="J71" s="25"/>
      <c r="K71" s="25"/>
      <c r="L71" s="25"/>
      <c r="M71" s="25"/>
      <c r="N71" s="25"/>
      <c r="O71" s="25"/>
      <c r="P71" s="25"/>
      <c r="Q71" s="25"/>
      <c r="R71" s="25"/>
      <c r="S71" s="25"/>
      <c r="T71" s="25"/>
    </row>
    <row r="72" spans="1:20" outlineLevel="1">
      <c r="J72" s="58"/>
      <c r="K72" s="56"/>
      <c r="L72" s="56"/>
      <c r="M72" s="56"/>
      <c r="N72" s="56"/>
      <c r="O72" s="56"/>
      <c r="P72" s="56"/>
      <c r="Q72" s="56"/>
      <c r="R72" s="56"/>
      <c r="S72" s="56"/>
      <c r="T72" s="56"/>
    </row>
    <row r="73" spans="1:20" outlineLevel="1">
      <c r="B73" t="s">
        <v>624</v>
      </c>
      <c r="E73" s="61">
        <f>'Balance Sheet'!C39</f>
        <v>4170</v>
      </c>
      <c r="F73" s="61">
        <f>'Balance Sheet'!D39</f>
        <v>4109</v>
      </c>
      <c r="G73" s="61">
        <f>'Balance Sheet'!E39</f>
        <v>5067</v>
      </c>
      <c r="H73" s="61">
        <f>'Balance Sheet'!F39</f>
        <v>5101</v>
      </c>
      <c r="I73" s="61">
        <f>'Balance Sheet'!G39</f>
        <v>5767</v>
      </c>
      <c r="J73" s="61">
        <f>'Balance Sheet'!H39</f>
        <v>6517</v>
      </c>
      <c r="K73" s="61">
        <f>'Balance Sheet'!I39</f>
        <v>6941</v>
      </c>
      <c r="L73" s="56">
        <f>K76</f>
        <v>7201.4916400702832</v>
      </c>
      <c r="M73" s="56">
        <f t="shared" ref="M73:O73" si="62">L76</f>
        <v>7483.6075901902077</v>
      </c>
      <c r="N73" s="56">
        <f t="shared" si="62"/>
        <v>7790.4923122540722</v>
      </c>
      <c r="O73" s="56">
        <f t="shared" si="62"/>
        <v>8125.6905098605239</v>
      </c>
      <c r="P73" s="56">
        <f t="shared" ref="P73" si="63">O76</f>
        <v>8493.1963780028982</v>
      </c>
      <c r="Q73" s="56">
        <f t="shared" ref="Q73" si="64">P76</f>
        <v>8897.5088560696095</v>
      </c>
      <c r="R73" s="56">
        <f t="shared" ref="R73" si="65">Q76</f>
        <v>9339.5277215652168</v>
      </c>
      <c r="S73" s="56">
        <f t="shared" ref="S73" si="66">R76</f>
        <v>9811.2673982131091</v>
      </c>
      <c r="T73" s="56">
        <f t="shared" ref="T73" si="67">S76</f>
        <v>10303.011662816794</v>
      </c>
    </row>
    <row r="74" spans="1:20" outlineLevel="1">
      <c r="B74" s="63" t="s">
        <v>625</v>
      </c>
      <c r="E74" s="61">
        <f>-'Cash Flow Statement'!D46</f>
        <v>850</v>
      </c>
      <c r="F74" s="61">
        <f>-'Cash Flow Statement'!E46</f>
        <v>741</v>
      </c>
      <c r="G74" s="61">
        <f>-'Cash Flow Statement'!F46</f>
        <v>1225</v>
      </c>
      <c r="H74" s="61">
        <f>-'Cash Flow Statement'!G46</f>
        <v>1174</v>
      </c>
      <c r="I74" s="61">
        <f>-'Cash Flow Statement'!H46</f>
        <v>1468</v>
      </c>
      <c r="J74" s="61">
        <f>-'Cash Flow Statement'!I46</f>
        <v>1254</v>
      </c>
      <c r="K74" s="61">
        <f>'Assumptions Working'!L1006</f>
        <v>1411.5824117793791</v>
      </c>
      <c r="L74" s="61">
        <f>'Assumptions Working'!M1006</f>
        <v>1535.578630531093</v>
      </c>
      <c r="M74" s="61">
        <f>'Assumptions Working'!N1006</f>
        <v>1671.8007883661073</v>
      </c>
      <c r="N74" s="61">
        <f>'Assumptions Working'!O1006</f>
        <v>1821.5509970450291</v>
      </c>
      <c r="O74" s="61">
        <f>'Assumptions Working'!P1006</f>
        <v>1986.2771438367338</v>
      </c>
      <c r="P74" s="61">
        <f>'Assumptions Working'!Q1006</f>
        <v>2167.5897361725765</v>
      </c>
      <c r="Q74" s="61">
        <f>'Assumptions Working'!R1006</f>
        <v>2362.8172752872911</v>
      </c>
      <c r="R74" s="61">
        <f>'Assumptions Working'!S1006</f>
        <v>2563.4336640424031</v>
      </c>
      <c r="S74" s="61">
        <f>'Assumptions Working'!T1006</f>
        <v>2767.9695557123518</v>
      </c>
      <c r="T74" s="61">
        <f>'Assumptions Working'!U1006</f>
        <v>2974.993282592317</v>
      </c>
    </row>
    <row r="75" spans="1:20" outlineLevel="1">
      <c r="B75" s="63" t="s">
        <v>626</v>
      </c>
      <c r="D75" s="333">
        <v>15</v>
      </c>
      <c r="E75" s="327">
        <f>(' Income Statement'!D41/SUM('Balance Sheet'!D39,'Balance Sheet'!D40,'Assumptions Working'!I930))*'Balance Sheet'!D39</f>
        <v>-805.08760265936644</v>
      </c>
      <c r="F75" s="327">
        <f>(' Income Statement'!E41/SUM('Balance Sheet'!E39,'Balance Sheet'!E40,'Assumptions Working'!J930))*'Balance Sheet'!E39</f>
        <v>-856.46175637393765</v>
      </c>
      <c r="G75" s="327">
        <f>(' Income Statement'!F41/SUM('Balance Sheet'!F39,'Balance Sheet'!F40,'Assumptions Working'!K930))*'Balance Sheet'!F39</f>
        <v>-869.01795752654596</v>
      </c>
      <c r="H75" s="327">
        <f>(' Income Statement'!G41/SUM('Balance Sheet'!G39,'Balance Sheet'!G40,'Assumptions Working'!L930))*'Balance Sheet'!G39</f>
        <v>-910.32611411911705</v>
      </c>
      <c r="I75" s="327">
        <f>(' Income Statement'!H41/SUM('Balance Sheet'!H39,'Balance Sheet'!H40,'Assumptions Working'!M930))*'Balance Sheet'!H39</f>
        <v>-955.47046057390889</v>
      </c>
      <c r="J75" s="327">
        <f>(' Income Statement'!I41/SUM('Balance Sheet'!I39,'Balance Sheet'!I40,'Assumptions Working'!N930))*'Balance Sheet'!I39</f>
        <v>-1056.9852775904699</v>
      </c>
      <c r="K75" s="385">
        <f>J75-(K74/$D$75)</f>
        <v>-1151.0907717090952</v>
      </c>
      <c r="L75" s="385">
        <f>K75-(L74/$D$75)</f>
        <v>-1253.4626804111681</v>
      </c>
      <c r="M75" s="385">
        <f t="shared" ref="M75:N75" si="68">L75-(M74/$D$75)</f>
        <v>-1364.9160663022419</v>
      </c>
      <c r="N75" s="385">
        <f t="shared" si="68"/>
        <v>-1486.3527994385772</v>
      </c>
      <c r="O75" s="385">
        <f>N75-(O74/$D$75)</f>
        <v>-1618.7712756943595</v>
      </c>
      <c r="P75" s="385">
        <f t="shared" ref="P75:T75" si="69">O75-(P74/$D$75)</f>
        <v>-1763.2772581058646</v>
      </c>
      <c r="Q75" s="385">
        <f t="shared" si="69"/>
        <v>-1920.798409791684</v>
      </c>
      <c r="R75" s="385">
        <f t="shared" si="69"/>
        <v>-2091.6939873945107</v>
      </c>
      <c r="S75" s="385">
        <f t="shared" si="69"/>
        <v>-2276.2252911086675</v>
      </c>
      <c r="T75" s="385">
        <f t="shared" si="69"/>
        <v>-2474.5581766148221</v>
      </c>
    </row>
    <row r="76" spans="1:20" outlineLevel="1">
      <c r="B76" s="39" t="s">
        <v>627</v>
      </c>
      <c r="C76" s="39"/>
      <c r="D76" s="39"/>
      <c r="E76" s="328">
        <f>SUM(E73:E75)</f>
        <v>4214.9123973406331</v>
      </c>
      <c r="F76" s="328">
        <f t="shared" ref="F76:O76" si="70">SUM(F73:F75)</f>
        <v>3993.5382436260625</v>
      </c>
      <c r="G76" s="328">
        <f t="shared" si="70"/>
        <v>5422.9820424734544</v>
      </c>
      <c r="H76" s="328">
        <f t="shared" si="70"/>
        <v>5364.6738858808831</v>
      </c>
      <c r="I76" s="328">
        <f t="shared" si="70"/>
        <v>6279.5295394260911</v>
      </c>
      <c r="J76" s="328">
        <f t="shared" si="70"/>
        <v>6714.0147224095299</v>
      </c>
      <c r="K76" s="328">
        <f t="shared" si="70"/>
        <v>7201.4916400702832</v>
      </c>
      <c r="L76" s="328">
        <f t="shared" si="70"/>
        <v>7483.6075901902077</v>
      </c>
      <c r="M76" s="328">
        <f t="shared" si="70"/>
        <v>7790.4923122540722</v>
      </c>
      <c r="N76" s="328">
        <f t="shared" si="70"/>
        <v>8125.6905098605239</v>
      </c>
      <c r="O76" s="328">
        <f t="shared" si="70"/>
        <v>8493.1963780028982</v>
      </c>
      <c r="P76" s="328">
        <f t="shared" ref="P76:T76" si="71">SUM(P73:P75)</f>
        <v>8897.5088560696095</v>
      </c>
      <c r="Q76" s="328">
        <f t="shared" si="71"/>
        <v>9339.5277215652168</v>
      </c>
      <c r="R76" s="328">
        <f t="shared" si="71"/>
        <v>9811.2673982131091</v>
      </c>
      <c r="S76" s="328">
        <f t="shared" si="71"/>
        <v>10303.011662816794</v>
      </c>
      <c r="T76" s="328">
        <f t="shared" si="71"/>
        <v>10803.446768794289</v>
      </c>
    </row>
    <row r="77" spans="1:20" outlineLevel="1">
      <c r="J77" s="58"/>
      <c r="K77" s="56"/>
      <c r="L77" s="56"/>
      <c r="M77" s="56"/>
      <c r="N77" s="56"/>
      <c r="O77" s="56"/>
      <c r="P77" s="56"/>
      <c r="Q77" s="56"/>
      <c r="R77" s="56"/>
      <c r="S77" s="56"/>
      <c r="T77" s="56"/>
    </row>
    <row r="78" spans="1:20" outlineLevel="1">
      <c r="B78" s="315" t="s">
        <v>593</v>
      </c>
      <c r="C78" s="315"/>
      <c r="D78" s="315"/>
      <c r="E78" s="315"/>
      <c r="F78" s="316">
        <f>F76/E76-1</f>
        <v>-5.2521650000186271E-2</v>
      </c>
      <c r="G78" s="316">
        <f t="shared" ref="G78:O78" si="72">G76/F76-1</f>
        <v>0.35793917865413549</v>
      </c>
      <c r="H78" s="316">
        <f t="shared" si="72"/>
        <v>-1.0752046777196544E-2</v>
      </c>
      <c r="I78" s="316">
        <f t="shared" si="72"/>
        <v>0.17053332094481788</v>
      </c>
      <c r="J78" s="316">
        <f t="shared" si="72"/>
        <v>6.9190722052586695E-2</v>
      </c>
      <c r="K78" s="386">
        <f t="shared" si="72"/>
        <v>7.2605875592391733E-2</v>
      </c>
      <c r="L78" s="386">
        <f t="shared" si="72"/>
        <v>3.9174654949286403E-2</v>
      </c>
      <c r="M78" s="386">
        <f t="shared" si="72"/>
        <v>4.1007591374264463E-2</v>
      </c>
      <c r="N78" s="386">
        <f t="shared" si="72"/>
        <v>4.3026574466828116E-2</v>
      </c>
      <c r="O78" s="386">
        <f t="shared" si="72"/>
        <v>4.5227647754539246E-2</v>
      </c>
      <c r="P78" s="386">
        <f t="shared" ref="P78" si="73">P76/O76-1</f>
        <v>4.7604277597285583E-2</v>
      </c>
      <c r="Q78" s="386">
        <f t="shared" ref="Q78" si="74">Q76/P76-1</f>
        <v>4.967894639341397E-2</v>
      </c>
      <c r="R78" s="386">
        <f t="shared" ref="R78" si="75">R76/Q76-1</f>
        <v>5.0510014072620901E-2</v>
      </c>
      <c r="S78" s="386">
        <f t="shared" ref="S78" si="76">S76/R76-1</f>
        <v>5.0120361075190356E-2</v>
      </c>
      <c r="T78" s="386">
        <f t="shared" ref="T78" si="77">T76/S76-1</f>
        <v>4.8571730514830547E-2</v>
      </c>
    </row>
    <row r="79" spans="1:20" outlineLevel="1">
      <c r="J79" s="205"/>
      <c r="K79" s="314"/>
      <c r="L79" s="314"/>
      <c r="M79" s="314"/>
      <c r="N79" s="314"/>
      <c r="O79" s="314"/>
      <c r="P79" s="314"/>
      <c r="Q79" s="314"/>
      <c r="R79" s="314"/>
      <c r="S79" s="314"/>
      <c r="T79" s="314"/>
    </row>
    <row r="80" spans="1:20" ht="15.6" outlineLevel="1">
      <c r="B80" s="23" t="s">
        <v>726</v>
      </c>
      <c r="C80" s="24"/>
      <c r="D80" s="24"/>
      <c r="E80" s="24"/>
      <c r="F80" s="24"/>
      <c r="G80" s="24"/>
      <c r="H80" s="24"/>
      <c r="I80" s="24"/>
      <c r="J80" s="24"/>
      <c r="K80" s="24"/>
      <c r="L80" s="24"/>
      <c r="M80" s="24"/>
      <c r="N80" s="24"/>
      <c r="O80" s="24"/>
      <c r="P80" s="24"/>
      <c r="Q80" s="24"/>
      <c r="R80" s="24"/>
      <c r="S80" s="24"/>
      <c r="T80" s="24"/>
    </row>
    <row r="81" spans="2:20" ht="1.8" customHeight="1" outlineLevel="1">
      <c r="B81" s="25"/>
      <c r="C81" s="25"/>
      <c r="D81" s="25"/>
      <c r="E81" s="25"/>
      <c r="F81" s="25"/>
      <c r="G81" s="25"/>
      <c r="H81" s="25"/>
      <c r="I81" s="25"/>
      <c r="J81" s="25"/>
      <c r="K81" s="25"/>
      <c r="L81" s="25"/>
      <c r="M81" s="25"/>
      <c r="N81" s="25"/>
      <c r="O81" s="25"/>
      <c r="P81" s="25"/>
      <c r="Q81" s="25"/>
      <c r="R81" s="25"/>
      <c r="S81" s="25"/>
      <c r="T81" s="25"/>
    </row>
    <row r="82" spans="2:20" outlineLevel="1">
      <c r="J82" s="58"/>
      <c r="K82" s="56"/>
      <c r="L82" s="56"/>
      <c r="M82" s="56"/>
      <c r="N82" s="56"/>
      <c r="O82" s="56"/>
      <c r="P82" s="56"/>
      <c r="Q82" s="56"/>
      <c r="R82" s="56"/>
      <c r="S82" s="56"/>
      <c r="T82" s="56"/>
    </row>
    <row r="83" spans="2:20" outlineLevel="1">
      <c r="B83" t="s">
        <v>727</v>
      </c>
      <c r="E83" s="61"/>
      <c r="F83" s="61"/>
      <c r="G83" s="61"/>
      <c r="H83" s="61"/>
      <c r="I83" s="61"/>
      <c r="J83" s="61">
        <f>'Assumptions Working'!N927</f>
        <v>2878</v>
      </c>
      <c r="K83" s="61">
        <f>'Balance Sheet'!I40</f>
        <v>1684</v>
      </c>
      <c r="L83" s="56">
        <f>K86</f>
        <v>2522.2599517444824</v>
      </c>
      <c r="M83" s="56">
        <f t="shared" ref="M83" si="78">L86</f>
        <v>3129.6221900329642</v>
      </c>
      <c r="N83" s="56">
        <f t="shared" ref="N83" si="79">M86</f>
        <v>3754.9328231857658</v>
      </c>
      <c r="O83" s="56">
        <f t="shared" ref="O83" si="80">N86</f>
        <v>4400.6879086204262</v>
      </c>
      <c r="P83" s="56">
        <f t="shared" ref="P83" si="81">O86</f>
        <v>5069.6978275910842</v>
      </c>
      <c r="Q83" s="56">
        <f t="shared" ref="Q83" si="82">P86</f>
        <v>5765.1258491118842</v>
      </c>
      <c r="R83" s="56">
        <f t="shared" ref="R83" si="83">Q86</f>
        <v>6482.2092563707065</v>
      </c>
      <c r="S83" s="56">
        <f t="shared" ref="S83" si="84">R86</f>
        <v>7203.6833733477488</v>
      </c>
      <c r="T83" s="56">
        <f t="shared" ref="T83" si="85">S86</f>
        <v>7921.7825343999702</v>
      </c>
    </row>
    <row r="84" spans="2:20" outlineLevel="1">
      <c r="B84" s="63" t="s">
        <v>733</v>
      </c>
      <c r="E84" s="61"/>
      <c r="F84" s="61"/>
      <c r="G84" s="61"/>
      <c r="H84" s="61"/>
      <c r="I84" s="61"/>
      <c r="J84" s="61"/>
      <c r="K84" s="387">
        <f>K195</f>
        <v>1172.8948380000006</v>
      </c>
      <c r="L84" s="387">
        <f t="shared" ref="L84:O84" si="86">L195</f>
        <v>1009.2826334400002</v>
      </c>
      <c r="M84" s="387">
        <f t="shared" si="86"/>
        <v>1100.6046731832</v>
      </c>
      <c r="N84" s="387">
        <f t="shared" si="86"/>
        <v>1201.1240629982774</v>
      </c>
      <c r="O84" s="387">
        <f t="shared" si="86"/>
        <v>1311.8345320010089</v>
      </c>
      <c r="P84" s="387">
        <f t="shared" ref="P84:T84" si="87">P195</f>
        <v>1433.8421084476608</v>
      </c>
      <c r="Q84" s="387">
        <f t="shared" si="87"/>
        <v>1559.4616009132326</v>
      </c>
      <c r="R84" s="387">
        <f t="shared" si="87"/>
        <v>1675.5560471051276</v>
      </c>
      <c r="S84" s="387">
        <f t="shared" si="87"/>
        <v>1791.6225976931851</v>
      </c>
      <c r="T84" s="387">
        <f t="shared" si="87"/>
        <v>1906.943780973136</v>
      </c>
    </row>
    <row r="85" spans="2:20" outlineLevel="1">
      <c r="B85" s="63" t="s">
        <v>626</v>
      </c>
      <c r="D85" s="333">
        <v>15</v>
      </c>
      <c r="E85" s="327"/>
      <c r="F85" s="327"/>
      <c r="G85" s="327"/>
      <c r="H85" s="327"/>
      <c r="I85" s="327"/>
      <c r="J85" s="327">
        <f>(' Income Statement'!I41/SUM('Assumptions Working'!N930,'Balance Sheet'!I39,'Balance Sheet'!I40))*'Balance Sheet'!I40</f>
        <v>-256.4418970555181</v>
      </c>
      <c r="K85" s="385">
        <f>J85-(K84/$D$85)</f>
        <v>-334.63488625551815</v>
      </c>
      <c r="L85" s="385">
        <f t="shared" ref="L85:O85" si="88">K85-(L84/$D$85)</f>
        <v>-401.92039515151816</v>
      </c>
      <c r="M85" s="385">
        <f t="shared" si="88"/>
        <v>-475.29404003039815</v>
      </c>
      <c r="N85" s="385">
        <f t="shared" si="88"/>
        <v>-555.36897756361668</v>
      </c>
      <c r="O85" s="385">
        <f t="shared" si="88"/>
        <v>-642.82461303035063</v>
      </c>
      <c r="P85" s="385">
        <f t="shared" ref="P85" si="89">O85-(P84/$D$85)</f>
        <v>-738.41408692686139</v>
      </c>
      <c r="Q85" s="385">
        <f t="shared" ref="Q85" si="90">P85-(Q84/$D$85)</f>
        <v>-842.37819365441021</v>
      </c>
      <c r="R85" s="385">
        <f t="shared" ref="R85" si="91">Q85-(R84/$D$85)</f>
        <v>-954.08193012808533</v>
      </c>
      <c r="S85" s="385">
        <f t="shared" ref="S85" si="92">R85-(S84/$D$85)</f>
        <v>-1073.5234366409643</v>
      </c>
      <c r="T85" s="385">
        <f t="shared" ref="T85" si="93">S85-(T84/$D$85)</f>
        <v>-1200.6530220391733</v>
      </c>
    </row>
    <row r="86" spans="2:20" outlineLevel="1">
      <c r="B86" s="39" t="s">
        <v>729</v>
      </c>
      <c r="C86" s="39"/>
      <c r="D86" s="39"/>
      <c r="E86" s="328"/>
      <c r="F86" s="328"/>
      <c r="G86" s="328"/>
      <c r="H86" s="328"/>
      <c r="I86" s="328"/>
      <c r="J86" s="328">
        <f>'Balance Sheet'!I40</f>
        <v>1684</v>
      </c>
      <c r="K86" s="328">
        <f t="shared" ref="K86:O86" si="94">SUM(K83:K85)</f>
        <v>2522.2599517444824</v>
      </c>
      <c r="L86" s="328">
        <f t="shared" si="94"/>
        <v>3129.6221900329642</v>
      </c>
      <c r="M86" s="328">
        <f t="shared" si="94"/>
        <v>3754.9328231857658</v>
      </c>
      <c r="N86" s="328">
        <f t="shared" si="94"/>
        <v>4400.6879086204262</v>
      </c>
      <c r="O86" s="328">
        <f t="shared" si="94"/>
        <v>5069.6978275910842</v>
      </c>
      <c r="P86" s="328">
        <f t="shared" ref="P86:T86" si="95">SUM(P83:P85)</f>
        <v>5765.1258491118842</v>
      </c>
      <c r="Q86" s="328">
        <f t="shared" si="95"/>
        <v>6482.2092563707065</v>
      </c>
      <c r="R86" s="328">
        <f t="shared" si="95"/>
        <v>7203.6833733477488</v>
      </c>
      <c r="S86" s="328">
        <f t="shared" si="95"/>
        <v>7921.7825343999702</v>
      </c>
      <c r="T86" s="328">
        <f t="shared" si="95"/>
        <v>8628.0732933339314</v>
      </c>
    </row>
    <row r="87" spans="2:20" outlineLevel="1">
      <c r="J87" s="58"/>
      <c r="K87" s="56"/>
      <c r="L87" s="56"/>
      <c r="M87" s="56"/>
      <c r="N87" s="56"/>
      <c r="O87" s="56"/>
      <c r="P87" s="56"/>
      <c r="Q87" s="56"/>
      <c r="R87" s="56"/>
      <c r="S87" s="56"/>
      <c r="T87" s="56"/>
    </row>
    <row r="88" spans="2:20" outlineLevel="1">
      <c r="B88" s="315" t="s">
        <v>593</v>
      </c>
      <c r="C88" s="315"/>
      <c r="D88" s="315"/>
      <c r="E88" s="315"/>
      <c r="F88" s="316"/>
      <c r="G88" s="316"/>
      <c r="H88" s="316"/>
      <c r="I88" s="316"/>
      <c r="J88" s="316"/>
      <c r="K88" s="336">
        <f t="shared" ref="K88" si="96">K86/J86-1</f>
        <v>0.49777906873187794</v>
      </c>
      <c r="L88" s="336">
        <f t="shared" ref="L88" si="97">L86/K86-1</f>
        <v>0.2408008095551013</v>
      </c>
      <c r="M88" s="336">
        <f t="shared" ref="M88" si="98">M86/L86-1</f>
        <v>0.19980387253907317</v>
      </c>
      <c r="N88" s="336">
        <f t="shared" ref="N88" si="99">N86/M86-1</f>
        <v>0.17197513666483855</v>
      </c>
      <c r="O88" s="336">
        <f t="shared" ref="O88" si="100">O86/N86-1</f>
        <v>0.15202394099798511</v>
      </c>
      <c r="P88" s="336">
        <f t="shared" ref="P88" si="101">P86/O86-1</f>
        <v>0.13717346579041356</v>
      </c>
      <c r="Q88" s="336">
        <f t="shared" ref="Q88" si="102">Q86/P86-1</f>
        <v>0.12438295815680922</v>
      </c>
      <c r="R88" s="336">
        <f t="shared" ref="R88" si="103">R86/Q86-1</f>
        <v>0.11130065205284434</v>
      </c>
      <c r="S88" s="336">
        <f t="shared" ref="S88" si="104">S86/R86-1</f>
        <v>9.9684997776144701E-2</v>
      </c>
      <c r="T88" s="336">
        <f t="shared" ref="T88" si="105">T86/S86-1</f>
        <v>8.9158059548709812E-2</v>
      </c>
    </row>
    <row r="89" spans="2:20" outlineLevel="1">
      <c r="J89" s="205"/>
      <c r="K89" s="314"/>
      <c r="L89" s="314"/>
      <c r="M89" s="314"/>
      <c r="N89" s="314"/>
      <c r="O89" s="314"/>
      <c r="P89" s="314"/>
      <c r="Q89" s="314"/>
      <c r="R89" s="314"/>
      <c r="S89" s="314"/>
      <c r="T89" s="314"/>
    </row>
    <row r="90" spans="2:20" outlineLevel="1">
      <c r="J90" s="205"/>
      <c r="K90" s="314"/>
      <c r="L90" s="314"/>
      <c r="M90" s="314"/>
      <c r="N90" s="314"/>
      <c r="O90" s="314"/>
      <c r="P90" s="314"/>
      <c r="Q90" s="314"/>
      <c r="R90" s="314"/>
      <c r="S90" s="314"/>
      <c r="T90" s="314"/>
    </row>
    <row r="91" spans="2:20" ht="15.6" outlineLevel="1">
      <c r="B91" s="23" t="s">
        <v>594</v>
      </c>
      <c r="C91" s="24"/>
      <c r="D91" s="24"/>
      <c r="E91" s="24"/>
      <c r="F91" s="24"/>
      <c r="G91" s="24"/>
      <c r="H91" s="24"/>
      <c r="I91" s="24"/>
      <c r="J91" s="24"/>
      <c r="K91" s="24"/>
      <c r="L91" s="24"/>
      <c r="M91" s="24"/>
      <c r="N91" s="24"/>
      <c r="O91" s="24"/>
      <c r="P91" s="24"/>
      <c r="Q91" s="24"/>
      <c r="R91" s="24"/>
      <c r="S91" s="24"/>
      <c r="T91" s="24"/>
    </row>
    <row r="92" spans="2:20" ht="1.8" customHeight="1" outlineLevel="1">
      <c r="B92" s="25"/>
      <c r="C92" s="25"/>
      <c r="D92" s="25"/>
      <c r="E92" s="25"/>
      <c r="F92" s="25"/>
      <c r="G92" s="25"/>
      <c r="H92" s="25"/>
      <c r="I92" s="25"/>
      <c r="J92" s="25"/>
      <c r="K92" s="25"/>
      <c r="L92" s="25"/>
      <c r="M92" s="25"/>
      <c r="N92" s="25"/>
      <c r="O92" s="25"/>
      <c r="P92" s="25"/>
      <c r="Q92" s="25"/>
      <c r="R92" s="25"/>
      <c r="S92" s="25"/>
      <c r="T92" s="25"/>
    </row>
    <row r="93" spans="2:20" outlineLevel="1">
      <c r="J93" s="58"/>
      <c r="K93" s="56"/>
      <c r="L93" s="56"/>
      <c r="M93" s="56"/>
      <c r="N93" s="56"/>
      <c r="O93" s="56"/>
      <c r="P93" s="56"/>
      <c r="Q93" s="56"/>
      <c r="R93" s="56"/>
      <c r="S93" s="56"/>
      <c r="T93" s="56"/>
    </row>
    <row r="94" spans="2:20" outlineLevel="1">
      <c r="B94" t="s">
        <v>594</v>
      </c>
      <c r="E94" s="61">
        <f>'Balance Sheet'!D41</f>
        <v>597</v>
      </c>
      <c r="F94" s="61">
        <f>'Balance Sheet'!E41</f>
        <v>745</v>
      </c>
      <c r="G94" s="61">
        <f>'Balance Sheet'!F41</f>
        <v>1313</v>
      </c>
      <c r="H94" s="61">
        <f>'Balance Sheet'!G41</f>
        <v>1132</v>
      </c>
      <c r="I94" s="61">
        <f>'Balance Sheet'!H41</f>
        <v>1025</v>
      </c>
      <c r="J94" s="61">
        <f>'Balance Sheet'!I41</f>
        <v>1009</v>
      </c>
      <c r="K94" s="56">
        <f>K97*K95</f>
        <v>1058.3955240584546</v>
      </c>
      <c r="L94" s="56">
        <f>L97*L95</f>
        <v>1064.2199009290568</v>
      </c>
      <c r="M94" s="56">
        <f t="shared" ref="M94:O94" si="106">M97*M95</f>
        <v>1070.5583997723352</v>
      </c>
      <c r="N94" s="56">
        <f t="shared" si="106"/>
        <v>1077.484597510505</v>
      </c>
      <c r="O94" s="56">
        <f t="shared" si="106"/>
        <v>1085.0814010964775</v>
      </c>
      <c r="P94" s="56">
        <f t="shared" ref="P94:T94" si="107">P97*P95</f>
        <v>1093.5182208788754</v>
      </c>
      <c r="Q94" s="56">
        <f t="shared" si="107"/>
        <v>1102.8281640718462</v>
      </c>
      <c r="R94" s="56">
        <f t="shared" si="107"/>
        <v>1112.8688290580635</v>
      </c>
      <c r="S94" s="56">
        <f t="shared" si="107"/>
        <v>1123.4657192973095</v>
      </c>
      <c r="T94" s="56">
        <f t="shared" si="107"/>
        <v>1134.4152720846087</v>
      </c>
    </row>
    <row r="95" spans="2:20" outlineLevel="1">
      <c r="B95" s="315" t="s">
        <v>609</v>
      </c>
      <c r="C95" s="315"/>
      <c r="D95" s="315"/>
      <c r="E95" s="315"/>
      <c r="F95" s="316">
        <f>F94/E94-1</f>
        <v>0.24790619765494126</v>
      </c>
      <c r="G95" s="316">
        <f t="shared" ref="G95" si="108">G94/F94-1</f>
        <v>0.76241610738255039</v>
      </c>
      <c r="H95" s="316">
        <f t="shared" ref="H95" si="109">H94/G94-1</f>
        <v>-0.1378522467631379</v>
      </c>
      <c r="I95" s="316">
        <f t="shared" ref="I95" si="110">I94/H94-1</f>
        <v>-9.4522968197879864E-2</v>
      </c>
      <c r="J95" s="316">
        <f t="shared" ref="J95" si="111">J94/I94-1</f>
        <v>-1.5609756097560989E-2</v>
      </c>
      <c r="K95" s="317">
        <f>'Control Sheet'!K108</f>
        <v>0.02</v>
      </c>
      <c r="L95" s="317">
        <f>'Control Sheet'!L108</f>
        <v>0.02</v>
      </c>
      <c r="M95" s="317">
        <f>'Control Sheet'!M108</f>
        <v>0.02</v>
      </c>
      <c r="N95" s="317">
        <f>'Control Sheet'!N108</f>
        <v>0.02</v>
      </c>
      <c r="O95" s="317">
        <f>'Control Sheet'!O108</f>
        <v>0.02</v>
      </c>
      <c r="P95" s="317">
        <f>'Control Sheet'!P108</f>
        <v>0.02</v>
      </c>
      <c r="Q95" s="317">
        <f>'Control Sheet'!Q108</f>
        <v>0.02</v>
      </c>
      <c r="R95" s="317">
        <f>'Control Sheet'!R108</f>
        <v>0.02</v>
      </c>
      <c r="S95" s="317">
        <f>'Control Sheet'!S108</f>
        <v>0.02</v>
      </c>
      <c r="T95" s="317">
        <f>'Control Sheet'!T108</f>
        <v>0.02</v>
      </c>
    </row>
    <row r="96" spans="2:20" outlineLevel="1">
      <c r="B96" s="154"/>
      <c r="C96" s="154"/>
      <c r="D96" s="154"/>
      <c r="E96" s="154"/>
      <c r="F96" s="319"/>
      <c r="G96" s="319"/>
      <c r="H96" s="319"/>
      <c r="I96" s="319"/>
      <c r="J96" s="319"/>
      <c r="K96" s="320"/>
      <c r="L96" s="320"/>
      <c r="M96" s="320"/>
      <c r="N96" s="320"/>
      <c r="O96" s="320"/>
      <c r="P96" s="320"/>
      <c r="Q96" s="320"/>
      <c r="R96" s="320"/>
      <c r="S96" s="320"/>
      <c r="T96" s="320"/>
    </row>
    <row r="97" spans="2:20" outlineLevel="1">
      <c r="B97" t="s">
        <v>613</v>
      </c>
      <c r="E97" s="61">
        <f>'3Statement Model'!D83+'3Statement Model'!D86+'3Statement Model'!D87</f>
        <v>4628</v>
      </c>
      <c r="F97" s="61">
        <f>'3Statement Model'!E83+'3Statement Model'!E86+'3Statement Model'!E87</f>
        <v>50394</v>
      </c>
      <c r="G97" s="61">
        <f>'3Statement Model'!F83+'3Statement Model'!F86+'3Statement Model'!F87</f>
        <v>50405</v>
      </c>
      <c r="H97" s="61">
        <f>'3Statement Model'!G83+'3Statement Model'!G86+'3Statement Model'!G87</f>
        <v>51496</v>
      </c>
      <c r="I97" s="61">
        <f>'3Statement Model'!H83+'3Statement Model'!H86+'3Statement Model'!H87</f>
        <v>52230</v>
      </c>
      <c r="J97" s="61">
        <f>'3Statement Model'!I83+'3Statement Model'!I86+'3Statement Model'!I87</f>
        <v>52651</v>
      </c>
      <c r="K97" s="61">
        <f>'3Statement Model'!J83+'3Statement Model'!J86+'3Statement Model'!J87</f>
        <v>52919.776202922731</v>
      </c>
      <c r="L97" s="61">
        <f>'3Statement Model'!K83+'3Statement Model'!K86+'3Statement Model'!K87</f>
        <v>53210.995046452837</v>
      </c>
      <c r="M97" s="61">
        <f>'3Statement Model'!L83+'3Statement Model'!L86+'3Statement Model'!L87</f>
        <v>53527.919988616755</v>
      </c>
      <c r="N97" s="61">
        <f>'3Statement Model'!M83+'3Statement Model'!M86+'3Statement Model'!M87</f>
        <v>53874.229875525249</v>
      </c>
      <c r="O97" s="61">
        <f>'3Statement Model'!N83+'3Statement Model'!N86+'3Statement Model'!N87</f>
        <v>54254.070054823875</v>
      </c>
      <c r="P97" s="61">
        <f>'3Statement Model'!O83+'3Statement Model'!O86+'3Statement Model'!O87</f>
        <v>54675.911043943765</v>
      </c>
      <c r="Q97" s="61">
        <f>'3Statement Model'!P83+'3Statement Model'!P86+'3Statement Model'!P87</f>
        <v>55141.408203592306</v>
      </c>
      <c r="R97" s="61">
        <f>'3Statement Model'!Q83+'3Statement Model'!Q86+'3Statement Model'!Q87</f>
        <v>55643.441452903178</v>
      </c>
      <c r="S97" s="61">
        <f>'3Statement Model'!R83+'3Statement Model'!R86+'3Statement Model'!R87</f>
        <v>56173.28596486547</v>
      </c>
      <c r="T97" s="61">
        <f>'3Statement Model'!S83+'3Statement Model'!S86+'3Statement Model'!S87</f>
        <v>56720.763604230437</v>
      </c>
    </row>
    <row r="98" spans="2:20" outlineLevel="1">
      <c r="J98" s="205"/>
      <c r="K98" s="314"/>
      <c r="L98" s="314"/>
      <c r="M98" s="314"/>
      <c r="N98" s="314"/>
      <c r="O98" s="314"/>
      <c r="P98" s="314"/>
      <c r="Q98" s="314"/>
      <c r="R98" s="314"/>
      <c r="S98" s="314"/>
      <c r="T98" s="314"/>
    </row>
    <row r="99" spans="2:20" ht="15.6" outlineLevel="1">
      <c r="B99" s="23" t="s">
        <v>15</v>
      </c>
      <c r="C99" s="24"/>
      <c r="D99" s="24"/>
      <c r="E99" s="24"/>
      <c r="F99" s="24"/>
      <c r="G99" s="24"/>
      <c r="H99" s="24"/>
      <c r="I99" s="24"/>
      <c r="J99" s="24"/>
      <c r="K99" s="24"/>
      <c r="L99" s="24"/>
      <c r="M99" s="24"/>
      <c r="N99" s="24"/>
      <c r="O99" s="24"/>
      <c r="P99" s="24"/>
      <c r="Q99" s="24"/>
      <c r="R99" s="24"/>
      <c r="S99" s="24"/>
      <c r="T99" s="24"/>
    </row>
    <row r="100" spans="2:20" ht="1.8" customHeight="1" outlineLevel="1">
      <c r="B100" s="25"/>
      <c r="C100" s="25"/>
      <c r="D100" s="25"/>
      <c r="E100" s="25"/>
      <c r="F100" s="25"/>
      <c r="G100" s="25"/>
      <c r="H100" s="25"/>
      <c r="I100" s="25"/>
      <c r="J100" s="25"/>
      <c r="K100" s="25"/>
      <c r="L100" s="25"/>
      <c r="M100" s="25"/>
      <c r="N100" s="25"/>
      <c r="O100" s="25"/>
      <c r="P100" s="25"/>
      <c r="Q100" s="25"/>
      <c r="R100" s="25"/>
      <c r="S100" s="25"/>
      <c r="T100" s="25"/>
    </row>
    <row r="101" spans="2:20" outlineLevel="1">
      <c r="J101" s="58"/>
      <c r="K101" s="56"/>
      <c r="L101" s="56"/>
      <c r="M101" s="56"/>
      <c r="N101" s="56"/>
      <c r="O101" s="56"/>
      <c r="P101" s="56"/>
      <c r="Q101" s="56"/>
      <c r="R101" s="56"/>
      <c r="S101" s="56"/>
      <c r="T101" s="56"/>
    </row>
    <row r="102" spans="2:20" outlineLevel="1">
      <c r="B102" t="s">
        <v>15</v>
      </c>
      <c r="E102" s="61">
        <f>'Balance Sheet'!D42</f>
        <v>117</v>
      </c>
      <c r="F102" s="61">
        <f>'Balance Sheet'!E42</f>
        <v>17397</v>
      </c>
      <c r="G102" s="61">
        <f>'Balance Sheet'!F42</f>
        <v>17397</v>
      </c>
      <c r="H102" s="61">
        <f>'Balance Sheet'!G42</f>
        <v>17466</v>
      </c>
      <c r="I102" s="61">
        <f>'Balance Sheet'!H42</f>
        <v>17466</v>
      </c>
      <c r="J102" s="61">
        <f>'Balance Sheet'!I42</f>
        <v>17466</v>
      </c>
      <c r="K102" s="56">
        <f>J102+(J102*K103)</f>
        <v>17466</v>
      </c>
      <c r="L102" s="56">
        <f t="shared" ref="L102:O102" si="112">K102+(K102*L103)</f>
        <v>17466</v>
      </c>
      <c r="M102" s="56">
        <f t="shared" si="112"/>
        <v>17466</v>
      </c>
      <c r="N102" s="56">
        <f t="shared" si="112"/>
        <v>17466</v>
      </c>
      <c r="O102" s="56">
        <f t="shared" si="112"/>
        <v>17466</v>
      </c>
      <c r="P102" s="56">
        <f t="shared" ref="P102" si="113">O102+(O102*P103)</f>
        <v>17466</v>
      </c>
      <c r="Q102" s="56">
        <f t="shared" ref="Q102" si="114">P102+(P102*Q103)</f>
        <v>17466</v>
      </c>
      <c r="R102" s="56">
        <f t="shared" ref="R102" si="115">Q102+(Q102*R103)</f>
        <v>17466</v>
      </c>
      <c r="S102" s="56">
        <f t="shared" ref="S102" si="116">R102+(R102*S103)</f>
        <v>17466</v>
      </c>
      <c r="T102" s="56">
        <f t="shared" ref="T102" si="117">S102+(S102*T103)</f>
        <v>17466</v>
      </c>
    </row>
    <row r="103" spans="2:20" outlineLevel="1">
      <c r="B103" s="315" t="s">
        <v>593</v>
      </c>
      <c r="C103" s="315"/>
      <c r="D103" s="315"/>
      <c r="E103" s="315"/>
      <c r="F103" s="316">
        <f>F102/E102-1</f>
        <v>147.69230769230768</v>
      </c>
      <c r="G103" s="316">
        <f t="shared" ref="G103" si="118">G102/F102-1</f>
        <v>0</v>
      </c>
      <c r="H103" s="316">
        <f t="shared" ref="H103" si="119">H102/G102-1</f>
        <v>3.9662010691499106E-3</v>
      </c>
      <c r="I103" s="316">
        <f t="shared" ref="I103" si="120">I102/H102-1</f>
        <v>0</v>
      </c>
      <c r="J103" s="316">
        <f t="shared" ref="J103" si="121">J102/I102-1</f>
        <v>0</v>
      </c>
      <c r="K103" s="317">
        <f>'Control Sheet'!K114</f>
        <v>0</v>
      </c>
      <c r="L103" s="317">
        <f>'Control Sheet'!L114</f>
        <v>0</v>
      </c>
      <c r="M103" s="317">
        <f>'Control Sheet'!M114</f>
        <v>0</v>
      </c>
      <c r="N103" s="317">
        <f>'Control Sheet'!N114</f>
        <v>0</v>
      </c>
      <c r="O103" s="317">
        <f>'Control Sheet'!O114</f>
        <v>0</v>
      </c>
      <c r="P103" s="317">
        <f>'Control Sheet'!P114</f>
        <v>0</v>
      </c>
      <c r="Q103" s="317">
        <f>'Control Sheet'!Q114</f>
        <v>0</v>
      </c>
      <c r="R103" s="317">
        <f>'Control Sheet'!R114</f>
        <v>0</v>
      </c>
      <c r="S103" s="317">
        <f>'Control Sheet'!S114</f>
        <v>0</v>
      </c>
      <c r="T103" s="317">
        <f>'Control Sheet'!T114</f>
        <v>0</v>
      </c>
    </row>
    <row r="104" spans="2:20" outlineLevel="1">
      <c r="J104" s="205"/>
      <c r="K104" s="314"/>
      <c r="L104" s="314"/>
      <c r="M104" s="314"/>
      <c r="N104" s="314"/>
      <c r="O104" s="314"/>
      <c r="P104" s="314"/>
      <c r="Q104" s="314"/>
      <c r="R104" s="314"/>
      <c r="S104" s="314"/>
      <c r="T104" s="314"/>
    </row>
    <row r="105" spans="2:20" ht="15.6" outlineLevel="1">
      <c r="B105" s="23" t="s">
        <v>588</v>
      </c>
      <c r="C105" s="24"/>
      <c r="D105" s="24"/>
      <c r="E105" s="24"/>
      <c r="F105" s="24"/>
      <c r="G105" s="24"/>
      <c r="H105" s="24"/>
      <c r="I105" s="24"/>
      <c r="J105" s="24"/>
      <c r="K105" s="24"/>
      <c r="L105" s="24"/>
      <c r="M105" s="24"/>
      <c r="N105" s="24"/>
      <c r="O105" s="24"/>
      <c r="P105" s="24"/>
      <c r="Q105" s="24"/>
      <c r="R105" s="24"/>
      <c r="S105" s="24"/>
      <c r="T105" s="24"/>
    </row>
    <row r="106" spans="2:20" ht="1.8" customHeight="1" outlineLevel="1">
      <c r="B106" s="25"/>
      <c r="C106" s="25"/>
      <c r="D106" s="25"/>
      <c r="E106" s="25"/>
      <c r="F106" s="25"/>
      <c r="G106" s="25"/>
      <c r="H106" s="25"/>
      <c r="I106" s="25"/>
      <c r="J106" s="25"/>
      <c r="K106" s="25"/>
      <c r="L106" s="25"/>
      <c r="M106" s="25"/>
      <c r="N106" s="25"/>
      <c r="O106" s="25"/>
      <c r="P106" s="25"/>
      <c r="Q106" s="25"/>
      <c r="R106" s="25"/>
      <c r="S106" s="25"/>
      <c r="T106" s="25"/>
    </row>
    <row r="107" spans="2:20" outlineLevel="1">
      <c r="J107" s="58"/>
      <c r="K107" s="56"/>
      <c r="L107" s="56"/>
      <c r="M107" s="56"/>
      <c r="N107" s="56"/>
      <c r="O107" s="56"/>
      <c r="P107" s="56"/>
      <c r="Q107" s="56"/>
      <c r="R107" s="56"/>
      <c r="S107" s="56"/>
      <c r="T107" s="56"/>
    </row>
    <row r="108" spans="2:20" outlineLevel="1">
      <c r="B108" s="20" t="s">
        <v>633</v>
      </c>
      <c r="E108" s="61"/>
      <c r="F108" s="61"/>
      <c r="G108" s="61"/>
      <c r="H108" s="61"/>
      <c r="I108" s="61"/>
      <c r="J108" s="61">
        <f>'Balance Sheet'!H43</f>
        <v>28247</v>
      </c>
      <c r="K108" s="61">
        <f>'Balance Sheet'!I43</f>
        <v>28244</v>
      </c>
      <c r="L108" s="61">
        <f>K112</f>
        <v>28252.284562852445</v>
      </c>
      <c r="M108" s="61">
        <f t="shared" ref="M108:O108" si="122">L112</f>
        <v>28261.38745626263</v>
      </c>
      <c r="N108" s="61">
        <f t="shared" si="122"/>
        <v>28271.427676362684</v>
      </c>
      <c r="O108" s="61">
        <f t="shared" si="122"/>
        <v>28282.539365664725</v>
      </c>
      <c r="P108" s="61">
        <f t="shared" ref="P108" si="123">O112</f>
        <v>28294.873676820978</v>
      </c>
      <c r="Q108" s="61">
        <f t="shared" ref="Q108" si="124">P112</f>
        <v>28312.402187874151</v>
      </c>
      <c r="R108" s="61">
        <f t="shared" ref="R108" si="125">Q112</f>
        <v>28335.880482027093</v>
      </c>
      <c r="S108" s="61">
        <f t="shared" ref="S108" si="126">R112</f>
        <v>28366.174054690073</v>
      </c>
      <c r="T108" s="61">
        <f t="shared" ref="T108" si="127">S112</f>
        <v>28404.274302048674</v>
      </c>
    </row>
    <row r="109" spans="2:20" outlineLevel="1">
      <c r="B109" s="63" t="s">
        <v>635</v>
      </c>
      <c r="E109" s="61"/>
      <c r="F109" s="61"/>
      <c r="G109" s="61"/>
      <c r="H109" s="61"/>
      <c r="I109" s="61"/>
      <c r="J109" s="387">
        <v>0</v>
      </c>
      <c r="K109" s="56">
        <f>J109</f>
        <v>0</v>
      </c>
      <c r="L109" s="56">
        <f t="shared" ref="L109:O109" si="128">K109</f>
        <v>0</v>
      </c>
      <c r="M109" s="56">
        <f t="shared" si="128"/>
        <v>0</v>
      </c>
      <c r="N109" s="56">
        <f t="shared" si="128"/>
        <v>0</v>
      </c>
      <c r="O109" s="56">
        <f t="shared" si="128"/>
        <v>0</v>
      </c>
      <c r="P109" s="56">
        <f t="shared" ref="P109" si="129">O109</f>
        <v>0</v>
      </c>
      <c r="Q109" s="56">
        <f t="shared" ref="Q109" si="130">P109</f>
        <v>0</v>
      </c>
      <c r="R109" s="56">
        <f t="shared" ref="R109" si="131">Q109</f>
        <v>0</v>
      </c>
      <c r="S109" s="56">
        <f t="shared" ref="S109" si="132">R109</f>
        <v>0</v>
      </c>
      <c r="T109" s="56">
        <f t="shared" ref="T109" si="133">S109</f>
        <v>0</v>
      </c>
    </row>
    <row r="110" spans="2:20" outlineLevel="1">
      <c r="B110" s="63" t="s">
        <v>636</v>
      </c>
      <c r="E110" s="61"/>
      <c r="F110" s="61"/>
      <c r="G110" s="61"/>
      <c r="H110" s="61"/>
      <c r="I110" s="61"/>
      <c r="J110" s="56">
        <v>12</v>
      </c>
      <c r="K110" s="56">
        <f>K115-J115</f>
        <v>53.418630221204637</v>
      </c>
      <c r="L110" s="56">
        <f t="shared" ref="L110:O110" si="134">L115-K115</f>
        <v>58.111029406014495</v>
      </c>
      <c r="M110" s="56">
        <f t="shared" si="134"/>
        <v>63.266095817015071</v>
      </c>
      <c r="N110" s="56">
        <f t="shared" si="134"/>
        <v>68.933105377501136</v>
      </c>
      <c r="O110" s="56">
        <f t="shared" si="134"/>
        <v>75.166850605410104</v>
      </c>
      <c r="P110" s="56">
        <f t="shared" ref="P110" si="135">P115-O115</f>
        <v>86.101125538207498</v>
      </c>
      <c r="Q110" s="56">
        <f t="shared" ref="Q110" si="136">Q115-P115</f>
        <v>98.62597354068987</v>
      </c>
      <c r="R110" s="56">
        <f t="shared" ref="R110" si="137">R115-Q115</f>
        <v>112.97277005435251</v>
      </c>
      <c r="S110" s="56">
        <f t="shared" ref="S110" si="138">S115-R115</f>
        <v>129.40654794639954</v>
      </c>
      <c r="T110" s="56">
        <f t="shared" ref="T110" si="139">T115-S115</f>
        <v>148.23089354494073</v>
      </c>
    </row>
    <row r="111" spans="2:20" outlineLevel="1">
      <c r="B111" s="63" t="s">
        <v>49</v>
      </c>
      <c r="D111" s="333">
        <v>15</v>
      </c>
      <c r="E111" s="327">
        <f>(' Income Statement'!D41/SUM('Balance Sheet'!D39,'Balance Sheet'!D40,'Assumptions Working'!I930))*'Assumptions Working'!I930</f>
        <v>-30.173640985529914</v>
      </c>
      <c r="F111" s="327">
        <f>(' Income Statement'!E41/SUM('Balance Sheet'!E39,'Balance Sheet'!E40,'Assumptions Working'!J930))*'Assumptions Working'!J930</f>
        <v>-40.228517469310667</v>
      </c>
      <c r="G111" s="327">
        <f>(' Income Statement'!F41/SUM('Balance Sheet'!F39,'Balance Sheet'!F40,'Assumptions Working'!K930))*'Assumptions Working'!K930</f>
        <v>-40.035134291068083</v>
      </c>
      <c r="H111" s="327">
        <f>(' Income Statement'!G41/SUM('Balance Sheet'!G39,'Balance Sheet'!G40,'Assumptions Working'!L930))*'Assumptions Working'!L930</f>
        <v>-40.094127446897126</v>
      </c>
      <c r="I111" s="327">
        <f>(' Income Statement'!H41/SUM('Balance Sheet'!H39,'Balance Sheet'!H40,'Assumptions Working'!M930))*'Assumptions Working'!M930</f>
        <v>-38.558958283096217</v>
      </c>
      <c r="J111" s="327">
        <f>(' Income Statement'!I41/SUM('Balance Sheet'!I39,'Balance Sheet'!I40,'Assumptions Working'!N930))*'Assumptions Working'!N930</f>
        <v>-41.572825354012139</v>
      </c>
      <c r="K111" s="64">
        <f>J111-(K110/$D$111)</f>
        <v>-45.134067368759112</v>
      </c>
      <c r="L111" s="64">
        <f>K111-(L110/$D$111)</f>
        <v>-49.008135995826748</v>
      </c>
      <c r="M111" s="64">
        <f>L111-(M110/$D$111)</f>
        <v>-53.225875716961085</v>
      </c>
      <c r="N111" s="64">
        <f>M111-(N110/$D$111)</f>
        <v>-57.821416075461158</v>
      </c>
      <c r="O111" s="64">
        <f>N111-(O110/$D$111)</f>
        <v>-62.832539449155163</v>
      </c>
      <c r="P111" s="64">
        <f t="shared" ref="P111:T111" si="140">O111-(P110/$D$111)</f>
        <v>-68.572614485035658</v>
      </c>
      <c r="Q111" s="64">
        <f t="shared" si="140"/>
        <v>-75.147679387748312</v>
      </c>
      <c r="R111" s="64">
        <f t="shared" si="140"/>
        <v>-82.679197391371815</v>
      </c>
      <c r="S111" s="64">
        <f t="shared" si="140"/>
        <v>-91.306300587798447</v>
      </c>
      <c r="T111" s="64">
        <f t="shared" si="140"/>
        <v>-101.18836015746116</v>
      </c>
    </row>
    <row r="112" spans="2:20" outlineLevel="1">
      <c r="B112" s="39" t="s">
        <v>634</v>
      </c>
      <c r="C112" s="40"/>
      <c r="D112" s="40"/>
      <c r="E112" s="335"/>
      <c r="F112" s="335"/>
      <c r="G112" s="335"/>
      <c r="H112" s="335"/>
      <c r="I112" s="335"/>
      <c r="J112" s="335">
        <f t="shared" ref="J112:O112" si="141">SUM(J108:J111)</f>
        <v>28217.427174645989</v>
      </c>
      <c r="K112" s="335">
        <f t="shared" si="141"/>
        <v>28252.284562852445</v>
      </c>
      <c r="L112" s="335">
        <f t="shared" si="141"/>
        <v>28261.38745626263</v>
      </c>
      <c r="M112" s="335">
        <f t="shared" si="141"/>
        <v>28271.427676362684</v>
      </c>
      <c r="N112" s="335">
        <f t="shared" si="141"/>
        <v>28282.539365664725</v>
      </c>
      <c r="O112" s="335">
        <f t="shared" si="141"/>
        <v>28294.873676820978</v>
      </c>
      <c r="P112" s="335">
        <f t="shared" ref="P112:T112" si="142">SUM(P108:P111)</f>
        <v>28312.402187874151</v>
      </c>
      <c r="Q112" s="335">
        <f t="shared" si="142"/>
        <v>28335.880482027093</v>
      </c>
      <c r="R112" s="335">
        <f t="shared" si="142"/>
        <v>28366.174054690073</v>
      </c>
      <c r="S112" s="335">
        <f t="shared" si="142"/>
        <v>28404.274302048674</v>
      </c>
      <c r="T112" s="335">
        <f t="shared" si="142"/>
        <v>28451.316835436151</v>
      </c>
    </row>
    <row r="113" spans="2:20" outlineLevel="1">
      <c r="E113" s="61"/>
      <c r="F113" s="61"/>
      <c r="G113" s="61"/>
      <c r="H113" s="61"/>
      <c r="I113" s="61"/>
      <c r="J113" s="61"/>
      <c r="K113" s="56"/>
      <c r="L113" s="56"/>
      <c r="M113" s="56"/>
      <c r="N113" s="56"/>
      <c r="O113" s="56"/>
      <c r="P113" s="56"/>
      <c r="Q113" s="56"/>
      <c r="R113" s="56"/>
      <c r="S113" s="56"/>
      <c r="T113" s="56"/>
    </row>
    <row r="114" spans="2:20" outlineLevel="1">
      <c r="B114" t="s">
        <v>595</v>
      </c>
      <c r="E114" s="61">
        <f>'Assumptions Working'!I929</f>
        <v>311</v>
      </c>
      <c r="F114" s="61">
        <f>'Assumptions Working'!J929</f>
        <v>27782</v>
      </c>
      <c r="G114" s="61">
        <f>'Assumptions Working'!K929</f>
        <v>27782</v>
      </c>
      <c r="H114" s="61">
        <f>'Assumptions Working'!L929</f>
        <v>28413</v>
      </c>
      <c r="I114" s="61">
        <f>'Assumptions Working'!M929</f>
        <v>28413</v>
      </c>
      <c r="J114" s="61">
        <f>'Assumptions Working'!N929</f>
        <v>28413</v>
      </c>
      <c r="K114" s="56">
        <f>J114+(J114*K116)</f>
        <v>28413</v>
      </c>
      <c r="L114" s="56">
        <f t="shared" ref="L114:O114" si="143">K114+(K114*L116)</f>
        <v>28413</v>
      </c>
      <c r="M114" s="56">
        <f t="shared" si="143"/>
        <v>28413</v>
      </c>
      <c r="N114" s="56">
        <f t="shared" si="143"/>
        <v>28413</v>
      </c>
      <c r="O114" s="56">
        <f t="shared" si="143"/>
        <v>28413</v>
      </c>
      <c r="P114" s="56">
        <f t="shared" ref="P114" si="144">O114+(O114*P116)</f>
        <v>28413</v>
      </c>
      <c r="Q114" s="56">
        <f t="shared" ref="Q114" si="145">P114+(P114*Q116)</f>
        <v>28413</v>
      </c>
      <c r="R114" s="56">
        <f t="shared" ref="R114" si="146">Q114+(Q114*R116)</f>
        <v>28413</v>
      </c>
      <c r="S114" s="56">
        <f t="shared" ref="S114" si="147">R114+(R114*S116)</f>
        <v>28413</v>
      </c>
      <c r="T114" s="56">
        <f t="shared" ref="T114" si="148">S114+(S114*T116)</f>
        <v>28413</v>
      </c>
    </row>
    <row r="115" spans="2:20" outlineLevel="1">
      <c r="B115" t="s">
        <v>728</v>
      </c>
      <c r="E115" s="61">
        <f>'Assumptions Working'!I930</f>
        <v>154</v>
      </c>
      <c r="F115" s="61">
        <f>'Assumptions Working'!J930</f>
        <v>238</v>
      </c>
      <c r="G115" s="61">
        <f>'Assumptions Working'!K930</f>
        <v>235</v>
      </c>
      <c r="H115" s="61">
        <f>'Assumptions Working'!L930</f>
        <v>254</v>
      </c>
      <c r="I115" s="61">
        <f>'Assumptions Working'!M930</f>
        <v>263</v>
      </c>
      <c r="J115" s="61">
        <f>'Assumptions Working'!N930</f>
        <v>273</v>
      </c>
      <c r="K115" s="56">
        <f>(J115*K117)+J115</f>
        <v>326.41863022120464</v>
      </c>
      <c r="L115" s="56">
        <f t="shared" ref="L115:O115" si="149">(K115*L117)+K115</f>
        <v>384.52965962721913</v>
      </c>
      <c r="M115" s="56">
        <f t="shared" si="149"/>
        <v>447.7957554442342</v>
      </c>
      <c r="N115" s="56">
        <f t="shared" si="149"/>
        <v>516.72886082173534</v>
      </c>
      <c r="O115" s="56">
        <f t="shared" si="149"/>
        <v>591.89571142714544</v>
      </c>
      <c r="P115" s="56">
        <f t="shared" ref="P115" si="150">(O115*P117)+O115</f>
        <v>677.99683696535294</v>
      </c>
      <c r="Q115" s="56">
        <f t="shared" ref="Q115" si="151">(P115*Q117)+P115</f>
        <v>776.62281050604281</v>
      </c>
      <c r="R115" s="56">
        <f t="shared" ref="R115" si="152">(Q115*R117)+Q115</f>
        <v>889.59558056039532</v>
      </c>
      <c r="S115" s="56">
        <f t="shared" ref="S115" si="153">(R115*S117)+R115</f>
        <v>1019.0021285067949</v>
      </c>
      <c r="T115" s="56">
        <f t="shared" ref="T115" si="154">(S115*T117)+S115</f>
        <v>1167.2330220517356</v>
      </c>
    </row>
    <row r="116" spans="2:20" outlineLevel="1">
      <c r="B116" s="315" t="s">
        <v>593</v>
      </c>
      <c r="C116" s="315"/>
      <c r="D116" s="315"/>
      <c r="E116" s="315"/>
      <c r="F116" s="316">
        <f>F114/E114-1</f>
        <v>88.331189710610929</v>
      </c>
      <c r="G116" s="316">
        <f t="shared" ref="G116:J116" si="155">G114/F114-1</f>
        <v>0</v>
      </c>
      <c r="H116" s="316">
        <f t="shared" si="155"/>
        <v>2.2712547692750773E-2</v>
      </c>
      <c r="I116" s="316">
        <f t="shared" si="155"/>
        <v>0</v>
      </c>
      <c r="J116" s="316">
        <f t="shared" si="155"/>
        <v>0</v>
      </c>
      <c r="K116" s="317">
        <f>'Control Sheet'!K120</f>
        <v>0</v>
      </c>
      <c r="L116" s="317">
        <f>'Control Sheet'!L120</f>
        <v>0</v>
      </c>
      <c r="M116" s="317">
        <f>'Control Sheet'!M120</f>
        <v>0</v>
      </c>
      <c r="N116" s="317">
        <f>'Control Sheet'!N120</f>
        <v>0</v>
      </c>
      <c r="O116" s="317">
        <f>'Control Sheet'!O120</f>
        <v>0</v>
      </c>
      <c r="P116" s="317">
        <f>'Control Sheet'!P120</f>
        <v>0</v>
      </c>
      <c r="Q116" s="317">
        <f>'Control Sheet'!Q120</f>
        <v>0</v>
      </c>
      <c r="R116" s="317">
        <f>'Control Sheet'!R120</f>
        <v>0</v>
      </c>
      <c r="S116" s="317">
        <f>'Control Sheet'!S120</f>
        <v>0</v>
      </c>
      <c r="T116" s="317">
        <f>'Control Sheet'!T120</f>
        <v>0</v>
      </c>
    </row>
    <row r="117" spans="2:20" outlineLevel="1">
      <c r="B117" s="315" t="s">
        <v>632</v>
      </c>
      <c r="C117" s="315"/>
      <c r="D117" s="315"/>
      <c r="E117" s="315"/>
      <c r="F117" s="316">
        <f>F115/E115-1</f>
        <v>0.54545454545454541</v>
      </c>
      <c r="G117" s="316">
        <f t="shared" ref="G117:J117" si="156">G115/F115-1</f>
        <v>-1.2605042016806678E-2</v>
      </c>
      <c r="H117" s="316">
        <f t="shared" si="156"/>
        <v>8.085106382978724E-2</v>
      </c>
      <c r="I117" s="316">
        <f t="shared" si="156"/>
        <v>3.5433070866141669E-2</v>
      </c>
      <c r="J117" s="316">
        <f t="shared" si="156"/>
        <v>3.8022813688213031E-2</v>
      </c>
      <c r="K117" s="317">
        <f>'Control Sheet'!K126</f>
        <v>0.19567263817291081</v>
      </c>
      <c r="L117" s="317">
        <f>'Control Sheet'!L126</f>
        <v>0.17802608070082981</v>
      </c>
      <c r="M117" s="317">
        <f>'Control Sheet'!M126</f>
        <v>0.16452852005836993</v>
      </c>
      <c r="N117" s="317">
        <f>'Control Sheet'!N126</f>
        <v>0.15393871991733432</v>
      </c>
      <c r="O117" s="317">
        <f>'Control Sheet'!O126</f>
        <v>0.14546671630819108</v>
      </c>
      <c r="P117" s="317">
        <f>'Control Sheet'!P126</f>
        <v>0.14546671630819108</v>
      </c>
      <c r="Q117" s="317">
        <f>'Control Sheet'!Q126</f>
        <v>0.14546671630819108</v>
      </c>
      <c r="R117" s="317">
        <f>'Control Sheet'!R126</f>
        <v>0.14546671630819108</v>
      </c>
      <c r="S117" s="317">
        <f>'Control Sheet'!S126</f>
        <v>0.14546671630819108</v>
      </c>
      <c r="T117" s="317">
        <f>'Control Sheet'!T126</f>
        <v>0.14546671630819108</v>
      </c>
    </row>
    <row r="118" spans="2:20" outlineLevel="1">
      <c r="E118" s="61"/>
      <c r="F118" s="61"/>
      <c r="G118" s="61"/>
      <c r="H118" s="61"/>
      <c r="I118" s="61"/>
      <c r="J118" s="61"/>
      <c r="K118" s="56"/>
      <c r="L118" s="56"/>
      <c r="M118" s="56"/>
      <c r="N118" s="56"/>
      <c r="O118" s="56"/>
      <c r="P118" s="56"/>
      <c r="Q118" s="56"/>
      <c r="R118" s="56"/>
      <c r="S118" s="56"/>
      <c r="T118" s="56"/>
    </row>
    <row r="119" spans="2:20" ht="15.6" outlineLevel="1">
      <c r="B119" s="23" t="s">
        <v>605</v>
      </c>
      <c r="C119" s="24"/>
      <c r="D119" s="24"/>
      <c r="E119" s="24"/>
      <c r="F119" s="24"/>
      <c r="G119" s="24"/>
      <c r="H119" s="24"/>
      <c r="I119" s="24"/>
      <c r="J119" s="24"/>
      <c r="K119" s="24"/>
      <c r="L119" s="24"/>
      <c r="M119" s="24"/>
      <c r="N119" s="24"/>
      <c r="O119" s="24"/>
      <c r="P119" s="24"/>
      <c r="Q119" s="24"/>
      <c r="R119" s="24"/>
      <c r="S119" s="24"/>
      <c r="T119" s="24"/>
    </row>
    <row r="120" spans="2:20" ht="1.8" customHeight="1" outlineLevel="1">
      <c r="B120" s="25"/>
      <c r="C120" s="25"/>
      <c r="D120" s="25"/>
      <c r="E120" s="25"/>
      <c r="F120" s="25"/>
      <c r="G120" s="25"/>
      <c r="H120" s="25"/>
      <c r="I120" s="25"/>
      <c r="J120" s="25"/>
      <c r="K120" s="25"/>
      <c r="L120" s="25"/>
      <c r="M120" s="25"/>
      <c r="N120" s="25"/>
      <c r="O120" s="25"/>
      <c r="P120" s="25"/>
      <c r="Q120" s="25"/>
      <c r="R120" s="25"/>
      <c r="S120" s="25"/>
      <c r="T120" s="25"/>
    </row>
    <row r="121" spans="2:20" outlineLevel="1">
      <c r="J121" s="58"/>
      <c r="K121" s="56"/>
      <c r="L121" s="56"/>
      <c r="M121" s="56"/>
      <c r="N121" s="56"/>
      <c r="O121" s="56"/>
      <c r="P121" s="56"/>
      <c r="Q121" s="56"/>
      <c r="R121" s="56"/>
      <c r="S121" s="56"/>
      <c r="T121" s="56"/>
    </row>
    <row r="122" spans="2:20" outlineLevel="1">
      <c r="B122" t="s">
        <v>605</v>
      </c>
      <c r="E122" s="61">
        <f>SUM('Balance Sheet'!D45:D47)</f>
        <v>243</v>
      </c>
      <c r="F122" s="61">
        <f>SUM('Balance Sheet'!E45:E47)</f>
        <v>870</v>
      </c>
      <c r="G122" s="61">
        <f>SUM('Balance Sheet'!F45:F47)</f>
        <v>846</v>
      </c>
      <c r="H122" s="61">
        <f>SUM('Balance Sheet'!G45:G47)</f>
        <v>894</v>
      </c>
      <c r="I122" s="61">
        <f>SUM('Balance Sheet'!H45:H47)</f>
        <v>929</v>
      </c>
      <c r="J122" s="61">
        <f>SUM('Balance Sheet'!I45:I47)</f>
        <v>909</v>
      </c>
      <c r="K122" s="56">
        <f t="shared" ref="K122" si="157">J122+(J122*K123)</f>
        <v>922.63499999999999</v>
      </c>
      <c r="L122" s="56">
        <f>K122+(K122*L123)</f>
        <v>936.47452499999997</v>
      </c>
      <c r="M122" s="56">
        <f t="shared" ref="M122" si="158">L122+(L122*M123)</f>
        <v>950.521642875</v>
      </c>
      <c r="N122" s="56">
        <f t="shared" ref="N122" si="159">M122+(M122*N123)</f>
        <v>964.77946751812499</v>
      </c>
      <c r="O122" s="56">
        <f t="shared" ref="O122" si="160">N122+(N122*O123)</f>
        <v>979.25115953089687</v>
      </c>
      <c r="P122" s="56">
        <f t="shared" ref="P122" si="161">O122+(O122*P123)</f>
        <v>993.9399269238603</v>
      </c>
      <c r="Q122" s="56">
        <f t="shared" ref="Q122" si="162">P122+(P122*Q123)</f>
        <v>1008.8490258277182</v>
      </c>
      <c r="R122" s="56">
        <f t="shared" ref="R122" si="163">Q122+(Q122*R123)</f>
        <v>1023.9817612151339</v>
      </c>
      <c r="S122" s="56">
        <f t="shared" ref="S122" si="164">R122+(R122*S123)</f>
        <v>1039.3414876333609</v>
      </c>
      <c r="T122" s="56">
        <f t="shared" ref="T122" si="165">S122+(S122*T123)</f>
        <v>1054.9316099478613</v>
      </c>
    </row>
    <row r="123" spans="2:20" outlineLevel="1">
      <c r="B123" s="315" t="s">
        <v>608</v>
      </c>
      <c r="C123" s="315"/>
      <c r="D123" s="315"/>
      <c r="E123" s="318">
        <f>'Assumptions Working'!E1023</f>
        <v>6.1081366412789381E-3</v>
      </c>
      <c r="F123" s="318">
        <f>'Assumptions Working'!F1023</f>
        <v>1.849961724929829E-2</v>
      </c>
      <c r="G123" s="318">
        <f>'Assumptions Working'!G1023</f>
        <v>1.6130877473973231E-2</v>
      </c>
      <c r="H123" s="318">
        <f>'Assumptions Working'!H1023</f>
        <v>1.4757345658633212E-2</v>
      </c>
      <c r="I123" s="318">
        <f>'Assumptions Working'!I1023</f>
        <v>1.5009047434406101E-2</v>
      </c>
      <c r="J123" s="318">
        <f>'Assumptions Working'!J1023</f>
        <v>1.4400912533071403E-2</v>
      </c>
      <c r="K123" s="318">
        <f>'Control Sheet'!K132</f>
        <v>1.4999999999999999E-2</v>
      </c>
      <c r="L123" s="318">
        <f>'Control Sheet'!L132</f>
        <v>1.4999999999999999E-2</v>
      </c>
      <c r="M123" s="318">
        <f>'Control Sheet'!M132</f>
        <v>1.4999999999999999E-2</v>
      </c>
      <c r="N123" s="318">
        <f>'Control Sheet'!N132</f>
        <v>1.4999999999999999E-2</v>
      </c>
      <c r="O123" s="318">
        <f>'Control Sheet'!O132</f>
        <v>1.4999999999999999E-2</v>
      </c>
      <c r="P123" s="318">
        <f>'Control Sheet'!P132</f>
        <v>1.4999999999999999E-2</v>
      </c>
      <c r="Q123" s="318">
        <f>'Control Sheet'!Q132</f>
        <v>1.4999999999999999E-2</v>
      </c>
      <c r="R123" s="318">
        <f>'Control Sheet'!R132</f>
        <v>1.4999999999999999E-2</v>
      </c>
      <c r="S123" s="318">
        <f>'Control Sheet'!S132</f>
        <v>1.4999999999999999E-2</v>
      </c>
      <c r="T123" s="318">
        <f>'Control Sheet'!T132</f>
        <v>1.4999999999999999E-2</v>
      </c>
    </row>
    <row r="124" spans="2:20" outlineLevel="1"/>
    <row r="125" spans="2:20" ht="15.6" outlineLevel="1">
      <c r="B125" s="23" t="s">
        <v>604</v>
      </c>
      <c r="C125" s="24"/>
      <c r="D125" s="24"/>
      <c r="E125" s="24"/>
      <c r="F125" s="24"/>
      <c r="G125" s="24"/>
      <c r="H125" s="24"/>
      <c r="I125" s="24"/>
      <c r="J125" s="24"/>
      <c r="K125" s="24"/>
      <c r="L125" s="24"/>
      <c r="M125" s="24"/>
      <c r="N125" s="24"/>
      <c r="O125" s="24"/>
      <c r="P125" s="24"/>
      <c r="Q125" s="24"/>
      <c r="R125" s="24"/>
      <c r="S125" s="24"/>
      <c r="T125" s="24"/>
    </row>
    <row r="126" spans="2:20" ht="1.8" customHeight="1" outlineLevel="1">
      <c r="B126" s="25"/>
      <c r="C126" s="25"/>
      <c r="D126" s="25"/>
      <c r="E126" s="25"/>
      <c r="F126" s="25"/>
      <c r="G126" s="25"/>
      <c r="H126" s="25"/>
      <c r="I126" s="25"/>
      <c r="J126" s="25"/>
      <c r="K126" s="25"/>
      <c r="L126" s="25"/>
      <c r="M126" s="25"/>
      <c r="N126" s="25"/>
      <c r="O126" s="25"/>
      <c r="P126" s="25"/>
      <c r="Q126" s="25"/>
      <c r="R126" s="25"/>
      <c r="S126" s="25"/>
      <c r="T126" s="25"/>
    </row>
    <row r="127" spans="2:20" outlineLevel="1">
      <c r="J127" s="58"/>
      <c r="K127" s="56"/>
      <c r="L127" s="56"/>
      <c r="M127" s="56"/>
      <c r="N127" s="56"/>
      <c r="O127" s="56"/>
      <c r="P127" s="56"/>
      <c r="Q127" s="56"/>
      <c r="R127" s="56"/>
      <c r="S127" s="56"/>
      <c r="T127" s="56"/>
    </row>
    <row r="128" spans="2:20" outlineLevel="1">
      <c r="B128" t="s">
        <v>604</v>
      </c>
      <c r="E128" s="61">
        <f>'Balance Sheet'!D48</f>
        <v>284</v>
      </c>
      <c r="F128" s="61">
        <f>'Balance Sheet'!E48</f>
        <v>17</v>
      </c>
      <c r="G128" s="61">
        <f>'Balance Sheet'!F48</f>
        <v>11</v>
      </c>
      <c r="H128" s="61">
        <f>'Balance Sheet'!G48</f>
        <v>10</v>
      </c>
      <c r="I128" s="61">
        <f>'Balance Sheet'!H48</f>
        <v>10</v>
      </c>
      <c r="J128" s="61">
        <f>'Balance Sheet'!I48</f>
        <v>17</v>
      </c>
      <c r="K128" s="56">
        <f t="shared" ref="K128" si="166">J128+(J128*K129)</f>
        <v>17</v>
      </c>
      <c r="L128" s="56">
        <f>K128+(K128*L129)</f>
        <v>17</v>
      </c>
      <c r="M128" s="56">
        <f t="shared" ref="M128" si="167">L128+(L128*M129)</f>
        <v>17</v>
      </c>
      <c r="N128" s="56">
        <f t="shared" ref="N128" si="168">M128+(M128*N129)</f>
        <v>17</v>
      </c>
      <c r="O128" s="56">
        <f t="shared" ref="O128" si="169">N128+(N128*O129)</f>
        <v>17</v>
      </c>
      <c r="P128" s="56">
        <f t="shared" ref="P128" si="170">O128+(O128*P129)</f>
        <v>17</v>
      </c>
      <c r="Q128" s="56">
        <f t="shared" ref="Q128" si="171">P128+(P128*Q129)</f>
        <v>17</v>
      </c>
      <c r="R128" s="56">
        <f t="shared" ref="R128" si="172">Q128+(Q128*R129)</f>
        <v>17</v>
      </c>
      <c r="S128" s="56">
        <f t="shared" ref="S128" si="173">R128+(R128*S129)</f>
        <v>17</v>
      </c>
      <c r="T128" s="56">
        <f t="shared" ref="T128" si="174">S128+(S128*T129)</f>
        <v>17</v>
      </c>
    </row>
    <row r="129" spans="1:20" outlineLevel="1">
      <c r="B129" s="315" t="s">
        <v>593</v>
      </c>
      <c r="C129" s="315"/>
      <c r="D129" s="315"/>
      <c r="E129" s="315"/>
      <c r="F129" s="316">
        <f>F128/E128-1</f>
        <v>-0.9401408450704225</v>
      </c>
      <c r="G129" s="316">
        <f t="shared" ref="G129" si="175">G128/F128-1</f>
        <v>-0.3529411764705882</v>
      </c>
      <c r="H129" s="316">
        <f t="shared" ref="H129" si="176">H128/G128-1</f>
        <v>-9.0909090909090939E-2</v>
      </c>
      <c r="I129" s="316">
        <f t="shared" ref="I129" si="177">I128/H128-1</f>
        <v>0</v>
      </c>
      <c r="J129" s="316">
        <f t="shared" ref="J129" si="178">J128/I128-1</f>
        <v>0.7</v>
      </c>
      <c r="K129" s="317">
        <f>'Control Sheet'!K138</f>
        <v>0</v>
      </c>
      <c r="L129" s="317">
        <f>'Control Sheet'!L138</f>
        <v>0</v>
      </c>
      <c r="M129" s="317">
        <f>'Control Sheet'!M138</f>
        <v>0</v>
      </c>
      <c r="N129" s="317">
        <f>'Control Sheet'!N138</f>
        <v>0</v>
      </c>
      <c r="O129" s="317">
        <f>'Control Sheet'!O138</f>
        <v>0</v>
      </c>
      <c r="P129" s="317">
        <f>'Control Sheet'!P138</f>
        <v>0</v>
      </c>
      <c r="Q129" s="317">
        <f>'Control Sheet'!Q138</f>
        <v>0</v>
      </c>
      <c r="R129" s="317">
        <f>'Control Sheet'!R138</f>
        <v>0</v>
      </c>
      <c r="S129" s="317">
        <f>'Control Sheet'!S138</f>
        <v>0</v>
      </c>
      <c r="T129" s="317">
        <f>'Control Sheet'!T138</f>
        <v>0</v>
      </c>
    </row>
    <row r="130" spans="1:20" outlineLevel="1"/>
    <row r="131" spans="1:20" ht="15.6" outlineLevel="1">
      <c r="B131" s="23" t="s">
        <v>192</v>
      </c>
      <c r="C131" s="24"/>
      <c r="D131" s="24"/>
      <c r="E131" s="24"/>
      <c r="F131" s="24"/>
      <c r="G131" s="24"/>
      <c r="H131" s="24"/>
      <c r="I131" s="24"/>
      <c r="J131" s="24"/>
      <c r="K131" s="24"/>
      <c r="L131" s="24"/>
      <c r="M131" s="24"/>
      <c r="N131" s="24"/>
      <c r="O131" s="24"/>
      <c r="P131" s="24"/>
      <c r="Q131" s="24"/>
      <c r="R131" s="24"/>
      <c r="S131" s="24"/>
      <c r="T131" s="24"/>
    </row>
    <row r="132" spans="1:20" ht="1.8" customHeight="1" outlineLevel="1">
      <c r="B132" s="25"/>
      <c r="C132" s="25"/>
      <c r="D132" s="25"/>
      <c r="E132" s="25"/>
      <c r="F132" s="25"/>
      <c r="G132" s="25"/>
      <c r="H132" s="25"/>
      <c r="I132" s="25"/>
      <c r="J132" s="25"/>
      <c r="K132" s="25"/>
      <c r="L132" s="25"/>
      <c r="M132" s="25"/>
      <c r="N132" s="25"/>
      <c r="O132" s="25"/>
      <c r="P132" s="25"/>
      <c r="Q132" s="25"/>
      <c r="R132" s="25"/>
      <c r="S132" s="25"/>
      <c r="T132" s="25"/>
    </row>
    <row r="133" spans="1:20" outlineLevel="1">
      <c r="J133" s="58"/>
      <c r="K133" s="56"/>
      <c r="L133" s="56"/>
      <c r="M133" s="56"/>
      <c r="N133" s="56"/>
      <c r="O133" s="56"/>
      <c r="P133" s="56"/>
      <c r="Q133" s="56"/>
      <c r="R133" s="56"/>
      <c r="S133" s="56"/>
      <c r="T133" s="56"/>
    </row>
    <row r="134" spans="1:20" outlineLevel="1">
      <c r="B134" t="s">
        <v>192</v>
      </c>
      <c r="E134" s="61">
        <f>'Balance Sheet'!D49</f>
        <v>1083</v>
      </c>
      <c r="F134" s="61">
        <f>'Balance Sheet'!E49</f>
        <v>1246</v>
      </c>
      <c r="G134" s="61">
        <f>'Balance Sheet'!F49</f>
        <v>1158</v>
      </c>
      <c r="H134" s="61">
        <f>'Balance Sheet'!G49</f>
        <v>1164</v>
      </c>
      <c r="I134" s="61">
        <f>'Balance Sheet'!H49</f>
        <v>1175</v>
      </c>
      <c r="J134" s="61">
        <f>'Balance Sheet'!I49</f>
        <v>1199</v>
      </c>
      <c r="K134" s="56">
        <f t="shared" ref="K134" si="179">J134+(J134*K135)</f>
        <v>1199</v>
      </c>
      <c r="L134" s="56">
        <f>K134+(K134*L135)</f>
        <v>1199</v>
      </c>
      <c r="M134" s="56">
        <f t="shared" ref="M134" si="180">L134+(L134*M135)</f>
        <v>1199</v>
      </c>
      <c r="N134" s="56">
        <f t="shared" ref="N134" si="181">M134+(M134*N135)</f>
        <v>1199</v>
      </c>
      <c r="O134" s="56">
        <f t="shared" ref="O134" si="182">N134+(N134*O135)</f>
        <v>1199</v>
      </c>
      <c r="P134" s="56">
        <f t="shared" ref="P134" si="183">O134+(O134*P135)</f>
        <v>1199</v>
      </c>
      <c r="Q134" s="56">
        <f t="shared" ref="Q134" si="184">P134+(P134*Q135)</f>
        <v>1199</v>
      </c>
      <c r="R134" s="56">
        <f t="shared" ref="R134" si="185">Q134+(Q134*R135)</f>
        <v>1199</v>
      </c>
      <c r="S134" s="56">
        <f t="shared" ref="S134" si="186">R134+(R134*S135)</f>
        <v>1199</v>
      </c>
      <c r="T134" s="56">
        <f t="shared" ref="T134" si="187">S134+(S134*T135)</f>
        <v>1199</v>
      </c>
    </row>
    <row r="135" spans="1:20" outlineLevel="1">
      <c r="B135" s="315" t="s">
        <v>593</v>
      </c>
      <c r="C135" s="315"/>
      <c r="D135" s="315"/>
      <c r="E135" s="315"/>
      <c r="F135" s="316">
        <f>F134/E134-1</f>
        <v>0.15050784856879029</v>
      </c>
      <c r="G135" s="316">
        <f t="shared" ref="G135" si="188">G134/F134-1</f>
        <v>-7.0626003210272903E-2</v>
      </c>
      <c r="H135" s="316">
        <f t="shared" ref="H135" si="189">H134/G134-1</f>
        <v>5.1813471502590858E-3</v>
      </c>
      <c r="I135" s="316">
        <f t="shared" ref="I135" si="190">I134/H134-1</f>
        <v>9.4501718213058084E-3</v>
      </c>
      <c r="J135" s="316">
        <f t="shared" ref="J135" si="191">J134/I134-1</f>
        <v>2.0425531914893602E-2</v>
      </c>
      <c r="K135" s="317">
        <f>'Control Sheet'!K144</f>
        <v>0</v>
      </c>
      <c r="L135" s="317">
        <f>'Control Sheet'!L144</f>
        <v>0</v>
      </c>
      <c r="M135" s="317">
        <f>'Control Sheet'!M144</f>
        <v>0</v>
      </c>
      <c r="N135" s="317">
        <f>'Control Sheet'!N144</f>
        <v>0</v>
      </c>
      <c r="O135" s="317">
        <f>'Control Sheet'!O144</f>
        <v>0</v>
      </c>
      <c r="P135" s="317">
        <f>'Control Sheet'!P144</f>
        <v>0</v>
      </c>
      <c r="Q135" s="317">
        <f>'Control Sheet'!Q144</f>
        <v>0</v>
      </c>
      <c r="R135" s="317">
        <f>'Control Sheet'!R144</f>
        <v>0</v>
      </c>
      <c r="S135" s="317">
        <f>'Control Sheet'!S144</f>
        <v>0</v>
      </c>
      <c r="T135" s="317">
        <f>'Control Sheet'!T144</f>
        <v>0</v>
      </c>
    </row>
    <row r="136" spans="1:20" outlineLevel="1"/>
    <row r="137" spans="1:20" ht="15.6" outlineLevel="1">
      <c r="B137" s="23" t="s">
        <v>14</v>
      </c>
      <c r="C137" s="24"/>
      <c r="D137" s="24"/>
      <c r="E137" s="24"/>
      <c r="F137" s="24"/>
      <c r="G137" s="24"/>
      <c r="H137" s="24"/>
      <c r="I137" s="24"/>
      <c r="J137" s="24"/>
      <c r="K137" s="24"/>
      <c r="L137" s="24"/>
      <c r="M137" s="24"/>
      <c r="N137" s="24"/>
      <c r="O137" s="24"/>
      <c r="P137" s="24"/>
      <c r="Q137" s="24"/>
      <c r="R137" s="24"/>
      <c r="S137" s="24"/>
      <c r="T137" s="24"/>
    </row>
    <row r="138" spans="1:20" ht="1.8" customHeight="1" outlineLevel="1">
      <c r="B138" s="25"/>
      <c r="C138" s="25"/>
      <c r="D138" s="25"/>
      <c r="E138" s="25"/>
      <c r="F138" s="25"/>
      <c r="G138" s="25"/>
      <c r="H138" s="25"/>
      <c r="I138" s="25"/>
      <c r="J138" s="25"/>
      <c r="K138" s="25"/>
      <c r="L138" s="25"/>
      <c r="M138" s="25"/>
      <c r="N138" s="25"/>
      <c r="O138" s="25"/>
      <c r="P138" s="25"/>
      <c r="Q138" s="25"/>
      <c r="R138" s="25"/>
      <c r="S138" s="25"/>
      <c r="T138" s="25"/>
    </row>
    <row r="139" spans="1:20" outlineLevel="1">
      <c r="J139" s="58"/>
      <c r="K139" s="56"/>
      <c r="L139" s="56"/>
      <c r="M139" s="56"/>
      <c r="N139" s="56"/>
      <c r="O139" s="56"/>
      <c r="P139" s="56"/>
      <c r="Q139" s="56"/>
      <c r="R139" s="56"/>
      <c r="S139" s="56"/>
      <c r="T139" s="56"/>
    </row>
    <row r="140" spans="1:20" outlineLevel="1">
      <c r="B140" t="s">
        <v>14</v>
      </c>
      <c r="E140" s="61">
        <f>'Balance Sheet'!D50</f>
        <v>146</v>
      </c>
      <c r="F140" s="61">
        <f>'Balance Sheet'!E50</f>
        <v>219</v>
      </c>
      <c r="G140" s="61">
        <f>'Balance Sheet'!F50</f>
        <v>194</v>
      </c>
      <c r="H140" s="61">
        <f>'Balance Sheet'!G50</f>
        <v>211</v>
      </c>
      <c r="I140" s="61">
        <f>'Balance Sheet'!H50</f>
        <v>292</v>
      </c>
      <c r="J140" s="61">
        <f>'Balance Sheet'!I50</f>
        <v>360</v>
      </c>
      <c r="K140" s="56">
        <f>J140+(J140*K141)</f>
        <v>361.44</v>
      </c>
      <c r="L140" s="56">
        <f>K140+(K140*L141)</f>
        <v>362.88576</v>
      </c>
      <c r="M140" s="56">
        <f t="shared" ref="M140" si="192">L140+(L140*M141)</f>
        <v>364.33730303999999</v>
      </c>
      <c r="N140" s="56">
        <f t="shared" ref="N140" si="193">M140+(M140*N141)</f>
        <v>365.79465225216001</v>
      </c>
      <c r="O140" s="56">
        <f t="shared" ref="O140" si="194">N140+(N140*O141)</f>
        <v>367.25783086116866</v>
      </c>
      <c r="P140" s="56">
        <f t="shared" ref="P140" si="195">O140+(O140*P141)</f>
        <v>368.72686218461331</v>
      </c>
      <c r="Q140" s="56">
        <f t="shared" ref="Q140" si="196">P140+(P140*Q141)</f>
        <v>370.20176963335177</v>
      </c>
      <c r="R140" s="56">
        <f t="shared" ref="R140" si="197">Q140+(Q140*R141)</f>
        <v>371.68257671188519</v>
      </c>
      <c r="S140" s="56">
        <f t="shared" ref="S140" si="198">R140+(R140*S141)</f>
        <v>373.16930701873275</v>
      </c>
      <c r="T140" s="56">
        <f t="shared" ref="T140" si="199">S140+(S140*T141)</f>
        <v>374.66198424680766</v>
      </c>
    </row>
    <row r="141" spans="1:20" outlineLevel="1">
      <c r="B141" s="315" t="s">
        <v>601</v>
      </c>
      <c r="C141" s="315"/>
      <c r="D141" s="315"/>
      <c r="E141" s="318">
        <f>'Assumptions Working'!E1022</f>
        <v>3.6699092577231482E-3</v>
      </c>
      <c r="F141" s="318">
        <f>'Assumptions Working'!F1022</f>
        <v>4.6568002041337073E-3</v>
      </c>
      <c r="G141" s="318">
        <f>'Assumptions Working'!G1022</f>
        <v>3.6990428250009534E-3</v>
      </c>
      <c r="H141" s="318">
        <f>'Assumptions Working'!H1022</f>
        <v>3.4829976890062729E-3</v>
      </c>
      <c r="I141" s="318">
        <f>'Assumptions Working'!I1022</f>
        <v>4.7175907974667183E-3</v>
      </c>
      <c r="J141" s="318">
        <f>'Assumptions Working'!J1022</f>
        <v>5.7033316962659024E-3</v>
      </c>
      <c r="K141" s="318">
        <v>4.0000000000000001E-3</v>
      </c>
      <c r="L141" s="318">
        <f>K141</f>
        <v>4.0000000000000001E-3</v>
      </c>
      <c r="M141" s="318">
        <f t="shared" ref="M141:O141" si="200">L141</f>
        <v>4.0000000000000001E-3</v>
      </c>
      <c r="N141" s="318">
        <f t="shared" si="200"/>
        <v>4.0000000000000001E-3</v>
      </c>
      <c r="O141" s="318">
        <f t="shared" si="200"/>
        <v>4.0000000000000001E-3</v>
      </c>
      <c r="P141" s="318">
        <f t="shared" ref="P141" si="201">O141</f>
        <v>4.0000000000000001E-3</v>
      </c>
      <c r="Q141" s="318">
        <f t="shared" ref="Q141" si="202">P141</f>
        <v>4.0000000000000001E-3</v>
      </c>
      <c r="R141" s="318">
        <f t="shared" ref="R141" si="203">Q141</f>
        <v>4.0000000000000001E-3</v>
      </c>
      <c r="S141" s="318">
        <f t="shared" ref="S141" si="204">R141</f>
        <v>4.0000000000000001E-3</v>
      </c>
      <c r="T141" s="318">
        <f t="shared" ref="T141" si="205">S141</f>
        <v>4.0000000000000001E-3</v>
      </c>
    </row>
    <row r="142" spans="1:20" outlineLevel="1"/>
    <row r="144" spans="1:20" ht="18">
      <c r="A144" t="s">
        <v>27</v>
      </c>
      <c r="B144" s="22" t="s">
        <v>637</v>
      </c>
      <c r="C144" s="21"/>
      <c r="D144" s="21"/>
      <c r="E144" s="21"/>
      <c r="F144" s="21"/>
      <c r="G144" s="21"/>
      <c r="H144" s="21"/>
      <c r="I144" s="21"/>
      <c r="J144" s="21"/>
      <c r="K144" s="21"/>
      <c r="L144" s="21"/>
      <c r="M144" s="21"/>
      <c r="N144" s="21"/>
      <c r="O144" s="21"/>
      <c r="P144" s="21"/>
      <c r="Q144" s="21"/>
      <c r="R144" s="21"/>
      <c r="S144" s="21"/>
      <c r="T144" s="21"/>
    </row>
    <row r="145" spans="2:20" outlineLevel="1"/>
    <row r="146" spans="2:20" outlineLevel="1">
      <c r="B146" s="99" t="s">
        <v>638</v>
      </c>
      <c r="E146" s="327">
        <f>' Income Statement'!D41</f>
        <v>-1002</v>
      </c>
      <c r="F146" s="327">
        <f>' Income Statement'!E41</f>
        <v>-1074</v>
      </c>
      <c r="G146" s="327">
        <f>' Income Statement'!F41</f>
        <v>-1091</v>
      </c>
      <c r="H146" s="327">
        <f>' Income Statement'!G41</f>
        <v>-1137</v>
      </c>
      <c r="I146" s="327">
        <f>' Income Statement'!H41</f>
        <v>-1216</v>
      </c>
      <c r="J146" s="327">
        <f>' Income Statement'!I41</f>
        <v>-1355</v>
      </c>
      <c r="K146" s="327">
        <f>K111+K85+K75</f>
        <v>-1530.8597253333724</v>
      </c>
      <c r="L146" s="327">
        <f t="shared" ref="L146:O146" si="206">L111+L85+L75</f>
        <v>-1704.3912115585131</v>
      </c>
      <c r="M146" s="327">
        <f t="shared" si="206"/>
        <v>-1893.4359820496011</v>
      </c>
      <c r="N146" s="327">
        <f t="shared" si="206"/>
        <v>-2099.5431930776549</v>
      </c>
      <c r="O146" s="327">
        <f t="shared" si="206"/>
        <v>-2324.4284281738655</v>
      </c>
      <c r="P146" s="327">
        <f t="shared" ref="P146:T146" si="207">P111+P85+P75</f>
        <v>-2570.2639595177616</v>
      </c>
      <c r="Q146" s="327">
        <f t="shared" si="207"/>
        <v>-2838.3242828338425</v>
      </c>
      <c r="R146" s="327">
        <f t="shared" si="207"/>
        <v>-3128.4551149139679</v>
      </c>
      <c r="S146" s="327">
        <f t="shared" si="207"/>
        <v>-3441.0550283374305</v>
      </c>
      <c r="T146" s="327">
        <f t="shared" si="207"/>
        <v>-3776.3995588114567</v>
      </c>
    </row>
    <row r="147" spans="2:20" outlineLevel="1">
      <c r="B147" s="39" t="s">
        <v>639</v>
      </c>
      <c r="C147" s="39"/>
      <c r="D147" s="39"/>
      <c r="E147" s="328">
        <f>E146</f>
        <v>-1002</v>
      </c>
      <c r="F147" s="328">
        <f t="shared" ref="F147:O147" si="208">F146</f>
        <v>-1074</v>
      </c>
      <c r="G147" s="328">
        <f t="shared" si="208"/>
        <v>-1091</v>
      </c>
      <c r="H147" s="328">
        <f t="shared" si="208"/>
        <v>-1137</v>
      </c>
      <c r="I147" s="328">
        <f t="shared" si="208"/>
        <v>-1216</v>
      </c>
      <c r="J147" s="328">
        <f t="shared" si="208"/>
        <v>-1355</v>
      </c>
      <c r="K147" s="328">
        <f t="shared" si="208"/>
        <v>-1530.8597253333724</v>
      </c>
      <c r="L147" s="328">
        <f t="shared" si="208"/>
        <v>-1704.3912115585131</v>
      </c>
      <c r="M147" s="328">
        <f t="shared" si="208"/>
        <v>-1893.4359820496011</v>
      </c>
      <c r="N147" s="328">
        <f t="shared" si="208"/>
        <v>-2099.5431930776549</v>
      </c>
      <c r="O147" s="328">
        <f t="shared" si="208"/>
        <v>-2324.4284281738655</v>
      </c>
      <c r="P147" s="328">
        <f t="shared" ref="P147:T147" si="209">P146</f>
        <v>-2570.2639595177616</v>
      </c>
      <c r="Q147" s="328">
        <f t="shared" si="209"/>
        <v>-2838.3242828338425</v>
      </c>
      <c r="R147" s="328">
        <f t="shared" si="209"/>
        <v>-3128.4551149139679</v>
      </c>
      <c r="S147" s="328">
        <f t="shared" si="209"/>
        <v>-3441.0550283374305</v>
      </c>
      <c r="T147" s="328">
        <f t="shared" si="209"/>
        <v>-3776.3995588114567</v>
      </c>
    </row>
    <row r="148" spans="2:20" outlineLevel="1">
      <c r="B148" s="20"/>
      <c r="C148" s="20"/>
      <c r="D148" s="20"/>
      <c r="E148" s="20"/>
      <c r="F148" s="329"/>
      <c r="G148" s="329"/>
      <c r="H148" s="329"/>
      <c r="I148" s="329"/>
      <c r="J148" s="329"/>
      <c r="K148" s="326"/>
      <c r="L148" s="326"/>
      <c r="M148" s="326"/>
      <c r="N148" s="326"/>
      <c r="O148" s="326"/>
      <c r="P148" s="326"/>
      <c r="Q148" s="326"/>
      <c r="R148" s="326"/>
      <c r="S148" s="326"/>
      <c r="T148" s="326"/>
    </row>
    <row r="149" spans="2:20" outlineLevel="1">
      <c r="B149" s="20" t="s">
        <v>640</v>
      </c>
      <c r="C149" s="20"/>
      <c r="D149" s="20"/>
      <c r="E149" s="388">
        <f>-E146/'3Statement Model'!D13</f>
        <v>2.5186637508483524E-2</v>
      </c>
      <c r="F149" s="388">
        <f>-F146/'3Statement Model'!E13</f>
        <v>2.2837458535340648E-2</v>
      </c>
      <c r="G149" s="388">
        <f>-G146/'3Statement Model'!F13</f>
        <v>2.0802349082866187E-2</v>
      </c>
      <c r="H149" s="388">
        <f>-H146/'3Statement Model'!G13</f>
        <v>1.8765472850305331E-2</v>
      </c>
      <c r="I149" s="388">
        <f>-I146/'3Statement Model'!H13</f>
        <v>1.9664920111262047E-2</v>
      </c>
      <c r="J149" s="388">
        <f>-J146/'3Statement Model'!I13</f>
        <v>2.1466706801223048E-2</v>
      </c>
      <c r="K149" s="388">
        <f>-K146/'3Statement Model'!J13</f>
        <v>2.2312298268479469E-2</v>
      </c>
      <c r="L149" s="388">
        <f>-L146/'3Statement Model'!K13</f>
        <v>2.2835597219791535E-2</v>
      </c>
      <c r="M149" s="388">
        <f>-M146/'3Statement Model'!L13</f>
        <v>2.3301358843116293E-2</v>
      </c>
      <c r="N149" s="388">
        <f>-N146/'3Statement Model'!M13</f>
        <v>2.3713662084370122E-2</v>
      </c>
      <c r="O149" s="388">
        <f>-O146/'3Statement Model'!N13</f>
        <v>2.4076396170017906E-2</v>
      </c>
      <c r="P149" s="388">
        <f>-P146/'3Statement Model'!O13</f>
        <v>2.4395840677484817E-2</v>
      </c>
      <c r="Q149" s="388">
        <f>-Q146/'3Statement Model'!P13</f>
        <v>2.4714226529748098E-2</v>
      </c>
      <c r="R149" s="388">
        <f>-R146/'3Statement Model'!Q13</f>
        <v>2.5108628602687467E-2</v>
      </c>
      <c r="S149" s="388">
        <f>-S146/'3Statement Model'!R13</f>
        <v>2.5576755770619936E-2</v>
      </c>
      <c r="T149" s="388">
        <f>-T146/'3Statement Model'!S13</f>
        <v>2.6116026256590024E-2</v>
      </c>
    </row>
    <row r="150" spans="2:20" outlineLevel="1"/>
    <row r="151" spans="2:20" outlineLevel="1">
      <c r="B151" s="38" t="s">
        <v>641</v>
      </c>
    </row>
    <row r="152" spans="2:20" outlineLevel="1"/>
    <row r="153" spans="2:20" outlineLevel="1">
      <c r="B153" s="66">
        <f>$J$9</f>
        <v>2025</v>
      </c>
      <c r="J153" s="56">
        <f>J146*-1</f>
        <v>1355</v>
      </c>
      <c r="K153" s="56">
        <f>J153</f>
        <v>1355</v>
      </c>
      <c r="L153" s="56">
        <f t="shared" ref="L153:O153" si="210">K153</f>
        <v>1355</v>
      </c>
      <c r="M153" s="56">
        <f t="shared" si="210"/>
        <v>1355</v>
      </c>
      <c r="N153" s="56">
        <f t="shared" si="210"/>
        <v>1355</v>
      </c>
      <c r="O153" s="56">
        <f t="shared" si="210"/>
        <v>1355</v>
      </c>
      <c r="P153" s="56">
        <f t="shared" ref="P153:P157" si="211">O153</f>
        <v>1355</v>
      </c>
      <c r="Q153" s="56">
        <f t="shared" ref="Q153:Q157" si="212">P153</f>
        <v>1355</v>
      </c>
      <c r="R153" s="56">
        <f t="shared" ref="R153:R157" si="213">Q153</f>
        <v>1355</v>
      </c>
      <c r="S153" s="56">
        <f t="shared" ref="S153:S157" si="214">R153</f>
        <v>1355</v>
      </c>
      <c r="T153" s="56">
        <f t="shared" ref="T153:T157" si="215">S153</f>
        <v>1355</v>
      </c>
    </row>
    <row r="154" spans="2:20" outlineLevel="1">
      <c r="B154" s="66">
        <f>$K$9</f>
        <v>2026</v>
      </c>
      <c r="J154" s="65"/>
      <c r="K154" s="56">
        <f>(K74/$D$75)+(K110/$D$111)</f>
        <v>97.666736133372254</v>
      </c>
      <c r="L154" s="56">
        <f>K154</f>
        <v>97.666736133372254</v>
      </c>
      <c r="M154" s="56">
        <f t="shared" ref="M154:O154" si="216">L154</f>
        <v>97.666736133372254</v>
      </c>
      <c r="N154" s="56">
        <f t="shared" si="216"/>
        <v>97.666736133372254</v>
      </c>
      <c r="O154" s="56">
        <f t="shared" si="216"/>
        <v>97.666736133372254</v>
      </c>
      <c r="P154" s="56">
        <f t="shared" si="211"/>
        <v>97.666736133372254</v>
      </c>
      <c r="Q154" s="56">
        <f t="shared" si="212"/>
        <v>97.666736133372254</v>
      </c>
      <c r="R154" s="56">
        <f t="shared" si="213"/>
        <v>97.666736133372254</v>
      </c>
      <c r="S154" s="56">
        <f t="shared" si="214"/>
        <v>97.666736133372254</v>
      </c>
      <c r="T154" s="56">
        <f t="shared" si="215"/>
        <v>97.666736133372254</v>
      </c>
    </row>
    <row r="155" spans="2:20" outlineLevel="1">
      <c r="B155" s="66">
        <f>$L$9</f>
        <v>2027</v>
      </c>
      <c r="J155" s="65"/>
      <c r="K155" s="65"/>
      <c r="L155" s="56">
        <f>(L74/$D$75)+(L110/$D$111)</f>
        <v>106.2459773291405</v>
      </c>
      <c r="M155" s="56">
        <f>L155</f>
        <v>106.2459773291405</v>
      </c>
      <c r="N155" s="56">
        <f t="shared" ref="N155:O155" si="217">M155</f>
        <v>106.2459773291405</v>
      </c>
      <c r="O155" s="56">
        <f t="shared" si="217"/>
        <v>106.2459773291405</v>
      </c>
      <c r="P155" s="56">
        <f t="shared" si="211"/>
        <v>106.2459773291405</v>
      </c>
      <c r="Q155" s="56">
        <f t="shared" si="212"/>
        <v>106.2459773291405</v>
      </c>
      <c r="R155" s="56">
        <f t="shared" si="213"/>
        <v>106.2459773291405</v>
      </c>
      <c r="S155" s="56">
        <f t="shared" si="214"/>
        <v>106.2459773291405</v>
      </c>
      <c r="T155" s="56">
        <f t="shared" si="215"/>
        <v>106.2459773291405</v>
      </c>
    </row>
    <row r="156" spans="2:20" outlineLevel="1">
      <c r="B156" s="66">
        <f>$M$9</f>
        <v>2028</v>
      </c>
      <c r="J156" s="65"/>
      <c r="K156" s="65"/>
      <c r="L156" s="65"/>
      <c r="M156" s="56">
        <f>(M74/$D$75)+(M110/$D$111)</f>
        <v>115.67112561220816</v>
      </c>
      <c r="N156" s="56">
        <f>M156</f>
        <v>115.67112561220816</v>
      </c>
      <c r="O156" s="56">
        <f>N156</f>
        <v>115.67112561220816</v>
      </c>
      <c r="P156" s="56">
        <f t="shared" si="211"/>
        <v>115.67112561220816</v>
      </c>
      <c r="Q156" s="56">
        <f t="shared" si="212"/>
        <v>115.67112561220816</v>
      </c>
      <c r="R156" s="56">
        <f t="shared" si="213"/>
        <v>115.67112561220816</v>
      </c>
      <c r="S156" s="56">
        <f t="shared" si="214"/>
        <v>115.67112561220816</v>
      </c>
      <c r="T156" s="56">
        <f t="shared" si="215"/>
        <v>115.67112561220816</v>
      </c>
    </row>
    <row r="157" spans="2:20" outlineLevel="1">
      <c r="B157" s="66">
        <f>$N$9</f>
        <v>2029</v>
      </c>
      <c r="J157" s="65"/>
      <c r="K157" s="65"/>
      <c r="L157" s="65"/>
      <c r="M157" s="65"/>
      <c r="N157" s="56">
        <f>(N74/$D$75)+(N110/$D$111)</f>
        <v>126.03227349483535</v>
      </c>
      <c r="O157" s="56">
        <f>N157</f>
        <v>126.03227349483535</v>
      </c>
      <c r="P157" s="56">
        <f t="shared" si="211"/>
        <v>126.03227349483535</v>
      </c>
      <c r="Q157" s="56">
        <f t="shared" si="212"/>
        <v>126.03227349483535</v>
      </c>
      <c r="R157" s="56">
        <f t="shared" si="213"/>
        <v>126.03227349483535</v>
      </c>
      <c r="S157" s="56">
        <f t="shared" si="214"/>
        <v>126.03227349483535</v>
      </c>
      <c r="T157" s="56">
        <f t="shared" si="215"/>
        <v>126.03227349483535</v>
      </c>
    </row>
    <row r="158" spans="2:20" outlineLevel="1">
      <c r="B158" s="66">
        <f>$O$9</f>
        <v>2030</v>
      </c>
      <c r="J158" s="65"/>
      <c r="K158" s="65"/>
      <c r="L158" s="65"/>
      <c r="M158" s="65"/>
      <c r="N158" s="65"/>
      <c r="O158" s="56">
        <f>(O74/$D$75)+(O110/$D$111)</f>
        <v>137.42959962947626</v>
      </c>
      <c r="P158" s="56">
        <f t="shared" ref="P158:T158" si="218">(P74/$D$75)+(P110/$D$111)</f>
        <v>150.2460574473856</v>
      </c>
      <c r="Q158" s="56">
        <f t="shared" si="218"/>
        <v>164.09621658853206</v>
      </c>
      <c r="R158" s="56">
        <f t="shared" si="218"/>
        <v>178.42709560645037</v>
      </c>
      <c r="S158" s="56">
        <f t="shared" si="218"/>
        <v>193.15840691058344</v>
      </c>
      <c r="T158" s="56">
        <f t="shared" si="218"/>
        <v>208.21494507581718</v>
      </c>
    </row>
    <row r="159" spans="2:20" outlineLevel="1">
      <c r="B159" s="67" t="s">
        <v>50</v>
      </c>
      <c r="C159" s="39"/>
      <c r="D159" s="39"/>
      <c r="E159" s="39"/>
      <c r="F159" s="39"/>
      <c r="G159" s="39"/>
      <c r="H159" s="39"/>
      <c r="I159" s="39"/>
      <c r="J159" s="60">
        <f>SUM(J153:J158)</f>
        <v>1355</v>
      </c>
      <c r="K159" s="60">
        <f t="shared" ref="K159:O159" si="219">SUM(K153:K158)</f>
        <v>1452.6667361333723</v>
      </c>
      <c r="L159" s="60">
        <f t="shared" si="219"/>
        <v>1558.9127134625128</v>
      </c>
      <c r="M159" s="60">
        <f t="shared" si="219"/>
        <v>1674.583839074721</v>
      </c>
      <c r="N159" s="60">
        <f t="shared" si="219"/>
        <v>1800.6161125695564</v>
      </c>
      <c r="O159" s="60">
        <f t="shared" si="219"/>
        <v>1938.0457121990328</v>
      </c>
      <c r="P159" s="60">
        <f t="shared" ref="P159:T159" si="220">SUM(P153:P158)</f>
        <v>1950.8621700169419</v>
      </c>
      <c r="Q159" s="60">
        <f t="shared" si="220"/>
        <v>1964.7123291580886</v>
      </c>
      <c r="R159" s="60">
        <f t="shared" si="220"/>
        <v>1979.0432081760068</v>
      </c>
      <c r="S159" s="60">
        <f t="shared" si="220"/>
        <v>1993.7745194801398</v>
      </c>
      <c r="T159" s="60">
        <f t="shared" si="220"/>
        <v>2008.8310576453737</v>
      </c>
    </row>
    <row r="161" spans="1:20" ht="18">
      <c r="A161" t="s">
        <v>27</v>
      </c>
      <c r="B161" s="22" t="s">
        <v>51</v>
      </c>
      <c r="C161" s="21"/>
      <c r="D161" s="21"/>
      <c r="E161" s="21"/>
      <c r="F161" s="21"/>
      <c r="G161" s="21"/>
      <c r="H161" s="21"/>
      <c r="I161" s="21"/>
      <c r="J161" s="21"/>
      <c r="K161" s="21"/>
      <c r="L161" s="21"/>
      <c r="M161" s="21"/>
      <c r="N161" s="21"/>
      <c r="O161" s="21"/>
      <c r="P161" s="21"/>
      <c r="Q161" s="21"/>
      <c r="R161" s="21"/>
      <c r="S161" s="21"/>
      <c r="T161" s="21"/>
    </row>
    <row r="162" spans="1:20" outlineLevel="1"/>
    <row r="163" spans="1:20" outlineLevel="1">
      <c r="B163" t="s">
        <v>52</v>
      </c>
      <c r="J163" s="61"/>
      <c r="K163" s="61">
        <f>'3Statement Model'!J13</f>
        <v>68610.580000000016</v>
      </c>
      <c r="L163" s="61">
        <f>'3Statement Model'!K13</f>
        <v>74637.470400000006</v>
      </c>
      <c r="M163" s="61">
        <f>'3Statement Model'!L13</f>
        <v>81258.607912000007</v>
      </c>
      <c r="N163" s="61">
        <f>'3Statement Model'!M13</f>
        <v>88537.282247160038</v>
      </c>
      <c r="O163" s="61">
        <f>'3Statement Model'!N13</f>
        <v>96543.868598924819</v>
      </c>
      <c r="P163" s="61">
        <f>'3Statement Model'!O13</f>
        <v>105356.64638480304</v>
      </c>
      <c r="Q163" s="61">
        <f>'3Statement Model'!P13</f>
        <v>114845.76623983758</v>
      </c>
      <c r="R163" s="61">
        <f>'3Statement Model'!Q13</f>
        <v>124596.8134866242</v>
      </c>
      <c r="S163" s="61">
        <f>'3Statement Model'!R13</f>
        <v>134538.36988544796</v>
      </c>
      <c r="T163" s="61">
        <f>'3Statement Model'!S13</f>
        <v>144600.84860186314</v>
      </c>
    </row>
    <row r="164" spans="1:20" outlineLevel="1">
      <c r="B164" s="63" t="s">
        <v>53</v>
      </c>
      <c r="J164" s="327"/>
      <c r="K164" s="327">
        <f>'3Statement Model'!J14</f>
        <v>-33619.184200000011</v>
      </c>
      <c r="L164" s="327">
        <f>'3Statement Model'!K14</f>
        <v>-36404.426187600002</v>
      </c>
      <c r="M164" s="327">
        <f>'3Statement Model'!L14</f>
        <v>-39451.054141276007</v>
      </c>
      <c r="N164" s="327">
        <f>'3Statement Model'!M14</f>
        <v>-42785.641645940093</v>
      </c>
      <c r="O164" s="327">
        <f>'3Statement Model'!N14</f>
        <v>-46437.600796082836</v>
      </c>
      <c r="P164" s="327">
        <f>'3Statement Model'!O14</f>
        <v>-50676.546911090263</v>
      </c>
      <c r="Q164" s="327">
        <f>'3Statement Model'!P14</f>
        <v>-55240.813561361872</v>
      </c>
      <c r="R164" s="327">
        <f>'3Statement Model'!Q14</f>
        <v>-59931.067287066238</v>
      </c>
      <c r="S164" s="327">
        <f>'3Statement Model'!R14</f>
        <v>-64712.955914900464</v>
      </c>
      <c r="T164" s="327">
        <f>'3Statement Model'!S14</f>
        <v>-69553.008177496173</v>
      </c>
    </row>
    <row r="165" spans="1:20" outlineLevel="1">
      <c r="B165" s="63" t="s">
        <v>54</v>
      </c>
      <c r="J165" s="327"/>
      <c r="K165" s="327">
        <f>'3Statement Model'!J20</f>
        <v>-19210.962400000004</v>
      </c>
      <c r="L165" s="327">
        <f>'3Statement Model'!K20</f>
        <v>-20898.491712000003</v>
      </c>
      <c r="M165" s="327">
        <f>'3Statement Model'!L20</f>
        <v>-22752.410215360003</v>
      </c>
      <c r="N165" s="327">
        <f>'3Statement Model'!M20</f>
        <v>-24790.439029204812</v>
      </c>
      <c r="O165" s="327">
        <f>'3Statement Model'!N20</f>
        <v>-27032.283207698951</v>
      </c>
      <c r="P165" s="327">
        <f>'3Statement Model'!O20</f>
        <v>-29499.860987744854</v>
      </c>
      <c r="Q165" s="327">
        <f>'3Statement Model'!P20</f>
        <v>-32156.814547154525</v>
      </c>
      <c r="R165" s="327">
        <f>'3Statement Model'!Q20</f>
        <v>-34887.107776254779</v>
      </c>
      <c r="S165" s="327">
        <f>'3Statement Model'!R20</f>
        <v>-37670.743567925427</v>
      </c>
      <c r="T165" s="327">
        <f>'3Statement Model'!S20</f>
        <v>-40488.237608521682</v>
      </c>
    </row>
    <row r="166" spans="1:20" outlineLevel="1">
      <c r="B166" s="63" t="s">
        <v>55</v>
      </c>
      <c r="J166" s="327"/>
      <c r="K166" s="327">
        <f>'3Statement Model'!J27</f>
        <v>-1530.8597253333724</v>
      </c>
      <c r="L166" s="327">
        <f>'3Statement Model'!K27</f>
        <v>-1704.3912115585131</v>
      </c>
      <c r="M166" s="327">
        <f>'3Statement Model'!L27</f>
        <v>-1893.4359820496011</v>
      </c>
      <c r="N166" s="327">
        <f>'3Statement Model'!M27</f>
        <v>-2099.5431930776549</v>
      </c>
      <c r="O166" s="327">
        <f>'3Statement Model'!N27</f>
        <v>-2324.4284281738655</v>
      </c>
      <c r="P166" s="327">
        <f>'3Statement Model'!O27</f>
        <v>-2570.2639595177616</v>
      </c>
      <c r="Q166" s="327">
        <f>'3Statement Model'!P27</f>
        <v>-2838.3242828338425</v>
      </c>
      <c r="R166" s="327">
        <f>'3Statement Model'!Q27</f>
        <v>-3128.4551149139679</v>
      </c>
      <c r="S166" s="327">
        <f>'3Statement Model'!R27</f>
        <v>-3441.0550283374305</v>
      </c>
      <c r="T166" s="327">
        <f>'3Statement Model'!S27</f>
        <v>-3776.3995588114567</v>
      </c>
    </row>
    <row r="167" spans="1:20" outlineLevel="1">
      <c r="B167" s="63" t="s">
        <v>231</v>
      </c>
      <c r="J167" s="327"/>
      <c r="K167" s="327">
        <f>'3Statement Model'!J32</f>
        <v>-266.84209150348255</v>
      </c>
      <c r="L167" s="327">
        <f>'3Statement Model'!K32</f>
        <v>-290.28203385054121</v>
      </c>
      <c r="M167" s="327">
        <f>'3Statement Model'!L32</f>
        <v>-316.03313786152967</v>
      </c>
      <c r="N167" s="327">
        <f>'3Statement Model'!M32</f>
        <v>-344.34155156342263</v>
      </c>
      <c r="O167" s="327">
        <f>'3Statement Model'!N32</f>
        <v>-375.48098002923871</v>
      </c>
      <c r="P167" s="327">
        <f>'3Statement Model'!O32</f>
        <v>-409.75586965033176</v>
      </c>
      <c r="Q167" s="327">
        <f>'3Statement Model'!P32</f>
        <v>-446.66120682492846</v>
      </c>
      <c r="R167" s="327">
        <f>'3Statement Model'!Q32</f>
        <v>-484.58523897393252</v>
      </c>
      <c r="S167" s="327">
        <f>'3Statement Model'!R32</f>
        <v>-523.25020438104548</v>
      </c>
      <c r="T167" s="327">
        <f>'3Statement Model'!S32</f>
        <v>-562.38546408002355</v>
      </c>
    </row>
    <row r="168" spans="1:20" outlineLevel="1">
      <c r="B168" s="63" t="s">
        <v>233</v>
      </c>
      <c r="J168" s="327"/>
      <c r="K168" s="327">
        <f>'3Statement Model'!J33</f>
        <v>1017</v>
      </c>
      <c r="L168" s="327">
        <f>'3Statement Model'!K33</f>
        <v>1017</v>
      </c>
      <c r="M168" s="327">
        <f>'3Statement Model'!L33</f>
        <v>1017</v>
      </c>
      <c r="N168" s="327">
        <f>'3Statement Model'!M33</f>
        <v>1017</v>
      </c>
      <c r="O168" s="327">
        <f>'3Statement Model'!N33</f>
        <v>1017</v>
      </c>
      <c r="P168" s="327">
        <f>'3Statement Model'!O33</f>
        <v>1017</v>
      </c>
      <c r="Q168" s="327">
        <f>'3Statement Model'!P33</f>
        <v>1017</v>
      </c>
      <c r="R168" s="327">
        <f>'3Statement Model'!Q33</f>
        <v>1017</v>
      </c>
      <c r="S168" s="327">
        <f>'3Statement Model'!R33</f>
        <v>1017</v>
      </c>
      <c r="T168" s="327">
        <f>'3Statement Model'!S33</f>
        <v>1017</v>
      </c>
    </row>
    <row r="169" spans="1:20" outlineLevel="1">
      <c r="B169" s="39" t="s">
        <v>56</v>
      </c>
      <c r="C169" s="39"/>
      <c r="D169" s="39"/>
      <c r="E169" s="39"/>
      <c r="F169" s="39"/>
      <c r="G169" s="39"/>
      <c r="H169" s="39"/>
      <c r="I169" s="39"/>
      <c r="J169" s="47"/>
      <c r="K169" s="47">
        <f>SUM(K163:K168)</f>
        <v>14999.731583163148</v>
      </c>
      <c r="L169" s="47">
        <f t="shared" ref="L169:O169" si="221">SUM(L163:L168)</f>
        <v>16356.879254990947</v>
      </c>
      <c r="M169" s="47">
        <f t="shared" si="221"/>
        <v>17862.674435452864</v>
      </c>
      <c r="N169" s="47">
        <f t="shared" si="221"/>
        <v>19534.316827374056</v>
      </c>
      <c r="O169" s="47">
        <f t="shared" si="221"/>
        <v>21391.075186939928</v>
      </c>
      <c r="P169" s="47">
        <f t="shared" ref="P169:T169" si="222">SUM(P163:P168)</f>
        <v>23217.218656799829</v>
      </c>
      <c r="Q169" s="47">
        <f t="shared" si="222"/>
        <v>25180.152641662415</v>
      </c>
      <c r="R169" s="47">
        <f t="shared" si="222"/>
        <v>27182.598069415286</v>
      </c>
      <c r="S169" s="47">
        <f t="shared" si="222"/>
        <v>29207.365169903591</v>
      </c>
      <c r="T169" s="47">
        <f t="shared" si="222"/>
        <v>31237.817792953803</v>
      </c>
    </row>
    <row r="170" spans="1:20" outlineLevel="1">
      <c r="B170" s="63" t="s">
        <v>57</v>
      </c>
      <c r="J170" s="64"/>
      <c r="K170" s="64">
        <f>K169*-K173</f>
        <v>-4499.9194749489443</v>
      </c>
      <c r="L170" s="64">
        <f>L169*-L173</f>
        <v>-4907.0637764972835</v>
      </c>
      <c r="M170" s="64">
        <f>M169*-M173</f>
        <v>-5358.8023306358591</v>
      </c>
      <c r="N170" s="64">
        <f>N169*-N173</f>
        <v>-5860.2950482122169</v>
      </c>
      <c r="O170" s="64">
        <f>O169*-O173</f>
        <v>-6417.3225560819783</v>
      </c>
      <c r="P170" s="64">
        <f t="shared" ref="P170:T170" si="223">P169*-P173</f>
        <v>-6965.1655970399488</v>
      </c>
      <c r="Q170" s="64">
        <f t="shared" si="223"/>
        <v>-7554.045792498724</v>
      </c>
      <c r="R170" s="64">
        <f t="shared" si="223"/>
        <v>-8154.779420824585</v>
      </c>
      <c r="S170" s="64">
        <f t="shared" si="223"/>
        <v>-8762.2095509710762</v>
      </c>
      <c r="T170" s="64">
        <f t="shared" si="223"/>
        <v>-9371.3453378861414</v>
      </c>
    </row>
    <row r="171" spans="1:20" ht="15" outlineLevel="1" thickBot="1">
      <c r="B171" s="53" t="s">
        <v>0</v>
      </c>
      <c r="C171" s="49"/>
      <c r="D171" s="49"/>
      <c r="E171" s="49"/>
      <c r="F171" s="49"/>
      <c r="G171" s="49"/>
      <c r="H171" s="49"/>
      <c r="I171" s="49"/>
      <c r="J171" s="50"/>
      <c r="K171" s="50">
        <f>SUM(K169:K170)</f>
        <v>10499.812108214202</v>
      </c>
      <c r="L171" s="50">
        <f>SUM(L169:L170)</f>
        <v>11449.815478493663</v>
      </c>
      <c r="M171" s="50">
        <f>SUM(M169:M170)</f>
        <v>12503.872104817005</v>
      </c>
      <c r="N171" s="50">
        <f>SUM(N169:N170)</f>
        <v>13674.021779161838</v>
      </c>
      <c r="O171" s="50">
        <f>SUM(O169:O170)</f>
        <v>14973.752630857951</v>
      </c>
      <c r="P171" s="50">
        <f t="shared" ref="P171:T171" si="224">SUM(P169:P170)</f>
        <v>16252.053059759881</v>
      </c>
      <c r="Q171" s="50">
        <f t="shared" si="224"/>
        <v>17626.106849163691</v>
      </c>
      <c r="R171" s="50">
        <f t="shared" si="224"/>
        <v>19027.818648590699</v>
      </c>
      <c r="S171" s="50">
        <f t="shared" si="224"/>
        <v>20445.155618932513</v>
      </c>
      <c r="T171" s="50">
        <f t="shared" si="224"/>
        <v>21866.472455067662</v>
      </c>
    </row>
    <row r="172" spans="1:20" outlineLevel="1"/>
    <row r="173" spans="1:20" outlineLevel="1">
      <c r="B173" s="41" t="s">
        <v>33</v>
      </c>
      <c r="C173" s="41"/>
      <c r="D173" s="41"/>
      <c r="E173" s="41"/>
      <c r="F173" s="41"/>
      <c r="G173" s="41"/>
      <c r="H173" s="41"/>
      <c r="I173" s="41"/>
      <c r="J173" s="41"/>
      <c r="K173" s="42">
        <f>'Control Sheet'!K94</f>
        <v>0.3</v>
      </c>
      <c r="L173" s="42">
        <f>'Control Sheet'!L94</f>
        <v>0.3</v>
      </c>
      <c r="M173" s="42">
        <f>'Control Sheet'!M94</f>
        <v>0.3</v>
      </c>
      <c r="N173" s="42">
        <f>'Control Sheet'!N94</f>
        <v>0.3</v>
      </c>
      <c r="O173" s="42">
        <f>'Control Sheet'!O94</f>
        <v>0.3</v>
      </c>
      <c r="P173" s="42">
        <f>'Control Sheet'!P94</f>
        <v>0.3</v>
      </c>
      <c r="Q173" s="42">
        <f>'Control Sheet'!Q94</f>
        <v>0.3</v>
      </c>
      <c r="R173" s="42">
        <f>'Control Sheet'!R94</f>
        <v>0.3</v>
      </c>
      <c r="S173" s="42">
        <f>'Control Sheet'!S94</f>
        <v>0.3</v>
      </c>
      <c r="T173" s="42">
        <f>'Control Sheet'!T94</f>
        <v>0.3</v>
      </c>
    </row>
    <row r="175" spans="1:20" ht="18">
      <c r="A175" t="s">
        <v>27</v>
      </c>
      <c r="B175" s="22" t="s">
        <v>706</v>
      </c>
      <c r="C175" s="21"/>
      <c r="D175" s="21"/>
      <c r="E175" s="21"/>
      <c r="F175" s="21"/>
      <c r="G175" s="21"/>
      <c r="H175" s="21"/>
      <c r="I175" s="21"/>
      <c r="J175" s="21"/>
      <c r="K175" s="21"/>
      <c r="L175" s="21"/>
      <c r="M175" s="21"/>
      <c r="N175" s="21"/>
      <c r="O175" s="21"/>
      <c r="P175" s="21"/>
      <c r="Q175" s="21"/>
      <c r="R175" s="21"/>
      <c r="S175" s="21"/>
      <c r="T175" s="21"/>
    </row>
    <row r="177" spans="2:20" outlineLevel="1">
      <c r="B177" t="s">
        <v>676</v>
      </c>
      <c r="E177" s="327">
        <f>'Assumptions Working'!E1135</f>
        <v>0</v>
      </c>
      <c r="F177" s="327">
        <f>'Assumptions Working'!F1135</f>
        <v>0</v>
      </c>
      <c r="G177" s="327">
        <f>'Assumptions Working'!G1135</f>
        <v>741</v>
      </c>
      <c r="H177" s="327">
        <f>'Assumptions Working'!H1135</f>
        <v>807</v>
      </c>
      <c r="I177" s="327">
        <f>'Assumptions Working'!I1135</f>
        <v>1106</v>
      </c>
      <c r="J177" s="327">
        <f>'Assumptions Working'!J1135</f>
        <v>1243</v>
      </c>
      <c r="K177" s="56">
        <f>K178*K185</f>
        <v>1372.2116000000003</v>
      </c>
      <c r="L177" s="56">
        <f t="shared" ref="L177:O177" si="225">L178*L185</f>
        <v>1492.7494080000001</v>
      </c>
      <c r="M177" s="56">
        <f t="shared" si="225"/>
        <v>1625.1721582400003</v>
      </c>
      <c r="N177" s="56">
        <f t="shared" si="225"/>
        <v>1770.7456449432009</v>
      </c>
      <c r="O177" s="56">
        <f t="shared" si="225"/>
        <v>1930.8773719784965</v>
      </c>
      <c r="P177" s="56">
        <f t="shared" ref="P177:T177" si="226">P178*P185</f>
        <v>2107.132927696061</v>
      </c>
      <c r="Q177" s="56">
        <f t="shared" si="226"/>
        <v>2296.9153247967515</v>
      </c>
      <c r="R177" s="56">
        <f t="shared" si="226"/>
        <v>2491.9362697324841</v>
      </c>
      <c r="S177" s="56">
        <f t="shared" si="226"/>
        <v>2690.7673977089594</v>
      </c>
      <c r="T177" s="56">
        <f t="shared" si="226"/>
        <v>2892.0169720372628</v>
      </c>
    </row>
    <row r="178" spans="2:20" outlineLevel="1">
      <c r="B178" t="s">
        <v>688</v>
      </c>
      <c r="E178" s="370">
        <f>E177/E185</f>
        <v>0</v>
      </c>
      <c r="F178" s="370">
        <f t="shared" ref="F178:J178" si="227">F177/F185</f>
        <v>0</v>
      </c>
      <c r="G178" s="370">
        <f t="shared" si="227"/>
        <v>1.4128818213019105E-2</v>
      </c>
      <c r="H178" s="370">
        <f t="shared" si="227"/>
        <v>1.3319029542828849E-2</v>
      </c>
      <c r="I178" s="370">
        <f t="shared" si="227"/>
        <v>1.7886021088039331E-2</v>
      </c>
      <c r="J178" s="370">
        <f t="shared" si="227"/>
        <v>1.9692336940162546E-2</v>
      </c>
      <c r="K178" s="338">
        <f>'Control Sheet'!K185</f>
        <v>0.02</v>
      </c>
      <c r="L178" s="338">
        <f>'Control Sheet'!L185</f>
        <v>0.02</v>
      </c>
      <c r="M178" s="338">
        <f>'Control Sheet'!M185</f>
        <v>0.02</v>
      </c>
      <c r="N178" s="338">
        <f>'Control Sheet'!N185</f>
        <v>0.02</v>
      </c>
      <c r="O178" s="338">
        <f>'Control Sheet'!O185</f>
        <v>0.02</v>
      </c>
      <c r="P178" s="338">
        <f>'Control Sheet'!P185</f>
        <v>0.02</v>
      </c>
      <c r="Q178" s="338">
        <f>'Control Sheet'!Q185</f>
        <v>0.02</v>
      </c>
      <c r="R178" s="338">
        <f>'Control Sheet'!R185</f>
        <v>0.02</v>
      </c>
      <c r="S178" s="338">
        <f>'Control Sheet'!S185</f>
        <v>0.02</v>
      </c>
      <c r="T178" s="338">
        <f>'Control Sheet'!T185</f>
        <v>0.02</v>
      </c>
    </row>
    <row r="179" spans="2:20" outlineLevel="1">
      <c r="B179" t="s">
        <v>677</v>
      </c>
      <c r="E179" s="327">
        <f>'Assumptions Working'!E1137</f>
        <v>0</v>
      </c>
      <c r="F179" s="327">
        <f>'Assumptions Working'!F1137</f>
        <v>0</v>
      </c>
      <c r="G179" s="327">
        <f>'Assumptions Working'!G1137</f>
        <v>302</v>
      </c>
      <c r="H179" s="327">
        <f>'Assumptions Working'!H1137</f>
        <v>314</v>
      </c>
      <c r="I179" s="327">
        <f>'Assumptions Working'!I1137</f>
        <v>365</v>
      </c>
      <c r="J179" s="327">
        <f>'Assumptions Working'!J1137</f>
        <v>404</v>
      </c>
      <c r="K179" s="56">
        <f>K180*K185</f>
        <v>686.10580000000016</v>
      </c>
      <c r="L179" s="56">
        <f t="shared" ref="L179:O179" si="228">L180*L185</f>
        <v>746.37470400000007</v>
      </c>
      <c r="M179" s="56">
        <f t="shared" si="228"/>
        <v>812.58607912000014</v>
      </c>
      <c r="N179" s="56">
        <f t="shared" si="228"/>
        <v>885.37282247160044</v>
      </c>
      <c r="O179" s="56">
        <f t="shared" si="228"/>
        <v>965.43868598924826</v>
      </c>
      <c r="P179" s="56">
        <f t="shared" ref="P179:T179" si="229">P180*P185</f>
        <v>1053.5664638480305</v>
      </c>
      <c r="Q179" s="56">
        <f t="shared" si="229"/>
        <v>1148.4576623983758</v>
      </c>
      <c r="R179" s="56">
        <f t="shared" si="229"/>
        <v>1245.9681348662421</v>
      </c>
      <c r="S179" s="56">
        <f t="shared" si="229"/>
        <v>1345.3836988544797</v>
      </c>
      <c r="T179" s="56">
        <f t="shared" si="229"/>
        <v>1446.0084860186314</v>
      </c>
    </row>
    <row r="180" spans="2:20" outlineLevel="1">
      <c r="B180" t="s">
        <v>687</v>
      </c>
      <c r="E180" s="370">
        <f>E179/E185</f>
        <v>0</v>
      </c>
      <c r="F180" s="370">
        <f t="shared" ref="F180:J180" si="230">F179/F185</f>
        <v>0</v>
      </c>
      <c r="G180" s="370">
        <f t="shared" si="230"/>
        <v>5.7583037791251951E-3</v>
      </c>
      <c r="H180" s="370">
        <f t="shared" si="230"/>
        <v>5.1823733289321668E-3</v>
      </c>
      <c r="I180" s="370">
        <f t="shared" si="230"/>
        <v>5.9027103952390197E-3</v>
      </c>
      <c r="J180" s="370">
        <f t="shared" si="230"/>
        <v>6.4004055702539565E-3</v>
      </c>
      <c r="K180" s="338">
        <f>'Control Sheet'!K191</f>
        <v>0.01</v>
      </c>
      <c r="L180" s="338">
        <f>'Control Sheet'!L191</f>
        <v>0.01</v>
      </c>
      <c r="M180" s="338">
        <f>'Control Sheet'!M191</f>
        <v>0.01</v>
      </c>
      <c r="N180" s="338">
        <f>'Control Sheet'!N191</f>
        <v>0.01</v>
      </c>
      <c r="O180" s="338">
        <f>'Control Sheet'!O191</f>
        <v>0.01</v>
      </c>
      <c r="P180" s="338">
        <f>'Control Sheet'!P191</f>
        <v>0.01</v>
      </c>
      <c r="Q180" s="338">
        <f>'Control Sheet'!Q191</f>
        <v>0.01</v>
      </c>
      <c r="R180" s="338">
        <f>'Control Sheet'!R191</f>
        <v>0.01</v>
      </c>
      <c r="S180" s="338">
        <f>'Control Sheet'!S191</f>
        <v>0.01</v>
      </c>
      <c r="T180" s="338">
        <f>'Control Sheet'!T191</f>
        <v>0.01</v>
      </c>
    </row>
    <row r="181" spans="2:20" outlineLevel="1">
      <c r="B181" t="s">
        <v>683</v>
      </c>
      <c r="E181" s="327">
        <f>'Assumptions Working'!E1139</f>
        <v>0</v>
      </c>
      <c r="F181" s="327">
        <f>'Assumptions Working'!F1139</f>
        <v>0</v>
      </c>
      <c r="G181" s="327">
        <f>'Assumptions Working'!G1139</f>
        <v>0</v>
      </c>
      <c r="H181" s="327">
        <f>'Assumptions Working'!H1139</f>
        <v>98</v>
      </c>
      <c r="I181" s="327">
        <f>'Assumptions Working'!I1139</f>
        <v>13</v>
      </c>
      <c r="J181" s="327">
        <f>'Assumptions Working'!J1139</f>
        <v>1</v>
      </c>
      <c r="K181" s="64">
        <f>J181*K182</f>
        <v>0</v>
      </c>
      <c r="L181" s="64">
        <f t="shared" ref="L181:O181" si="231">K181*L182</f>
        <v>0</v>
      </c>
      <c r="M181" s="64">
        <f t="shared" si="231"/>
        <v>0</v>
      </c>
      <c r="N181" s="64">
        <f t="shared" si="231"/>
        <v>0</v>
      </c>
      <c r="O181" s="64">
        <f t="shared" si="231"/>
        <v>0</v>
      </c>
      <c r="P181" s="64">
        <f t="shared" ref="P181" si="232">O181*P182</f>
        <v>0</v>
      </c>
      <c r="Q181" s="64">
        <f t="shared" ref="Q181" si="233">P181*Q182</f>
        <v>0</v>
      </c>
      <c r="R181" s="64">
        <f t="shared" ref="R181" si="234">Q181*R182</f>
        <v>0</v>
      </c>
      <c r="S181" s="64">
        <f t="shared" ref="S181" si="235">R181*S182</f>
        <v>0</v>
      </c>
      <c r="T181" s="64">
        <f t="shared" ref="T181" si="236">S181*T182</f>
        <v>0</v>
      </c>
    </row>
    <row r="182" spans="2:20" outlineLevel="1">
      <c r="B182" t="s">
        <v>593</v>
      </c>
      <c r="E182" s="369"/>
      <c r="F182" s="369"/>
      <c r="G182" s="369"/>
      <c r="H182" s="337"/>
      <c r="I182" s="337">
        <f>I181/H181-1</f>
        <v>-0.86734693877551017</v>
      </c>
      <c r="J182" s="337">
        <f t="shared" ref="J182" si="237">J181/I181-1</f>
        <v>-0.92307692307692313</v>
      </c>
      <c r="K182" s="338">
        <f>'Control Sheet'!K197</f>
        <v>0</v>
      </c>
      <c r="L182" s="338">
        <f>'Control Sheet'!L197</f>
        <v>0</v>
      </c>
      <c r="M182" s="338">
        <f>'Control Sheet'!M197</f>
        <v>0</v>
      </c>
      <c r="N182" s="338">
        <f>'Control Sheet'!N197</f>
        <v>0</v>
      </c>
      <c r="O182" s="338">
        <f>'Control Sheet'!O197</f>
        <v>0</v>
      </c>
      <c r="P182" s="338">
        <f>'Control Sheet'!P197</f>
        <v>0</v>
      </c>
      <c r="Q182" s="338">
        <f>'Control Sheet'!Q197</f>
        <v>0</v>
      </c>
      <c r="R182" s="338">
        <f>'Control Sheet'!R197</f>
        <v>0</v>
      </c>
      <c r="S182" s="338">
        <f>'Control Sheet'!S197</f>
        <v>0</v>
      </c>
      <c r="T182" s="338">
        <f>'Control Sheet'!T197</f>
        <v>0</v>
      </c>
    </row>
    <row r="183" spans="2:20" outlineLevel="1">
      <c r="B183" s="39" t="s">
        <v>103</v>
      </c>
      <c r="C183" s="40"/>
      <c r="D183" s="40"/>
      <c r="E183" s="60">
        <f>SUM(E177,E179,E181)</f>
        <v>0</v>
      </c>
      <c r="F183" s="60">
        <f t="shared" ref="F183:O183" si="238">SUM(F177,F179,F181)</f>
        <v>0</v>
      </c>
      <c r="G183" s="60">
        <f t="shared" si="238"/>
        <v>1043</v>
      </c>
      <c r="H183" s="60">
        <f t="shared" si="238"/>
        <v>1219</v>
      </c>
      <c r="I183" s="60">
        <f t="shared" si="238"/>
        <v>1484</v>
      </c>
      <c r="J183" s="60">
        <f t="shared" si="238"/>
        <v>1648</v>
      </c>
      <c r="K183" s="60">
        <f t="shared" si="238"/>
        <v>2058.3174000000004</v>
      </c>
      <c r="L183" s="60">
        <f t="shared" si="238"/>
        <v>2239.1241120000004</v>
      </c>
      <c r="M183" s="60">
        <f t="shared" si="238"/>
        <v>2437.7582373600003</v>
      </c>
      <c r="N183" s="60">
        <f t="shared" si="238"/>
        <v>2656.1184674148012</v>
      </c>
      <c r="O183" s="60">
        <f t="shared" si="238"/>
        <v>2896.3160579677447</v>
      </c>
      <c r="P183" s="60">
        <f t="shared" ref="P183:T183" si="239">SUM(P177,P179,P181)</f>
        <v>3160.6993915440917</v>
      </c>
      <c r="Q183" s="60">
        <f t="shared" si="239"/>
        <v>3445.3729871951273</v>
      </c>
      <c r="R183" s="60">
        <f t="shared" si="239"/>
        <v>3737.9044045987262</v>
      </c>
      <c r="S183" s="60">
        <f t="shared" si="239"/>
        <v>4036.1510965634388</v>
      </c>
      <c r="T183" s="60">
        <f t="shared" si="239"/>
        <v>4338.025458055894</v>
      </c>
    </row>
    <row r="184" spans="2:20" outlineLevel="1"/>
    <row r="185" spans="2:20" outlineLevel="1">
      <c r="B185" t="s">
        <v>52</v>
      </c>
      <c r="E185" s="61">
        <f>'3Statement Model'!D13</f>
        <v>39783</v>
      </c>
      <c r="F185" s="61">
        <f>'3Statement Model'!E13</f>
        <v>47028</v>
      </c>
      <c r="G185" s="61">
        <f>'3Statement Model'!F13</f>
        <v>52446</v>
      </c>
      <c r="H185" s="61">
        <f>'3Statement Model'!G13</f>
        <v>60590</v>
      </c>
      <c r="I185" s="61">
        <f>'3Statement Model'!H13</f>
        <v>61836</v>
      </c>
      <c r="J185" s="61">
        <f>'3Statement Model'!I13</f>
        <v>63121</v>
      </c>
      <c r="K185" s="61">
        <f>'3Statement Model'!J13</f>
        <v>68610.580000000016</v>
      </c>
      <c r="L185" s="61">
        <f>'3Statement Model'!K13</f>
        <v>74637.470400000006</v>
      </c>
      <c r="M185" s="61">
        <f>'3Statement Model'!L13</f>
        <v>81258.607912000007</v>
      </c>
      <c r="N185" s="61">
        <f>'3Statement Model'!M13</f>
        <v>88537.282247160038</v>
      </c>
      <c r="O185" s="61">
        <f>'3Statement Model'!N13</f>
        <v>96543.868598924819</v>
      </c>
      <c r="P185" s="61">
        <f>'3Statement Model'!O13</f>
        <v>105356.64638480304</v>
      </c>
      <c r="Q185" s="61">
        <f>'3Statement Model'!P13</f>
        <v>114845.76623983758</v>
      </c>
      <c r="R185" s="61">
        <f>'3Statement Model'!Q13</f>
        <v>124596.8134866242</v>
      </c>
      <c r="S185" s="61">
        <f>'3Statement Model'!R13</f>
        <v>134538.36988544796</v>
      </c>
      <c r="T185" s="61">
        <f>'3Statement Model'!S13</f>
        <v>144600.84860186314</v>
      </c>
    </row>
    <row r="186" spans="2:20" outlineLevel="1">
      <c r="B186" s="154"/>
    </row>
    <row r="187" spans="2:20" outlineLevel="1">
      <c r="B187" s="315" t="s">
        <v>684</v>
      </c>
      <c r="C187" s="315"/>
      <c r="D187" s="315"/>
      <c r="E187" s="316"/>
      <c r="F187" s="316"/>
      <c r="G187" s="316">
        <f>G177/G$183</f>
        <v>0.71045062320230101</v>
      </c>
      <c r="H187" s="316">
        <f>H177/H$183</f>
        <v>0.66201804757998362</v>
      </c>
      <c r="I187" s="316">
        <f>I177/I$183</f>
        <v>0.74528301886792447</v>
      </c>
      <c r="J187" s="316">
        <f>J177/J$183</f>
        <v>0.75424757281553401</v>
      </c>
      <c r="K187" s="316">
        <f t="shared" ref="K187:T187" si="240">K177/K$183</f>
        <v>0.66666666666666674</v>
      </c>
      <c r="L187" s="316">
        <f t="shared" si="240"/>
        <v>0.66666666666666663</v>
      </c>
      <c r="M187" s="316">
        <f t="shared" si="240"/>
        <v>0.66666666666666674</v>
      </c>
      <c r="N187" s="316">
        <f t="shared" si="240"/>
        <v>0.66666666666666674</v>
      </c>
      <c r="O187" s="316">
        <f t="shared" si="240"/>
        <v>0.66666666666666674</v>
      </c>
      <c r="P187" s="316">
        <f t="shared" si="240"/>
        <v>0.66666666666666663</v>
      </c>
      <c r="Q187" s="316">
        <f t="shared" si="240"/>
        <v>0.66666666666666663</v>
      </c>
      <c r="R187" s="316">
        <f t="shared" si="240"/>
        <v>0.66666666666666663</v>
      </c>
      <c r="S187" s="316">
        <f t="shared" si="240"/>
        <v>0.66666666666666674</v>
      </c>
      <c r="T187" s="316">
        <f t="shared" si="240"/>
        <v>0.66666666666666674</v>
      </c>
    </row>
    <row r="188" spans="2:20" outlineLevel="1">
      <c r="B188" s="315" t="s">
        <v>685</v>
      </c>
      <c r="C188" s="315"/>
      <c r="D188" s="315"/>
      <c r="E188" s="316"/>
      <c r="F188" s="316"/>
      <c r="G188" s="316">
        <f>G179/G$183</f>
        <v>0.28954937679769893</v>
      </c>
      <c r="H188" s="316">
        <f>H179/H$183</f>
        <v>0.25758818703855618</v>
      </c>
      <c r="I188" s="316">
        <f>I179/I$183</f>
        <v>0.24595687331536389</v>
      </c>
      <c r="J188" s="316">
        <f>J179/J$183</f>
        <v>0.24514563106796117</v>
      </c>
      <c r="K188" s="316">
        <f t="shared" ref="K188:T188" si="241">K179/K$183</f>
        <v>0.33333333333333337</v>
      </c>
      <c r="L188" s="316">
        <f t="shared" si="241"/>
        <v>0.33333333333333331</v>
      </c>
      <c r="M188" s="316">
        <f t="shared" si="241"/>
        <v>0.33333333333333337</v>
      </c>
      <c r="N188" s="316">
        <f t="shared" si="241"/>
        <v>0.33333333333333337</v>
      </c>
      <c r="O188" s="316">
        <f t="shared" si="241"/>
        <v>0.33333333333333337</v>
      </c>
      <c r="P188" s="316">
        <f t="shared" si="241"/>
        <v>0.33333333333333331</v>
      </c>
      <c r="Q188" s="316">
        <f t="shared" si="241"/>
        <v>0.33333333333333331</v>
      </c>
      <c r="R188" s="316">
        <f t="shared" si="241"/>
        <v>0.33333333333333331</v>
      </c>
      <c r="S188" s="316">
        <f t="shared" si="241"/>
        <v>0.33333333333333337</v>
      </c>
      <c r="T188" s="316">
        <f t="shared" si="241"/>
        <v>0.33333333333333337</v>
      </c>
    </row>
    <row r="189" spans="2:20" outlineLevel="1">
      <c r="B189" s="315" t="s">
        <v>686</v>
      </c>
      <c r="C189" s="315"/>
      <c r="D189" s="315"/>
      <c r="E189" s="365"/>
      <c r="F189" s="365"/>
      <c r="G189" s="365">
        <f>G181/G183</f>
        <v>0</v>
      </c>
      <c r="H189" s="365">
        <f>H181/H183</f>
        <v>8.0393765381460217E-2</v>
      </c>
      <c r="I189" s="365">
        <f>I181/I183</f>
        <v>8.7601078167115903E-3</v>
      </c>
      <c r="J189" s="365">
        <f>J181/J183</f>
        <v>6.0679611650485432E-4</v>
      </c>
      <c r="K189" s="365">
        <f t="shared" ref="K189:T189" si="242">K181/K183</f>
        <v>0</v>
      </c>
      <c r="L189" s="365">
        <f t="shared" si="242"/>
        <v>0</v>
      </c>
      <c r="M189" s="365">
        <f t="shared" si="242"/>
        <v>0</v>
      </c>
      <c r="N189" s="365">
        <f t="shared" si="242"/>
        <v>0</v>
      </c>
      <c r="O189" s="365">
        <f t="shared" si="242"/>
        <v>0</v>
      </c>
      <c r="P189" s="365">
        <f t="shared" si="242"/>
        <v>0</v>
      </c>
      <c r="Q189" s="365">
        <f t="shared" si="242"/>
        <v>0</v>
      </c>
      <c r="R189" s="365">
        <f t="shared" si="242"/>
        <v>0</v>
      </c>
      <c r="S189" s="365">
        <f t="shared" si="242"/>
        <v>0</v>
      </c>
      <c r="T189" s="365">
        <f t="shared" si="242"/>
        <v>0</v>
      </c>
    </row>
    <row r="190" spans="2:20" outlineLevel="1">
      <c r="B190" s="154"/>
      <c r="C190" s="154"/>
      <c r="D190" s="154"/>
      <c r="E190" s="377"/>
      <c r="F190" s="377"/>
      <c r="G190" s="377"/>
      <c r="H190" s="377"/>
      <c r="I190" s="377"/>
      <c r="J190" s="377"/>
    </row>
    <row r="191" spans="2:20" outlineLevel="1">
      <c r="B191" s="38" t="s">
        <v>719</v>
      </c>
      <c r="C191" s="154"/>
      <c r="D191" s="154"/>
      <c r="E191" s="377"/>
      <c r="F191" s="377"/>
      <c r="G191" s="377"/>
      <c r="H191" s="377"/>
      <c r="I191" s="377"/>
      <c r="J191" s="377"/>
    </row>
    <row r="192" spans="2:20" outlineLevel="1">
      <c r="B192" s="154"/>
      <c r="C192" s="154"/>
      <c r="D192" s="154"/>
      <c r="E192" s="377"/>
      <c r="F192" s="377"/>
      <c r="G192" s="377"/>
      <c r="H192" s="377"/>
      <c r="I192" s="377"/>
      <c r="J192" s="377"/>
    </row>
    <row r="193" spans="1:20" outlineLevel="1">
      <c r="B193" t="s">
        <v>720</v>
      </c>
      <c r="E193" s="327">
        <f>'Assumptions Working'!E1163</f>
        <v>0</v>
      </c>
      <c r="F193" s="327">
        <f>'Assumptions Working'!F1163</f>
        <v>0</v>
      </c>
      <c r="G193" s="327">
        <f>'Assumptions Working'!G1163</f>
        <v>1043</v>
      </c>
      <c r="H193" s="327">
        <f>'Assumptions Working'!H1163</f>
        <v>1121</v>
      </c>
      <c r="I193" s="327">
        <f>'Assumptions Working'!I1163</f>
        <v>1471</v>
      </c>
      <c r="J193" s="327">
        <f>'Assumptions Working'!J1163</f>
        <v>1647</v>
      </c>
      <c r="K193" s="56">
        <f>SUM(K177+K179)</f>
        <v>2058.3174000000004</v>
      </c>
      <c r="L193" s="56">
        <f t="shared" ref="L193:O193" si="243">SUM(L177+L179)</f>
        <v>2239.1241120000004</v>
      </c>
      <c r="M193" s="56">
        <f t="shared" si="243"/>
        <v>2437.7582373600003</v>
      </c>
      <c r="N193" s="56">
        <f t="shared" si="243"/>
        <v>2656.1184674148012</v>
      </c>
      <c r="O193" s="56">
        <f t="shared" si="243"/>
        <v>2896.3160579677447</v>
      </c>
      <c r="P193" s="56">
        <f t="shared" ref="P193:T193" si="244">SUM(P177+P179)</f>
        <v>3160.6993915440917</v>
      </c>
      <c r="Q193" s="56">
        <f t="shared" si="244"/>
        <v>3445.3729871951273</v>
      </c>
      <c r="R193" s="56">
        <f t="shared" si="244"/>
        <v>3737.9044045987262</v>
      </c>
      <c r="S193" s="56">
        <f t="shared" si="244"/>
        <v>4036.1510965634388</v>
      </c>
      <c r="T193" s="56">
        <f t="shared" si="244"/>
        <v>4338.025458055894</v>
      </c>
    </row>
    <row r="194" spans="1:20" outlineLevel="1">
      <c r="B194" s="20" t="s">
        <v>719</v>
      </c>
      <c r="C194" s="242"/>
      <c r="D194" s="242"/>
      <c r="E194" s="390">
        <f>'Assumptions Working'!E1162</f>
        <v>453</v>
      </c>
      <c r="F194" s="390">
        <f>'Assumptions Working'!F1162</f>
        <v>492</v>
      </c>
      <c r="G194" s="390">
        <f>'Assumptions Working'!G1162</f>
        <v>510</v>
      </c>
      <c r="H194" s="390">
        <f>'Assumptions Working'!H1162</f>
        <v>541</v>
      </c>
      <c r="I194" s="390">
        <f>'Assumptions Working'!I1162</f>
        <v>529</v>
      </c>
      <c r="J194" s="390">
        <f>'Assumptions Working'!J1162</f>
        <v>625</v>
      </c>
      <c r="K194" s="391">
        <f>K196*K193</f>
        <v>761.57743800000014</v>
      </c>
      <c r="L194" s="391">
        <f>L196*L193</f>
        <v>828.47592144000009</v>
      </c>
      <c r="M194" s="391">
        <f t="shared" ref="M194:O194" si="245">M196*M193</f>
        <v>901.97054782320015</v>
      </c>
      <c r="N194" s="391">
        <f t="shared" si="245"/>
        <v>982.76383294347647</v>
      </c>
      <c r="O194" s="391">
        <f t="shared" si="245"/>
        <v>1071.6369414480655</v>
      </c>
      <c r="P194" s="391">
        <f t="shared" ref="P194:T194" si="246">P196*P193</f>
        <v>1169.4587748713138</v>
      </c>
      <c r="Q194" s="391">
        <f t="shared" si="246"/>
        <v>1274.788005262197</v>
      </c>
      <c r="R194" s="391">
        <f t="shared" si="246"/>
        <v>1383.0246297015287</v>
      </c>
      <c r="S194" s="391">
        <f t="shared" si="246"/>
        <v>1493.3759057284724</v>
      </c>
      <c r="T194" s="391">
        <f t="shared" si="246"/>
        <v>1605.0694194806808</v>
      </c>
    </row>
    <row r="195" spans="1:20" outlineLevel="1">
      <c r="B195" s="20" t="s">
        <v>732</v>
      </c>
      <c r="C195" s="242"/>
      <c r="D195" s="242"/>
      <c r="E195" s="390"/>
      <c r="F195" s="390"/>
      <c r="G195" s="390"/>
      <c r="H195" s="390"/>
      <c r="I195" s="390"/>
      <c r="J195" s="390"/>
      <c r="K195" s="391">
        <f>SUM(K177,K179)-SUM(J177,J179)+K194</f>
        <v>1172.8948380000006</v>
      </c>
      <c r="L195" s="391">
        <f t="shared" ref="L195:O195" si="247">SUM(L177,L179)-SUM(K177,K179)+L194</f>
        <v>1009.2826334400002</v>
      </c>
      <c r="M195" s="391">
        <f t="shared" si="247"/>
        <v>1100.6046731832</v>
      </c>
      <c r="N195" s="391">
        <f t="shared" si="247"/>
        <v>1201.1240629982774</v>
      </c>
      <c r="O195" s="391">
        <f t="shared" si="247"/>
        <v>1311.8345320010089</v>
      </c>
      <c r="P195" s="391">
        <f t="shared" ref="P195" si="248">SUM(P177,P179)-SUM(O177,O179)+P194</f>
        <v>1433.8421084476608</v>
      </c>
      <c r="Q195" s="391">
        <f t="shared" ref="Q195" si="249">SUM(Q177,Q179)-SUM(P177,P179)+Q194</f>
        <v>1559.4616009132326</v>
      </c>
      <c r="R195" s="391">
        <f t="shared" ref="R195" si="250">SUM(R177,R179)-SUM(Q177,Q179)+R194</f>
        <v>1675.5560471051276</v>
      </c>
      <c r="S195" s="391">
        <f t="shared" ref="S195" si="251">SUM(S177,S179)-SUM(R177,R179)+S194</f>
        <v>1791.6225976931851</v>
      </c>
      <c r="T195" s="391">
        <f t="shared" ref="T195" si="252">SUM(T177,T179)-SUM(S177,S179)+T194</f>
        <v>1906.943780973136</v>
      </c>
    </row>
    <row r="196" spans="1:20" outlineLevel="1">
      <c r="B196" s="41" t="s">
        <v>721</v>
      </c>
      <c r="C196" s="41"/>
      <c r="D196" s="41"/>
      <c r="E196" s="42"/>
      <c r="F196" s="42"/>
      <c r="G196" s="42">
        <f>'Assumptions Working'!G1165</f>
        <v>0.48897411313518696</v>
      </c>
      <c r="H196" s="42">
        <f>'Assumptions Working'!H1165</f>
        <v>0.4826048171275647</v>
      </c>
      <c r="I196" s="42">
        <f>'Assumptions Working'!I1165</f>
        <v>0.35961930659415364</v>
      </c>
      <c r="J196" s="42">
        <f>'Assumptions Working'!J1165</f>
        <v>0.37947783849423194</v>
      </c>
      <c r="K196" s="378">
        <v>0.37</v>
      </c>
      <c r="L196" s="378">
        <f>K196</f>
        <v>0.37</v>
      </c>
      <c r="M196" s="378">
        <f t="shared" ref="M196:O196" si="253">L196</f>
        <v>0.37</v>
      </c>
      <c r="N196" s="378">
        <f t="shared" si="253"/>
        <v>0.37</v>
      </c>
      <c r="O196" s="378">
        <f t="shared" si="253"/>
        <v>0.37</v>
      </c>
      <c r="P196" s="378">
        <f t="shared" ref="P196" si="254">O196</f>
        <v>0.37</v>
      </c>
      <c r="Q196" s="378">
        <f t="shared" ref="Q196" si="255">P196</f>
        <v>0.37</v>
      </c>
      <c r="R196" s="378">
        <f t="shared" ref="R196" si="256">Q196</f>
        <v>0.37</v>
      </c>
      <c r="S196" s="378">
        <f t="shared" ref="S196" si="257">R196</f>
        <v>0.37</v>
      </c>
      <c r="T196" s="378">
        <f t="shared" ref="T196" si="258">S196</f>
        <v>0.37</v>
      </c>
    </row>
    <row r="197" spans="1:20" outlineLevel="1">
      <c r="B197" s="154"/>
      <c r="C197" s="154"/>
      <c r="D197" s="154"/>
      <c r="E197" s="377"/>
      <c r="F197" s="377"/>
      <c r="G197" s="377"/>
      <c r="H197" s="377"/>
      <c r="I197" s="377"/>
      <c r="J197" s="377"/>
    </row>
    <row r="198" spans="1:20" ht="18">
      <c r="A198" t="s">
        <v>27</v>
      </c>
      <c r="B198" s="22" t="s">
        <v>62</v>
      </c>
      <c r="C198" s="21"/>
      <c r="D198" s="21"/>
      <c r="E198" s="21"/>
      <c r="F198" s="21"/>
      <c r="G198" s="21"/>
      <c r="H198" s="21"/>
      <c r="I198" s="21"/>
      <c r="J198" s="21"/>
      <c r="K198" s="21"/>
      <c r="L198" s="21"/>
      <c r="M198" s="21"/>
      <c r="N198" s="21"/>
      <c r="O198" s="21"/>
      <c r="P198" s="21"/>
      <c r="Q198" s="21"/>
      <c r="R198" s="21"/>
      <c r="S198" s="21"/>
      <c r="T198" s="21"/>
    </row>
    <row r="199" spans="1:20" outlineLevel="1"/>
    <row r="200" spans="1:20" outlineLevel="1">
      <c r="B200" s="20" t="s">
        <v>52</v>
      </c>
      <c r="E200" s="326">
        <f t="shared" ref="E200:O200" si="259">E185</f>
        <v>39783</v>
      </c>
      <c r="F200" s="326">
        <f t="shared" si="259"/>
        <v>47028</v>
      </c>
      <c r="G200" s="326">
        <f t="shared" si="259"/>
        <v>52446</v>
      </c>
      <c r="H200" s="326">
        <f t="shared" si="259"/>
        <v>60590</v>
      </c>
      <c r="I200" s="326">
        <f t="shared" si="259"/>
        <v>61836</v>
      </c>
      <c r="J200" s="326">
        <f t="shared" si="259"/>
        <v>63121</v>
      </c>
      <c r="K200" s="326">
        <f t="shared" si="259"/>
        <v>68610.580000000016</v>
      </c>
      <c r="L200" s="326">
        <f t="shared" si="259"/>
        <v>74637.470400000006</v>
      </c>
      <c r="M200" s="326">
        <f t="shared" si="259"/>
        <v>81258.607912000007</v>
      </c>
      <c r="N200" s="326">
        <f t="shared" si="259"/>
        <v>88537.282247160038</v>
      </c>
      <c r="O200" s="326">
        <f t="shared" si="259"/>
        <v>96543.868598924819</v>
      </c>
      <c r="P200" s="326">
        <f t="shared" ref="P200:T200" si="260">P185</f>
        <v>105356.64638480304</v>
      </c>
      <c r="Q200" s="326">
        <f t="shared" si="260"/>
        <v>114845.76623983758</v>
      </c>
      <c r="R200" s="326">
        <f t="shared" si="260"/>
        <v>124596.8134866242</v>
      </c>
      <c r="S200" s="326">
        <f t="shared" si="260"/>
        <v>134538.36988544796</v>
      </c>
      <c r="T200" s="326">
        <f t="shared" si="260"/>
        <v>144600.84860186314</v>
      </c>
    </row>
    <row r="201" spans="1:20" outlineLevel="1">
      <c r="B201" t="s">
        <v>697</v>
      </c>
      <c r="E201" s="371">
        <f>'Assumptions Working'!E1196</f>
        <v>2.9660910439132291E-3</v>
      </c>
      <c r="F201" s="371">
        <f>'Assumptions Working'!F1196</f>
        <v>2.4878795611125285E-3</v>
      </c>
      <c r="G201" s="371">
        <f>'Assumptions Working'!G1196</f>
        <v>2.0211264920108303E-3</v>
      </c>
      <c r="H201" s="371">
        <f>'Assumptions Working'!H1196</f>
        <v>1.881809177946517E-3</v>
      </c>
      <c r="I201" s="371">
        <f>'Assumptions Working'!I1196</f>
        <v>5.3961483779242604E-3</v>
      </c>
      <c r="J201" s="371">
        <f>'Assumptions Working'!J1196</f>
        <v>6.2578222778473091E-3</v>
      </c>
      <c r="K201" s="371">
        <f>'Assumptions Working'!L1196</f>
        <v>3.8892265814322292E-3</v>
      </c>
      <c r="L201" s="361">
        <f>K201</f>
        <v>3.8892265814322292E-3</v>
      </c>
      <c r="M201" s="361">
        <f t="shared" ref="M201:O201" si="261">L201</f>
        <v>3.8892265814322292E-3</v>
      </c>
      <c r="N201" s="361">
        <f t="shared" si="261"/>
        <v>3.8892265814322292E-3</v>
      </c>
      <c r="O201" s="361">
        <f t="shared" si="261"/>
        <v>3.8892265814322292E-3</v>
      </c>
      <c r="P201" s="361">
        <f t="shared" ref="P201" si="262">O201</f>
        <v>3.8892265814322292E-3</v>
      </c>
      <c r="Q201" s="361">
        <f t="shared" ref="Q201" si="263">P201</f>
        <v>3.8892265814322292E-3</v>
      </c>
      <c r="R201" s="361">
        <f t="shared" ref="R201" si="264">Q201</f>
        <v>3.8892265814322292E-3</v>
      </c>
      <c r="S201" s="361">
        <f t="shared" ref="S201" si="265">R201</f>
        <v>3.8892265814322292E-3</v>
      </c>
      <c r="T201" s="361">
        <f t="shared" ref="T201" si="266">S201</f>
        <v>3.8892265814322292E-3</v>
      </c>
    </row>
    <row r="202" spans="1:20" ht="15" outlineLevel="1" thickBot="1">
      <c r="B202" s="53" t="s">
        <v>708</v>
      </c>
      <c r="C202" s="53"/>
      <c r="D202" s="53"/>
      <c r="E202" s="50">
        <f>E200*E201</f>
        <v>117.99999999999999</v>
      </c>
      <c r="F202" s="50">
        <f t="shared" ref="F202:J202" si="267">F200*F201</f>
        <v>116.99999999999999</v>
      </c>
      <c r="G202" s="50">
        <f t="shared" si="267"/>
        <v>106.00000000000001</v>
      </c>
      <c r="H202" s="50">
        <f t="shared" si="267"/>
        <v>114.01881809177947</v>
      </c>
      <c r="I202" s="50">
        <f t="shared" si="267"/>
        <v>333.67623109732455</v>
      </c>
      <c r="J202" s="50">
        <f t="shared" si="267"/>
        <v>395</v>
      </c>
      <c r="K202" s="50">
        <f t="shared" ref="K202" si="268">K200*K201</f>
        <v>266.84209150348255</v>
      </c>
      <c r="L202" s="50">
        <f t="shared" ref="L202" si="269">L200*L201</f>
        <v>290.28203385054121</v>
      </c>
      <c r="M202" s="50">
        <f t="shared" ref="M202" si="270">M200*M201</f>
        <v>316.03313786152967</v>
      </c>
      <c r="N202" s="50">
        <f t="shared" ref="N202" si="271">N200*N201</f>
        <v>344.34155156342263</v>
      </c>
      <c r="O202" s="50">
        <f t="shared" ref="O202:T202" si="272">O200*O201</f>
        <v>375.48098002923871</v>
      </c>
      <c r="P202" s="50">
        <f t="shared" si="272"/>
        <v>409.75586965033176</v>
      </c>
      <c r="Q202" s="50">
        <f t="shared" si="272"/>
        <v>446.66120682492846</v>
      </c>
      <c r="R202" s="50">
        <f t="shared" si="272"/>
        <v>484.58523897393252</v>
      </c>
      <c r="S202" s="50">
        <f t="shared" si="272"/>
        <v>523.25020438104548</v>
      </c>
      <c r="T202" s="50">
        <f t="shared" si="272"/>
        <v>562.38546408002355</v>
      </c>
    </row>
    <row r="204" spans="1:20" ht="18">
      <c r="A204" t="s">
        <v>27</v>
      </c>
      <c r="B204" s="22" t="s">
        <v>709</v>
      </c>
      <c r="C204" s="21"/>
      <c r="D204" s="21"/>
      <c r="E204" s="21"/>
      <c r="F204" s="21"/>
      <c r="G204" s="21"/>
      <c r="H204" s="21"/>
      <c r="I204" s="21"/>
      <c r="J204" s="21"/>
      <c r="K204" s="21"/>
      <c r="L204" s="21"/>
      <c r="M204" s="21"/>
      <c r="N204" s="21"/>
      <c r="O204" s="21"/>
      <c r="P204" s="21"/>
      <c r="Q204" s="21"/>
      <c r="R204" s="21"/>
      <c r="S204" s="21"/>
      <c r="T204" s="21"/>
    </row>
    <row r="205" spans="1:20" outlineLevel="1"/>
    <row r="206" spans="1:20" outlineLevel="1">
      <c r="B206" t="s">
        <v>710</v>
      </c>
      <c r="J206" s="61">
        <f>'Balance Sheet'!H10</f>
        <v>50983</v>
      </c>
      <c r="K206" s="78">
        <f>J209</f>
        <v>49167</v>
      </c>
      <c r="L206" s="78">
        <f t="shared" ref="L206:O206" si="273">K209</f>
        <v>50216.981210821417</v>
      </c>
      <c r="M206" s="78">
        <f t="shared" si="273"/>
        <v>51132.96644910091</v>
      </c>
      <c r="N206" s="78">
        <f t="shared" si="273"/>
        <v>51883.19877538993</v>
      </c>
      <c r="O206" s="78">
        <f t="shared" si="273"/>
        <v>52430.1596465564</v>
      </c>
      <c r="P206" s="78">
        <f t="shared" ref="P206" si="274">O209</f>
        <v>52729.634699173555</v>
      </c>
      <c r="Q206" s="78">
        <f t="shared" ref="Q206" si="275">P209</f>
        <v>52729.634699173548</v>
      </c>
      <c r="R206" s="78">
        <f t="shared" ref="R206" si="276">Q209</f>
        <v>52377.112562190283</v>
      </c>
      <c r="S206" s="78">
        <f t="shared" ref="S206" si="277">R209</f>
        <v>51615.999816246651</v>
      </c>
      <c r="T206" s="78">
        <f t="shared" ref="T206" si="278">S209</f>
        <v>50389.290479110692</v>
      </c>
    </row>
    <row r="207" spans="1:20" outlineLevel="1">
      <c r="B207" s="63" t="s">
        <v>76</v>
      </c>
      <c r="J207" s="61">
        <f>' Income Statement'!I54</f>
        <v>10671</v>
      </c>
      <c r="K207" s="56">
        <f>K171</f>
        <v>10499.812108214202</v>
      </c>
      <c r="L207" s="56">
        <f t="shared" ref="L207:O207" si="279">L171</f>
        <v>11449.815478493663</v>
      </c>
      <c r="M207" s="56">
        <f t="shared" si="279"/>
        <v>12503.872104817005</v>
      </c>
      <c r="N207" s="56">
        <f t="shared" si="279"/>
        <v>13674.021779161838</v>
      </c>
      <c r="O207" s="56">
        <f t="shared" si="279"/>
        <v>14973.752630857951</v>
      </c>
      <c r="P207" s="56">
        <f t="shared" ref="P207:T207" si="280">P171</f>
        <v>16252.053059759881</v>
      </c>
      <c r="Q207" s="56">
        <f t="shared" si="280"/>
        <v>17626.106849163691</v>
      </c>
      <c r="R207" s="56">
        <f t="shared" si="280"/>
        <v>19027.818648590699</v>
      </c>
      <c r="S207" s="56">
        <f t="shared" si="280"/>
        <v>20445.155618932513</v>
      </c>
      <c r="T207" s="56">
        <f t="shared" si="280"/>
        <v>21866.472455067662</v>
      </c>
    </row>
    <row r="208" spans="1:20" outlineLevel="1">
      <c r="B208" s="63" t="s">
        <v>74</v>
      </c>
      <c r="J208" s="78">
        <f>J209-J206-J207</f>
        <v>-12487</v>
      </c>
      <c r="K208" s="78">
        <f>K207*-K211</f>
        <v>-9449.8308973927833</v>
      </c>
      <c r="L208" s="78">
        <f t="shared" ref="L208:N208" si="281">L207*-L211</f>
        <v>-10533.830240214171</v>
      </c>
      <c r="M208" s="78">
        <f t="shared" si="281"/>
        <v>-11753.639778527984</v>
      </c>
      <c r="N208" s="78">
        <f t="shared" si="281"/>
        <v>-13127.060907995365</v>
      </c>
      <c r="O208" s="78">
        <f>O207*-O211</f>
        <v>-14674.277578240792</v>
      </c>
      <c r="P208" s="78">
        <f>P207*-P211</f>
        <v>-16252.053059759881</v>
      </c>
      <c r="Q208" s="78">
        <f t="shared" ref="Q208:T208" si="282">Q207*-Q211</f>
        <v>-17978.628986146963</v>
      </c>
      <c r="R208" s="78">
        <f t="shared" si="282"/>
        <v>-19788.931394534327</v>
      </c>
      <c r="S208" s="78">
        <f t="shared" si="282"/>
        <v>-21671.864956068464</v>
      </c>
      <c r="T208" s="78">
        <f t="shared" si="282"/>
        <v>-23615.790251473078</v>
      </c>
    </row>
    <row r="209" spans="1:20" outlineLevel="1">
      <c r="B209" s="40" t="s">
        <v>711</v>
      </c>
      <c r="C209" s="40"/>
      <c r="D209" s="40"/>
      <c r="E209" s="40"/>
      <c r="F209" s="40"/>
      <c r="G209" s="40"/>
      <c r="H209" s="40"/>
      <c r="I209" s="40"/>
      <c r="J209" s="81">
        <f>'Balance Sheet'!I10</f>
        <v>49167</v>
      </c>
      <c r="K209" s="86">
        <f>SUM(K206:K208)</f>
        <v>50216.981210821417</v>
      </c>
      <c r="L209" s="86">
        <f t="shared" ref="L209:O209" si="283">SUM(L206:L208)</f>
        <v>51132.96644910091</v>
      </c>
      <c r="M209" s="86">
        <f t="shared" si="283"/>
        <v>51883.19877538993</v>
      </c>
      <c r="N209" s="86">
        <f t="shared" si="283"/>
        <v>52430.1596465564</v>
      </c>
      <c r="O209" s="86">
        <f t="shared" si="283"/>
        <v>52729.634699173555</v>
      </c>
      <c r="P209" s="86">
        <f t="shared" ref="P209:T209" si="284">SUM(P206:P208)</f>
        <v>52729.634699173548</v>
      </c>
      <c r="Q209" s="86">
        <f t="shared" si="284"/>
        <v>52377.112562190283</v>
      </c>
      <c r="R209" s="86">
        <f t="shared" si="284"/>
        <v>51615.999816246651</v>
      </c>
      <c r="S209" s="86">
        <f t="shared" si="284"/>
        <v>50389.290479110692</v>
      </c>
      <c r="T209" s="86">
        <f t="shared" si="284"/>
        <v>48639.972682705265</v>
      </c>
    </row>
    <row r="210" spans="1:20" outlineLevel="1"/>
    <row r="211" spans="1:20" outlineLevel="1">
      <c r="B211" s="41" t="s">
        <v>75</v>
      </c>
      <c r="C211" s="41"/>
      <c r="D211" s="41"/>
      <c r="E211" s="41"/>
      <c r="F211" s="41"/>
      <c r="G211" s="41"/>
      <c r="H211" s="41"/>
      <c r="I211" s="41"/>
      <c r="J211" s="89"/>
      <c r="K211" s="62">
        <f>'Control Sheet'!K205</f>
        <v>0.9</v>
      </c>
      <c r="L211" s="62">
        <f>'Control Sheet'!L205</f>
        <v>0.92</v>
      </c>
      <c r="M211" s="62">
        <f>'Control Sheet'!M205</f>
        <v>0.94</v>
      </c>
      <c r="N211" s="62">
        <f>'Control Sheet'!N205</f>
        <v>0.96</v>
      </c>
      <c r="O211" s="62">
        <f>'Control Sheet'!O205</f>
        <v>0.98</v>
      </c>
      <c r="P211" s="62">
        <f>'Control Sheet'!P205</f>
        <v>1</v>
      </c>
      <c r="Q211" s="62">
        <f>'Control Sheet'!Q205</f>
        <v>1.02</v>
      </c>
      <c r="R211" s="62">
        <f>'Control Sheet'!R205</f>
        <v>1.04</v>
      </c>
      <c r="S211" s="62">
        <f>'Control Sheet'!S205</f>
        <v>1.06</v>
      </c>
      <c r="T211" s="62">
        <f>'Control Sheet'!T205</f>
        <v>1.08</v>
      </c>
    </row>
    <row r="213" spans="1:20" ht="18">
      <c r="A213" t="s">
        <v>27</v>
      </c>
      <c r="B213" s="22" t="s">
        <v>72</v>
      </c>
      <c r="C213" s="21"/>
      <c r="D213" s="21"/>
      <c r="E213" s="21"/>
      <c r="F213" s="21"/>
      <c r="G213" s="21"/>
      <c r="H213" s="21"/>
      <c r="I213" s="21"/>
      <c r="J213" s="21"/>
      <c r="K213" s="21"/>
      <c r="L213" s="21"/>
      <c r="M213" s="21"/>
      <c r="N213" s="21"/>
      <c r="O213" s="21"/>
      <c r="P213" s="21"/>
      <c r="Q213" s="21"/>
      <c r="R213" s="21"/>
      <c r="S213" s="21"/>
      <c r="T213" s="21"/>
    </row>
    <row r="214" spans="1:20" outlineLevel="1"/>
    <row r="215" spans="1:20" outlineLevel="1">
      <c r="B215" t="s">
        <v>77</v>
      </c>
      <c r="O215" s="94">
        <v>365</v>
      </c>
      <c r="P215" s="94">
        <v>365</v>
      </c>
      <c r="Q215" s="94">
        <v>365</v>
      </c>
      <c r="R215" s="94">
        <v>365</v>
      </c>
      <c r="S215" s="94">
        <v>365</v>
      </c>
      <c r="T215" s="94">
        <v>365</v>
      </c>
    </row>
    <row r="216" spans="1:20" outlineLevel="1"/>
    <row r="217" spans="1:20" outlineLevel="1">
      <c r="B217" s="38" t="s">
        <v>18</v>
      </c>
    </row>
    <row r="218" spans="1:20" outlineLevel="1">
      <c r="B218" t="s">
        <v>5</v>
      </c>
      <c r="E218" s="61">
        <f>' Income Statement'!D10</f>
        <v>39783</v>
      </c>
      <c r="F218" s="61">
        <f>' Income Statement'!E10</f>
        <v>47028</v>
      </c>
      <c r="G218" s="61">
        <f>' Income Statement'!F10</f>
        <v>52446</v>
      </c>
      <c r="H218" s="61">
        <f>' Income Statement'!G10</f>
        <v>60580</v>
      </c>
      <c r="I218" s="61">
        <f>' Income Statement'!H10</f>
        <v>61896</v>
      </c>
      <c r="J218" s="61">
        <f>' Income Statement'!I10</f>
        <v>63121</v>
      </c>
      <c r="K218" s="61">
        <f>'3Statement Model'!J13</f>
        <v>68610.580000000016</v>
      </c>
      <c r="L218" s="61">
        <f>'3Statement Model'!K13</f>
        <v>74637.470400000006</v>
      </c>
      <c r="M218" s="61">
        <f>'3Statement Model'!L13</f>
        <v>81258.607912000007</v>
      </c>
      <c r="N218" s="61">
        <f>'3Statement Model'!M13</f>
        <v>88537.282247160038</v>
      </c>
      <c r="O218" s="61">
        <f>'3Statement Model'!N13</f>
        <v>96543.868598924819</v>
      </c>
      <c r="P218" s="61">
        <f>'3Statement Model'!O13</f>
        <v>105356.64638480304</v>
      </c>
      <c r="Q218" s="61">
        <f>'3Statement Model'!P13</f>
        <v>114845.76623983758</v>
      </c>
      <c r="R218" s="61">
        <f>'3Statement Model'!Q13</f>
        <v>124596.8134866242</v>
      </c>
      <c r="S218" s="61">
        <f>'3Statement Model'!R13</f>
        <v>134538.36988544796</v>
      </c>
      <c r="T218" s="61">
        <f>'3Statement Model'!S13</f>
        <v>144600.84860186314</v>
      </c>
    </row>
    <row r="219" spans="1:20" outlineLevel="1">
      <c r="B219" t="s">
        <v>18</v>
      </c>
      <c r="E219" s="61">
        <f>'Balance Sheet'!D57</f>
        <v>1149</v>
      </c>
      <c r="F219" s="61">
        <f>'Balance Sheet'!E57</f>
        <v>1758</v>
      </c>
      <c r="G219" s="61">
        <f>'Balance Sheet'!F57</f>
        <v>2236</v>
      </c>
      <c r="H219" s="61">
        <f>'Balance Sheet'!G57</f>
        <v>3079</v>
      </c>
      <c r="I219" s="61">
        <f>'Balance Sheet'!H57</f>
        <v>2997</v>
      </c>
      <c r="J219" s="61">
        <f>'Balance Sheet'!I57</f>
        <v>3819</v>
      </c>
      <c r="K219" s="56">
        <f>(K220/$O$215)*K218</f>
        <v>3383.5354520547953</v>
      </c>
      <c r="L219" s="56">
        <f t="shared" ref="L219:O219" si="285">(L220/$O$215)*L218</f>
        <v>3271.7795243835617</v>
      </c>
      <c r="M219" s="56">
        <f t="shared" si="285"/>
        <v>3562.0211687452056</v>
      </c>
      <c r="N219" s="56">
        <f t="shared" si="285"/>
        <v>3881.0863450809879</v>
      </c>
      <c r="O219" s="56">
        <f t="shared" si="285"/>
        <v>4232.0599933775266</v>
      </c>
      <c r="P219" s="56">
        <f t="shared" ref="P219:T219" si="286">(P220/$O$215)*P218</f>
        <v>4618.3735401557497</v>
      </c>
      <c r="Q219" s="56">
        <f t="shared" si="286"/>
        <v>5034.334958458634</v>
      </c>
      <c r="R219" s="56">
        <f t="shared" si="286"/>
        <v>5461.7781254410611</v>
      </c>
      <c r="S219" s="56">
        <f t="shared" si="286"/>
        <v>5897.5723785401842</v>
      </c>
      <c r="T219" s="56">
        <f t="shared" si="286"/>
        <v>6338.6673359720826</v>
      </c>
    </row>
    <row r="220" spans="1:20" outlineLevel="1">
      <c r="B220" s="41" t="s">
        <v>78</v>
      </c>
      <c r="C220" s="41"/>
      <c r="D220" s="41"/>
      <c r="E220" s="95">
        <f t="shared" ref="E220:I220" si="287">(E219/E218)*$O$215</f>
        <v>10.541814342809742</v>
      </c>
      <c r="F220" s="95">
        <f t="shared" si="287"/>
        <v>13.644424598111764</v>
      </c>
      <c r="G220" s="95">
        <f t="shared" si="287"/>
        <v>15.561529954619989</v>
      </c>
      <c r="H220" s="95">
        <f t="shared" si="287"/>
        <v>18.551254539451964</v>
      </c>
      <c r="I220" s="95">
        <f t="shared" si="287"/>
        <v>17.673274525009692</v>
      </c>
      <c r="J220" s="95">
        <f>(J219/J218)*$O$215</f>
        <v>22.08353796676225</v>
      </c>
      <c r="K220" s="280">
        <v>18</v>
      </c>
      <c r="L220" s="280">
        <v>16</v>
      </c>
      <c r="M220" s="280">
        <f t="shared" ref="M220:O220" si="288">L220</f>
        <v>16</v>
      </c>
      <c r="N220" s="280">
        <f t="shared" si="288"/>
        <v>16</v>
      </c>
      <c r="O220" s="280">
        <f t="shared" si="288"/>
        <v>16</v>
      </c>
      <c r="P220" s="280">
        <f t="shared" ref="P220" si="289">O220</f>
        <v>16</v>
      </c>
      <c r="Q220" s="280">
        <f t="shared" ref="Q220" si="290">P220</f>
        <v>16</v>
      </c>
      <c r="R220" s="280">
        <f t="shared" ref="R220" si="291">Q220</f>
        <v>16</v>
      </c>
      <c r="S220" s="280">
        <f t="shared" ref="S220" si="292">R220</f>
        <v>16</v>
      </c>
      <c r="T220" s="280">
        <f t="shared" ref="T220" si="293">S220</f>
        <v>16</v>
      </c>
    </row>
    <row r="221" spans="1:20" outlineLevel="1"/>
    <row r="222" spans="1:20" outlineLevel="1">
      <c r="B222" s="38" t="s">
        <v>19</v>
      </c>
    </row>
    <row r="223" spans="1:20" outlineLevel="1">
      <c r="B223" t="s">
        <v>79</v>
      </c>
      <c r="E223" s="387">
        <f>E252</f>
        <v>18259</v>
      </c>
      <c r="F223" s="387">
        <f t="shared" ref="F223:T223" si="294">F252</f>
        <v>22148</v>
      </c>
      <c r="G223" s="387">
        <f t="shared" si="294"/>
        <v>25735</v>
      </c>
      <c r="H223" s="387">
        <f t="shared" si="294"/>
        <v>31716</v>
      </c>
      <c r="I223" s="387">
        <f t="shared" si="294"/>
        <v>29760</v>
      </c>
      <c r="J223" s="387">
        <f t="shared" si="294"/>
        <v>30578</v>
      </c>
      <c r="K223" s="387">
        <f t="shared" si="294"/>
        <v>33619.184200000011</v>
      </c>
      <c r="L223" s="387">
        <f t="shared" si="294"/>
        <v>36404.426187600002</v>
      </c>
      <c r="M223" s="387">
        <f t="shared" si="294"/>
        <v>39451.054141276007</v>
      </c>
      <c r="N223" s="387">
        <f t="shared" si="294"/>
        <v>42785.641645940093</v>
      </c>
      <c r="O223" s="387">
        <f t="shared" si="294"/>
        <v>46437.600796082836</v>
      </c>
      <c r="P223" s="387">
        <f t="shared" si="294"/>
        <v>50676.546911090263</v>
      </c>
      <c r="Q223" s="387">
        <f t="shared" si="294"/>
        <v>55240.813561361872</v>
      </c>
      <c r="R223" s="387">
        <f t="shared" si="294"/>
        <v>59931.067287066238</v>
      </c>
      <c r="S223" s="387">
        <f t="shared" si="294"/>
        <v>64712.955914900464</v>
      </c>
      <c r="T223" s="387">
        <f t="shared" si="294"/>
        <v>69553.008177496173</v>
      </c>
    </row>
    <row r="224" spans="1:20" outlineLevel="1">
      <c r="B224" t="s">
        <v>19</v>
      </c>
      <c r="E224" s="61">
        <f>'Assumptions Working'!I706</f>
        <v>2767</v>
      </c>
      <c r="F224" s="61">
        <f>'Assumptions Working'!J706</f>
        <v>3579</v>
      </c>
      <c r="G224" s="61">
        <f>'Assumptions Working'!K706</f>
        <v>4096</v>
      </c>
      <c r="H224" s="61">
        <f>'Assumptions Working'!L706</f>
        <v>4251</v>
      </c>
      <c r="I224" s="61">
        <f>'Assumptions Working'!M706</f>
        <v>4022</v>
      </c>
      <c r="J224" s="61">
        <f>'Assumptions Working'!N706</f>
        <v>4415</v>
      </c>
      <c r="K224" s="56">
        <f>(K225/$O$215)*K223</f>
        <v>5526.4412383561657</v>
      </c>
      <c r="L224" s="56">
        <f t="shared" ref="L224" si="295">(L225/$O$215)*L223</f>
        <v>5984.289236317808</v>
      </c>
      <c r="M224" s="56">
        <f t="shared" ref="M224" si="296">(M225/$O$215)*M223</f>
        <v>6485.1047903467406</v>
      </c>
      <c r="N224" s="56">
        <f t="shared" ref="N224" si="297">(N225/$O$215)*N223</f>
        <v>7033.2561609764534</v>
      </c>
      <c r="O224" s="56">
        <f t="shared" ref="O224:T224" si="298">(O225/$O$215)*O223</f>
        <v>7633.5782130547123</v>
      </c>
      <c r="P224" s="56">
        <f t="shared" si="298"/>
        <v>8330.3912730559332</v>
      </c>
      <c r="Q224" s="56">
        <f t="shared" si="298"/>
        <v>9080.6816813197602</v>
      </c>
      <c r="R224" s="56">
        <f t="shared" si="298"/>
        <v>9851.6822937643119</v>
      </c>
      <c r="S224" s="56">
        <f t="shared" si="298"/>
        <v>10637.746177791856</v>
      </c>
      <c r="T224" s="56">
        <f t="shared" si="298"/>
        <v>11433.371207259645</v>
      </c>
    </row>
    <row r="225" spans="2:20" outlineLevel="1">
      <c r="B225" s="41" t="s">
        <v>80</v>
      </c>
      <c r="C225" s="41"/>
      <c r="D225" s="41"/>
      <c r="E225" s="95">
        <f t="shared" ref="E225:I225" si="299">(E224/E223)*$O$215</f>
        <v>55.312722493017148</v>
      </c>
      <c r="F225" s="95">
        <f t="shared" si="299"/>
        <v>58.982075130937332</v>
      </c>
      <c r="G225" s="95">
        <f t="shared" si="299"/>
        <v>58.093646784534677</v>
      </c>
      <c r="H225" s="95">
        <f t="shared" si="299"/>
        <v>48.922152856602345</v>
      </c>
      <c r="I225" s="95">
        <f t="shared" si="299"/>
        <v>49.328965053763447</v>
      </c>
      <c r="J225" s="95">
        <f>(J224/J223)*$O$215</f>
        <v>52.700470926810127</v>
      </c>
      <c r="K225" s="280">
        <v>60</v>
      </c>
      <c r="L225" s="280">
        <f t="shared" ref="L225:O225" si="300">K225</f>
        <v>60</v>
      </c>
      <c r="M225" s="280">
        <f t="shared" si="300"/>
        <v>60</v>
      </c>
      <c r="N225" s="280">
        <f t="shared" si="300"/>
        <v>60</v>
      </c>
      <c r="O225" s="280">
        <f t="shared" si="300"/>
        <v>60</v>
      </c>
      <c r="P225" s="280">
        <f t="shared" ref="P225" si="301">O225</f>
        <v>60</v>
      </c>
      <c r="Q225" s="280">
        <f t="shared" ref="Q225" si="302">P225</f>
        <v>60</v>
      </c>
      <c r="R225" s="280">
        <f t="shared" ref="R225" si="303">Q225</f>
        <v>60</v>
      </c>
      <c r="S225" s="280">
        <f t="shared" ref="S225" si="304">R225</f>
        <v>60</v>
      </c>
      <c r="T225" s="280">
        <f t="shared" ref="T225" si="305">S225</f>
        <v>60</v>
      </c>
    </row>
    <row r="226" spans="2:20" outlineLevel="1"/>
    <row r="227" spans="2:20" outlineLevel="1">
      <c r="B227" s="38" t="s">
        <v>17</v>
      </c>
    </row>
    <row r="228" spans="2:20" outlineLevel="1">
      <c r="B228" t="s">
        <v>52</v>
      </c>
      <c r="E228" s="56">
        <f t="shared" ref="E228:O228" si="306">E218</f>
        <v>39783</v>
      </c>
      <c r="F228" s="56">
        <f t="shared" si="306"/>
        <v>47028</v>
      </c>
      <c r="G228" s="56">
        <f t="shared" si="306"/>
        <v>52446</v>
      </c>
      <c r="H228" s="56">
        <f t="shared" si="306"/>
        <v>60580</v>
      </c>
      <c r="I228" s="56">
        <f t="shared" si="306"/>
        <v>61896</v>
      </c>
      <c r="J228" s="56">
        <f t="shared" si="306"/>
        <v>63121</v>
      </c>
      <c r="K228" s="56">
        <f t="shared" si="306"/>
        <v>68610.580000000016</v>
      </c>
      <c r="L228" s="56">
        <f t="shared" si="306"/>
        <v>74637.470400000006</v>
      </c>
      <c r="M228" s="56">
        <f t="shared" si="306"/>
        <v>81258.607912000007</v>
      </c>
      <c r="N228" s="56">
        <f t="shared" si="306"/>
        <v>88537.282247160038</v>
      </c>
      <c r="O228" s="56">
        <f t="shared" si="306"/>
        <v>96543.868598924819</v>
      </c>
      <c r="P228" s="56">
        <f t="shared" ref="P228:T228" si="307">P218</f>
        <v>105356.64638480304</v>
      </c>
      <c r="Q228" s="56">
        <f t="shared" si="307"/>
        <v>114845.76623983758</v>
      </c>
      <c r="R228" s="56">
        <f t="shared" si="307"/>
        <v>124596.8134866242</v>
      </c>
      <c r="S228" s="56">
        <f t="shared" si="307"/>
        <v>134538.36988544796</v>
      </c>
      <c r="T228" s="56">
        <f t="shared" si="307"/>
        <v>144600.84860186314</v>
      </c>
    </row>
    <row r="229" spans="2:20" outlineLevel="1">
      <c r="B229" t="s">
        <v>17</v>
      </c>
      <c r="E229" s="61">
        <f>'Balance Sheet'!D62</f>
        <v>619</v>
      </c>
      <c r="F229" s="61">
        <f>'Balance Sheet'!E62</f>
        <v>514</v>
      </c>
      <c r="G229" s="61">
        <f>'Balance Sheet'!F62</f>
        <v>701</v>
      </c>
      <c r="H229" s="61">
        <f>'Balance Sheet'!G62</f>
        <v>757</v>
      </c>
      <c r="I229" s="61">
        <f>'Balance Sheet'!H62</f>
        <v>725</v>
      </c>
      <c r="J229" s="61">
        <f>'Balance Sheet'!I62</f>
        <v>978</v>
      </c>
      <c r="K229" s="56">
        <f>K228*K230</f>
        <v>686.10580000000016</v>
      </c>
      <c r="L229" s="56">
        <f t="shared" ref="L229" si="308">L228*L230</f>
        <v>746.37470400000007</v>
      </c>
      <c r="M229" s="56">
        <f t="shared" ref="M229" si="309">M228*M230</f>
        <v>812.58607912000014</v>
      </c>
      <c r="N229" s="56">
        <f t="shared" ref="N229" si="310">N228*N230</f>
        <v>885.37282247160044</v>
      </c>
      <c r="O229" s="56">
        <f t="shared" ref="O229:T229" si="311">O228*O230</f>
        <v>965.43868598924826</v>
      </c>
      <c r="P229" s="56">
        <f t="shared" si="311"/>
        <v>1053.5664638480305</v>
      </c>
      <c r="Q229" s="56">
        <f t="shared" si="311"/>
        <v>1148.4576623983758</v>
      </c>
      <c r="R229" s="56">
        <f t="shared" si="311"/>
        <v>1245.9681348662421</v>
      </c>
      <c r="S229" s="56">
        <f t="shared" si="311"/>
        <v>1345.3836988544797</v>
      </c>
      <c r="T229" s="56">
        <f t="shared" si="311"/>
        <v>1446.0084860186314</v>
      </c>
    </row>
    <row r="230" spans="2:20" outlineLevel="1">
      <c r="B230" s="41" t="s">
        <v>81</v>
      </c>
      <c r="C230" s="41"/>
      <c r="D230" s="41"/>
      <c r="E230" s="244">
        <f t="shared" ref="E230:I230" si="312">E229/E228</f>
        <v>1.5559409798154991E-2</v>
      </c>
      <c r="F230" s="244">
        <f t="shared" si="312"/>
        <v>1.0929658926596921E-2</v>
      </c>
      <c r="G230" s="244">
        <f t="shared" si="312"/>
        <v>1.3366128970750868E-2</v>
      </c>
      <c r="H230" s="244">
        <f t="shared" si="312"/>
        <v>1.249587322548696E-2</v>
      </c>
      <c r="I230" s="244">
        <f t="shared" si="312"/>
        <v>1.1713196329326613E-2</v>
      </c>
      <c r="J230" s="244">
        <f>J229/J228</f>
        <v>1.5494051108189034E-2</v>
      </c>
      <c r="K230" s="354">
        <f>'Control Sheet'!K159</f>
        <v>0.01</v>
      </c>
      <c r="L230" s="354">
        <f>'Control Sheet'!L159</f>
        <v>0.01</v>
      </c>
      <c r="M230" s="354">
        <f>'Control Sheet'!M159</f>
        <v>0.01</v>
      </c>
      <c r="N230" s="354">
        <f>'Control Sheet'!N159</f>
        <v>0.01</v>
      </c>
      <c r="O230" s="354">
        <f>'Control Sheet'!O159</f>
        <v>0.01</v>
      </c>
      <c r="P230" s="354">
        <f>'Control Sheet'!P159</f>
        <v>0.01</v>
      </c>
      <c r="Q230" s="354">
        <f>'Control Sheet'!Q159</f>
        <v>0.01</v>
      </c>
      <c r="R230" s="354">
        <f>'Control Sheet'!R159</f>
        <v>0.01</v>
      </c>
      <c r="S230" s="354">
        <f>'Control Sheet'!S159</f>
        <v>0.01</v>
      </c>
      <c r="T230" s="354">
        <f>'Control Sheet'!T159</f>
        <v>0.01</v>
      </c>
    </row>
    <row r="231" spans="2:20" outlineLevel="1">
      <c r="E231" s="206"/>
      <c r="F231" s="206"/>
      <c r="G231" s="206"/>
      <c r="H231" s="206"/>
      <c r="I231" s="206"/>
      <c r="J231" s="206"/>
      <c r="K231" s="206"/>
      <c r="L231" s="206"/>
      <c r="M231" s="206"/>
      <c r="N231" s="206"/>
      <c r="O231" s="206"/>
      <c r="P231" s="206"/>
      <c r="Q231" s="206"/>
      <c r="R231" s="206"/>
      <c r="S231" s="206"/>
      <c r="T231" s="206"/>
    </row>
    <row r="232" spans="2:20" outlineLevel="1">
      <c r="B232" s="38" t="s">
        <v>180</v>
      </c>
    </row>
    <row r="233" spans="2:20" outlineLevel="1">
      <c r="B233" t="s">
        <v>52</v>
      </c>
      <c r="E233" s="56">
        <f t="shared" ref="E233:O233" si="313">E223</f>
        <v>18259</v>
      </c>
      <c r="F233" s="56">
        <f t="shared" si="313"/>
        <v>22148</v>
      </c>
      <c r="G233" s="56">
        <f t="shared" si="313"/>
        <v>25735</v>
      </c>
      <c r="H233" s="56">
        <f t="shared" si="313"/>
        <v>31716</v>
      </c>
      <c r="I233" s="56">
        <f t="shared" si="313"/>
        <v>29760</v>
      </c>
      <c r="J233" s="56">
        <f t="shared" si="313"/>
        <v>30578</v>
      </c>
      <c r="K233" s="56">
        <f t="shared" si="313"/>
        <v>33619.184200000011</v>
      </c>
      <c r="L233" s="56">
        <f t="shared" si="313"/>
        <v>36404.426187600002</v>
      </c>
      <c r="M233" s="56">
        <f t="shared" si="313"/>
        <v>39451.054141276007</v>
      </c>
      <c r="N233" s="56">
        <f t="shared" si="313"/>
        <v>42785.641645940093</v>
      </c>
      <c r="O233" s="56">
        <f t="shared" si="313"/>
        <v>46437.600796082836</v>
      </c>
      <c r="P233" s="56">
        <f t="shared" ref="P233:T233" si="314">P223</f>
        <v>50676.546911090263</v>
      </c>
      <c r="Q233" s="56">
        <f t="shared" si="314"/>
        <v>55240.813561361872</v>
      </c>
      <c r="R233" s="56">
        <f t="shared" si="314"/>
        <v>59931.067287066238</v>
      </c>
      <c r="S233" s="56">
        <f t="shared" si="314"/>
        <v>64712.955914900464</v>
      </c>
      <c r="T233" s="56">
        <f t="shared" si="314"/>
        <v>69553.008177496173</v>
      </c>
    </row>
    <row r="234" spans="2:20" outlineLevel="1">
      <c r="B234" t="s">
        <v>180</v>
      </c>
      <c r="E234" s="61">
        <f>'Assumptions Working'!I877</f>
        <v>1253</v>
      </c>
      <c r="F234" s="61">
        <f>'Assumptions Working'!J877</f>
        <v>2707</v>
      </c>
      <c r="G234" s="61">
        <f>'Assumptions Working'!K877</f>
        <v>3519</v>
      </c>
      <c r="H234" s="61">
        <f>'Assumptions Working'!L877</f>
        <v>2811</v>
      </c>
      <c r="I234" s="61">
        <f>'Assumptions Working'!M877</f>
        <v>4558</v>
      </c>
      <c r="J234" s="61">
        <f>'Assumptions Working'!N877</f>
        <v>3751</v>
      </c>
      <c r="K234" s="56">
        <f>J234+(J234*K235)</f>
        <v>3751</v>
      </c>
      <c r="L234" s="56">
        <f t="shared" ref="L234:O234" si="315">K234+(K234*L235)</f>
        <v>3751</v>
      </c>
      <c r="M234" s="56">
        <f t="shared" si="315"/>
        <v>3751</v>
      </c>
      <c r="N234" s="56">
        <f t="shared" si="315"/>
        <v>3751</v>
      </c>
      <c r="O234" s="56">
        <f t="shared" si="315"/>
        <v>3751</v>
      </c>
      <c r="P234" s="56">
        <f t="shared" ref="P234" si="316">O234+(O234*P235)</f>
        <v>3751</v>
      </c>
      <c r="Q234" s="56">
        <f t="shared" ref="Q234" si="317">P234+(P234*Q235)</f>
        <v>3751</v>
      </c>
      <c r="R234" s="56">
        <f t="shared" ref="R234" si="318">Q234+(Q234*R235)</f>
        <v>3751</v>
      </c>
      <c r="S234" s="56">
        <f t="shared" ref="S234" si="319">R234+(R234*S235)</f>
        <v>3751</v>
      </c>
      <c r="T234" s="56">
        <f t="shared" ref="T234" si="320">S234+(S234*T235)</f>
        <v>3751</v>
      </c>
    </row>
    <row r="235" spans="2:20" outlineLevel="1">
      <c r="B235" s="41" t="s">
        <v>670</v>
      </c>
      <c r="C235" s="41"/>
      <c r="D235" s="41"/>
      <c r="E235" s="244">
        <f t="shared" ref="E235:I235" si="321">E234/E233</f>
        <v>6.8623692425653096E-2</v>
      </c>
      <c r="F235" s="244">
        <f t="shared" si="321"/>
        <v>0.12222322557341521</v>
      </c>
      <c r="G235" s="244">
        <f t="shared" si="321"/>
        <v>0.13673984845541093</v>
      </c>
      <c r="H235" s="244">
        <f t="shared" si="321"/>
        <v>8.8630344305713205E-2</v>
      </c>
      <c r="I235" s="244">
        <f t="shared" si="321"/>
        <v>0.15315860215053764</v>
      </c>
      <c r="J235" s="244">
        <f>J234/J233</f>
        <v>0.12266989338740271</v>
      </c>
      <c r="K235" s="354">
        <f>'Control Sheet'!K165</f>
        <v>0</v>
      </c>
      <c r="L235" s="354">
        <f>'Control Sheet'!L165</f>
        <v>0</v>
      </c>
      <c r="M235" s="354">
        <f>'Control Sheet'!M165</f>
        <v>0</v>
      </c>
      <c r="N235" s="354">
        <f>'Control Sheet'!N165</f>
        <v>0</v>
      </c>
      <c r="O235" s="354">
        <f>'Control Sheet'!O165</f>
        <v>0</v>
      </c>
      <c r="P235" s="354">
        <f>'Control Sheet'!P165</f>
        <v>0</v>
      </c>
      <c r="Q235" s="354">
        <f>'Control Sheet'!Q165</f>
        <v>0</v>
      </c>
      <c r="R235" s="354">
        <f>'Control Sheet'!R165</f>
        <v>0</v>
      </c>
      <c r="S235" s="354">
        <f>'Control Sheet'!S165</f>
        <v>0</v>
      </c>
      <c r="T235" s="354">
        <f>'Control Sheet'!T165</f>
        <v>0</v>
      </c>
    </row>
    <row r="236" spans="2:20" outlineLevel="1">
      <c r="E236" s="206"/>
      <c r="F236" s="206"/>
      <c r="G236" s="206"/>
      <c r="H236" s="206"/>
      <c r="I236" s="206"/>
      <c r="J236" s="206"/>
      <c r="K236" s="206"/>
      <c r="L236" s="206"/>
      <c r="M236" s="206"/>
      <c r="N236" s="206"/>
      <c r="O236" s="206"/>
      <c r="P236" s="206"/>
      <c r="Q236" s="206"/>
      <c r="R236" s="206"/>
      <c r="S236" s="206"/>
      <c r="T236" s="206"/>
    </row>
    <row r="237" spans="2:20" outlineLevel="1">
      <c r="B237" s="38" t="s">
        <v>190</v>
      </c>
    </row>
    <row r="238" spans="2:20" outlineLevel="1">
      <c r="B238" t="s">
        <v>52</v>
      </c>
      <c r="E238" s="56">
        <f t="shared" ref="E238:O238" si="322">E228</f>
        <v>39783</v>
      </c>
      <c r="F238" s="56">
        <f t="shared" si="322"/>
        <v>47028</v>
      </c>
      <c r="G238" s="56">
        <f t="shared" si="322"/>
        <v>52446</v>
      </c>
      <c r="H238" s="56">
        <f t="shared" si="322"/>
        <v>60580</v>
      </c>
      <c r="I238" s="56">
        <f t="shared" si="322"/>
        <v>61896</v>
      </c>
      <c r="J238" s="56">
        <f t="shared" si="322"/>
        <v>63121</v>
      </c>
      <c r="K238" s="56">
        <f t="shared" si="322"/>
        <v>68610.580000000016</v>
      </c>
      <c r="L238" s="56">
        <f t="shared" si="322"/>
        <v>74637.470400000006</v>
      </c>
      <c r="M238" s="56">
        <f t="shared" si="322"/>
        <v>81258.607912000007</v>
      </c>
      <c r="N238" s="56">
        <f t="shared" si="322"/>
        <v>88537.282247160038</v>
      </c>
      <c r="O238" s="56">
        <f t="shared" si="322"/>
        <v>96543.868598924819</v>
      </c>
      <c r="P238" s="56">
        <f t="shared" ref="P238:T238" si="323">P228</f>
        <v>105356.64638480304</v>
      </c>
      <c r="Q238" s="56">
        <f t="shared" si="323"/>
        <v>114845.76623983758</v>
      </c>
      <c r="R238" s="56">
        <f t="shared" si="323"/>
        <v>124596.8134866242</v>
      </c>
      <c r="S238" s="56">
        <f t="shared" si="323"/>
        <v>134538.36988544796</v>
      </c>
      <c r="T238" s="56">
        <f t="shared" si="323"/>
        <v>144600.84860186314</v>
      </c>
    </row>
    <row r="239" spans="2:20" outlineLevel="1">
      <c r="B239" t="s">
        <v>190</v>
      </c>
      <c r="E239" s="61">
        <f>'Assumptions Working'!I878</f>
        <v>0</v>
      </c>
      <c r="F239" s="61">
        <f>'Assumptions Working'!J878</f>
        <v>0</v>
      </c>
      <c r="G239" s="61">
        <f>'Assumptions Working'!K878</f>
        <v>35</v>
      </c>
      <c r="H239" s="61">
        <f>'Assumptions Working'!L878</f>
        <v>36</v>
      </c>
      <c r="I239" s="61">
        <f>'Assumptions Working'!M878</f>
        <v>38</v>
      </c>
      <c r="J239" s="61">
        <f>'Assumptions Working'!N878</f>
        <v>46</v>
      </c>
      <c r="K239" s="56">
        <f>J239+(J239*K240)</f>
        <v>46</v>
      </c>
      <c r="L239" s="56">
        <f t="shared" ref="L239:O239" si="324">K239+(K239*L240)</f>
        <v>46</v>
      </c>
      <c r="M239" s="56">
        <f t="shared" si="324"/>
        <v>46</v>
      </c>
      <c r="N239" s="56">
        <f t="shared" si="324"/>
        <v>46</v>
      </c>
      <c r="O239" s="56">
        <f t="shared" si="324"/>
        <v>46</v>
      </c>
      <c r="P239" s="56">
        <f t="shared" ref="P239" si="325">O239+(O239*P240)</f>
        <v>46</v>
      </c>
      <c r="Q239" s="56">
        <f t="shared" ref="Q239" si="326">P239+(P239*Q240)</f>
        <v>46</v>
      </c>
      <c r="R239" s="56">
        <f t="shared" ref="R239" si="327">Q239+(Q239*R240)</f>
        <v>46</v>
      </c>
      <c r="S239" s="56">
        <f t="shared" ref="S239" si="328">R239+(R239*S240)</f>
        <v>46</v>
      </c>
      <c r="T239" s="56">
        <f t="shared" ref="T239" si="329">S239+(S239*T240)</f>
        <v>46</v>
      </c>
    </row>
    <row r="240" spans="2:20" outlineLevel="1">
      <c r="B240" s="41" t="s">
        <v>675</v>
      </c>
      <c r="C240" s="41"/>
      <c r="D240" s="41"/>
      <c r="E240" s="244">
        <f>E239/E238</f>
        <v>0</v>
      </c>
      <c r="F240" s="244">
        <f t="shared" ref="F240:I240" si="330">F239/F238</f>
        <v>0</v>
      </c>
      <c r="G240" s="244">
        <f t="shared" si="330"/>
        <v>6.6735308698470804E-4</v>
      </c>
      <c r="H240" s="244">
        <f t="shared" si="330"/>
        <v>5.9425552987784746E-4</v>
      </c>
      <c r="I240" s="244">
        <f t="shared" si="330"/>
        <v>6.1393304898539483E-4</v>
      </c>
      <c r="J240" s="244">
        <f>J239/J238</f>
        <v>7.2875905007842084E-4</v>
      </c>
      <c r="K240" s="354">
        <f>'Control Sheet'!K171</f>
        <v>0</v>
      </c>
      <c r="L240" s="354">
        <f>'Control Sheet'!L171</f>
        <v>0</v>
      </c>
      <c r="M240" s="354">
        <f>'Control Sheet'!M171</f>
        <v>0</v>
      </c>
      <c r="N240" s="354">
        <f>'Control Sheet'!N171</f>
        <v>0</v>
      </c>
      <c r="O240" s="354">
        <f>'Control Sheet'!O171</f>
        <v>0</v>
      </c>
      <c r="P240" s="354">
        <f>'Control Sheet'!P171</f>
        <v>0</v>
      </c>
      <c r="Q240" s="354">
        <f>'Control Sheet'!Q171</f>
        <v>0</v>
      </c>
      <c r="R240" s="354">
        <f>'Control Sheet'!R171</f>
        <v>0</v>
      </c>
      <c r="S240" s="354">
        <f>'Control Sheet'!S171</f>
        <v>0</v>
      </c>
      <c r="T240" s="354">
        <f>'Control Sheet'!T171</f>
        <v>0</v>
      </c>
    </row>
    <row r="241" spans="2:20" outlineLevel="1">
      <c r="E241" s="206"/>
      <c r="F241" s="206"/>
      <c r="G241" s="206"/>
      <c r="H241" s="206"/>
      <c r="I241" s="206"/>
      <c r="J241" s="206"/>
      <c r="K241" s="206"/>
      <c r="L241" s="206"/>
      <c r="M241" s="206"/>
      <c r="N241" s="206"/>
      <c r="O241" s="206"/>
      <c r="P241" s="206"/>
      <c r="Q241" s="206"/>
      <c r="R241" s="206"/>
      <c r="S241" s="206"/>
      <c r="T241" s="206"/>
    </row>
    <row r="242" spans="2:20" outlineLevel="1">
      <c r="B242" s="38" t="s">
        <v>191</v>
      </c>
    </row>
    <row r="243" spans="2:20" outlineLevel="1">
      <c r="B243" t="s">
        <v>52</v>
      </c>
      <c r="E243" s="56">
        <f t="shared" ref="E243:O243" si="331">E233</f>
        <v>18259</v>
      </c>
      <c r="F243" s="56">
        <f t="shared" si="331"/>
        <v>22148</v>
      </c>
      <c r="G243" s="56">
        <f t="shared" si="331"/>
        <v>25735</v>
      </c>
      <c r="H243" s="56">
        <f t="shared" si="331"/>
        <v>31716</v>
      </c>
      <c r="I243" s="56">
        <f t="shared" si="331"/>
        <v>29760</v>
      </c>
      <c r="J243" s="56">
        <f t="shared" si="331"/>
        <v>30578</v>
      </c>
      <c r="K243" s="56">
        <f t="shared" si="331"/>
        <v>33619.184200000011</v>
      </c>
      <c r="L243" s="56">
        <f t="shared" si="331"/>
        <v>36404.426187600002</v>
      </c>
      <c r="M243" s="56">
        <f t="shared" si="331"/>
        <v>39451.054141276007</v>
      </c>
      <c r="N243" s="56">
        <f t="shared" si="331"/>
        <v>42785.641645940093</v>
      </c>
      <c r="O243" s="56">
        <f t="shared" si="331"/>
        <v>46437.600796082836</v>
      </c>
      <c r="P243" s="56">
        <f t="shared" ref="P243:T243" si="332">P233</f>
        <v>50676.546911090263</v>
      </c>
      <c r="Q243" s="56">
        <f t="shared" si="332"/>
        <v>55240.813561361872</v>
      </c>
      <c r="R243" s="56">
        <f t="shared" si="332"/>
        <v>59931.067287066238</v>
      </c>
      <c r="S243" s="56">
        <f t="shared" si="332"/>
        <v>64712.955914900464</v>
      </c>
      <c r="T243" s="56">
        <f t="shared" si="332"/>
        <v>69553.008177496173</v>
      </c>
    </row>
    <row r="244" spans="2:20" outlineLevel="1">
      <c r="B244" t="s">
        <v>191</v>
      </c>
      <c r="E244" s="61">
        <f>'Assumptions Working'!I879</f>
        <v>1420</v>
      </c>
      <c r="F244" s="61">
        <f>'Assumptions Working'!J879</f>
        <v>1188</v>
      </c>
      <c r="G244" s="61">
        <f>'Assumptions Working'!K879</f>
        <v>1089</v>
      </c>
      <c r="H244" s="61">
        <f>'Assumptions Working'!L879</f>
        <v>1386</v>
      </c>
      <c r="I244" s="61">
        <f>'Assumptions Working'!M879</f>
        <v>1425</v>
      </c>
      <c r="J244" s="61">
        <f>'Assumptions Working'!N879</f>
        <v>1488</v>
      </c>
      <c r="K244" s="56">
        <f>K243*K245</f>
        <v>672.38368400000024</v>
      </c>
      <c r="L244" s="56">
        <f t="shared" ref="L244:O244" si="333">L243*L245</f>
        <v>728.08852375200001</v>
      </c>
      <c r="M244" s="56">
        <f t="shared" si="333"/>
        <v>789.02108282552012</v>
      </c>
      <c r="N244" s="56">
        <f t="shared" si="333"/>
        <v>855.71283291880184</v>
      </c>
      <c r="O244" s="56">
        <f t="shared" si="333"/>
        <v>928.75201592165672</v>
      </c>
      <c r="P244" s="56">
        <f t="shared" ref="P244:T244" si="334">P243*P245</f>
        <v>1013.5309382218053</v>
      </c>
      <c r="Q244" s="56">
        <f t="shared" si="334"/>
        <v>1104.8162712272374</v>
      </c>
      <c r="R244" s="56">
        <f t="shared" si="334"/>
        <v>1198.6213457413248</v>
      </c>
      <c r="S244" s="56">
        <f t="shared" si="334"/>
        <v>1294.2591182980093</v>
      </c>
      <c r="T244" s="56">
        <f t="shared" si="334"/>
        <v>1391.0601635499236</v>
      </c>
    </row>
    <row r="245" spans="2:20" outlineLevel="1">
      <c r="B245" s="41" t="s">
        <v>671</v>
      </c>
      <c r="C245" s="41"/>
      <c r="D245" s="41"/>
      <c r="E245" s="244">
        <f t="shared" ref="E245:I245" si="335">E244/E243</f>
        <v>7.7769866914946056E-2</v>
      </c>
      <c r="F245" s="244">
        <f t="shared" si="335"/>
        <v>5.3639154776955029E-2</v>
      </c>
      <c r="G245" s="244">
        <f t="shared" si="335"/>
        <v>4.2315912181853509E-2</v>
      </c>
      <c r="H245" s="244">
        <f t="shared" si="335"/>
        <v>4.3700340522133937E-2</v>
      </c>
      <c r="I245" s="244">
        <f t="shared" si="335"/>
        <v>4.7883064516129031E-2</v>
      </c>
      <c r="J245" s="244">
        <f>J244/J243</f>
        <v>4.8662437046242395E-2</v>
      </c>
      <c r="K245" s="354">
        <f>'Control Sheet'!K177</f>
        <v>0.02</v>
      </c>
      <c r="L245" s="354">
        <f>'Control Sheet'!L177</f>
        <v>0.02</v>
      </c>
      <c r="M245" s="354">
        <f>'Control Sheet'!M177</f>
        <v>0.02</v>
      </c>
      <c r="N245" s="354">
        <f>'Control Sheet'!N177</f>
        <v>0.02</v>
      </c>
      <c r="O245" s="354">
        <f>'Control Sheet'!O177</f>
        <v>0.02</v>
      </c>
      <c r="P245" s="354">
        <f>'Control Sheet'!P177</f>
        <v>0.02</v>
      </c>
      <c r="Q245" s="354">
        <f>'Control Sheet'!Q177</f>
        <v>0.02</v>
      </c>
      <c r="R245" s="354">
        <f>'Control Sheet'!R177</f>
        <v>0.02</v>
      </c>
      <c r="S245" s="354">
        <f>'Control Sheet'!S177</f>
        <v>0.02</v>
      </c>
      <c r="T245" s="354">
        <f>'Control Sheet'!T177</f>
        <v>0.02</v>
      </c>
    </row>
    <row r="246" spans="2:20" outlineLevel="1">
      <c r="E246" s="206"/>
      <c r="F246" s="206"/>
      <c r="G246" s="206"/>
      <c r="H246" s="206"/>
      <c r="I246" s="206"/>
      <c r="J246" s="206"/>
      <c r="K246" s="206"/>
      <c r="L246" s="206"/>
      <c r="M246" s="206"/>
      <c r="N246" s="206"/>
      <c r="O246" s="206"/>
      <c r="P246" s="206"/>
      <c r="Q246" s="206"/>
      <c r="R246" s="206"/>
      <c r="S246" s="206"/>
      <c r="T246" s="206"/>
    </row>
    <row r="247" spans="2:20" outlineLevel="1">
      <c r="B247" s="38" t="s">
        <v>170</v>
      </c>
    </row>
    <row r="248" spans="2:20" outlineLevel="1">
      <c r="B248" t="s">
        <v>705</v>
      </c>
      <c r="E248" s="61">
        <f>'Balance Sheet'!D26</f>
        <v>0</v>
      </c>
      <c r="F248" s="61">
        <f>'Balance Sheet'!E26</f>
        <v>0</v>
      </c>
      <c r="G248" s="61">
        <f>'Balance Sheet'!F26</f>
        <v>0</v>
      </c>
      <c r="H248" s="61">
        <f>'Balance Sheet'!G26</f>
        <v>98</v>
      </c>
      <c r="I248" s="61">
        <f>'Balance Sheet'!H26</f>
        <v>13</v>
      </c>
      <c r="J248" s="61">
        <f>'Balance Sheet'!I26</f>
        <v>1</v>
      </c>
      <c r="K248" s="56">
        <f>J248*K249</f>
        <v>0</v>
      </c>
      <c r="L248" s="56">
        <f t="shared" ref="L248:O248" si="336">K248*L249</f>
        <v>0</v>
      </c>
      <c r="M248" s="56">
        <f t="shared" si="336"/>
        <v>0</v>
      </c>
      <c r="N248" s="56">
        <f t="shared" si="336"/>
        <v>0</v>
      </c>
      <c r="O248" s="56">
        <f t="shared" si="336"/>
        <v>0</v>
      </c>
      <c r="P248" s="56">
        <f t="shared" ref="P248" si="337">O248*P249</f>
        <v>0</v>
      </c>
      <c r="Q248" s="56">
        <f t="shared" ref="Q248" si="338">P248*Q249</f>
        <v>0</v>
      </c>
      <c r="R248" s="56">
        <f t="shared" ref="R248" si="339">Q248*R249</f>
        <v>0</v>
      </c>
      <c r="S248" s="56">
        <f t="shared" ref="S248" si="340">R248*S249</f>
        <v>0</v>
      </c>
      <c r="T248" s="56">
        <f t="shared" ref="T248" si="341">S248*T249</f>
        <v>0</v>
      </c>
    </row>
    <row r="249" spans="2:20" outlineLevel="1">
      <c r="B249" s="41" t="s">
        <v>704</v>
      </c>
      <c r="C249" s="41"/>
      <c r="D249" s="41"/>
      <c r="E249" s="244"/>
      <c r="F249" s="244"/>
      <c r="G249" s="244"/>
      <c r="H249" s="244"/>
      <c r="I249" s="244">
        <f t="shared" ref="I249:J249" si="342">I248/H248-1</f>
        <v>-0.86734693877551017</v>
      </c>
      <c r="J249" s="244">
        <f t="shared" si="342"/>
        <v>-0.92307692307692313</v>
      </c>
      <c r="K249" s="354">
        <f>'Control Sheet'!K197</f>
        <v>0</v>
      </c>
      <c r="L249" s="354">
        <f t="shared" ref="L249" si="343">K249</f>
        <v>0</v>
      </c>
      <c r="M249" s="354">
        <f t="shared" ref="M249" si="344">L249</f>
        <v>0</v>
      </c>
      <c r="N249" s="354">
        <f t="shared" ref="N249" si="345">M249</f>
        <v>0</v>
      </c>
      <c r="O249" s="354">
        <f t="shared" ref="O249" si="346">N249</f>
        <v>0</v>
      </c>
      <c r="P249" s="354">
        <f t="shared" ref="P249" si="347">O249</f>
        <v>0</v>
      </c>
      <c r="Q249" s="354">
        <f t="shared" ref="Q249" si="348">P249</f>
        <v>0</v>
      </c>
      <c r="R249" s="354">
        <f t="shared" ref="R249" si="349">Q249</f>
        <v>0</v>
      </c>
      <c r="S249" s="354">
        <f t="shared" ref="S249" si="350">R249</f>
        <v>0</v>
      </c>
      <c r="T249" s="354">
        <f t="shared" ref="T249" si="351">S249</f>
        <v>0</v>
      </c>
    </row>
    <row r="250" spans="2:20" outlineLevel="1">
      <c r="E250" s="206"/>
      <c r="F250" s="206"/>
      <c r="G250" s="206"/>
      <c r="H250" s="206"/>
      <c r="I250" s="206"/>
      <c r="J250" s="206"/>
      <c r="K250" s="206"/>
      <c r="L250" s="206"/>
      <c r="M250" s="206"/>
      <c r="N250" s="206"/>
      <c r="O250" s="206"/>
      <c r="P250" s="206"/>
      <c r="Q250" s="206"/>
      <c r="R250" s="206"/>
      <c r="S250" s="206"/>
      <c r="T250" s="206"/>
    </row>
    <row r="251" spans="2:20" outlineLevel="1">
      <c r="B251" s="38" t="s">
        <v>11</v>
      </c>
    </row>
    <row r="252" spans="2:20" outlineLevel="1">
      <c r="B252" t="s">
        <v>79</v>
      </c>
      <c r="E252" s="61">
        <f>-'3Statement Model'!D14</f>
        <v>18259</v>
      </c>
      <c r="F252" s="61">
        <f>-'3Statement Model'!E14</f>
        <v>22148</v>
      </c>
      <c r="G252" s="61">
        <f>-'3Statement Model'!F14</f>
        <v>25735</v>
      </c>
      <c r="H252" s="61">
        <f>-'3Statement Model'!G14</f>
        <v>31716</v>
      </c>
      <c r="I252" s="61">
        <f>-'3Statement Model'!H14</f>
        <v>29760</v>
      </c>
      <c r="J252" s="61">
        <f>-'3Statement Model'!I14</f>
        <v>30578</v>
      </c>
      <c r="K252" s="61">
        <f>-'3Statement Model'!J14</f>
        <v>33619.184200000011</v>
      </c>
      <c r="L252" s="61">
        <f>-'3Statement Model'!K14</f>
        <v>36404.426187600002</v>
      </c>
      <c r="M252" s="61">
        <f>-'3Statement Model'!L14</f>
        <v>39451.054141276007</v>
      </c>
      <c r="N252" s="61">
        <f>-'3Statement Model'!M14</f>
        <v>42785.641645940093</v>
      </c>
      <c r="O252" s="61">
        <f>-'3Statement Model'!N14</f>
        <v>46437.600796082836</v>
      </c>
      <c r="P252" s="61">
        <f>-'3Statement Model'!O14</f>
        <v>50676.546911090263</v>
      </c>
      <c r="Q252" s="61">
        <f>-'3Statement Model'!P14</f>
        <v>55240.813561361872</v>
      </c>
      <c r="R252" s="61">
        <f>-'3Statement Model'!Q14</f>
        <v>59931.067287066238</v>
      </c>
      <c r="S252" s="61">
        <f>-'3Statement Model'!R14</f>
        <v>64712.955914900464</v>
      </c>
      <c r="T252" s="61">
        <f>-'3Statement Model'!S14</f>
        <v>69553.008177496173</v>
      </c>
    </row>
    <row r="253" spans="2:20" outlineLevel="1">
      <c r="B253" t="s">
        <v>11</v>
      </c>
      <c r="E253" s="61">
        <f>'Balance Sheet'!D28</f>
        <v>7535</v>
      </c>
      <c r="F253" s="61">
        <f>'Balance Sheet'!E28</f>
        <v>8802</v>
      </c>
      <c r="G253" s="61">
        <f>'Balance Sheet'!F28</f>
        <v>9068</v>
      </c>
      <c r="H253" s="61">
        <f>'Balance Sheet'!G28</f>
        <v>9574</v>
      </c>
      <c r="I253" s="61">
        <f>'Balance Sheet'!H28</f>
        <v>10486</v>
      </c>
      <c r="J253" s="61">
        <f>'Balance Sheet'!I28</f>
        <v>11315</v>
      </c>
      <c r="K253" s="56">
        <f>(K254/$O$215)*K252</f>
        <v>14737.176635616443</v>
      </c>
      <c r="L253" s="56">
        <f t="shared" ref="L253" si="352">(L254/$O$215)*L252</f>
        <v>15958.104630180822</v>
      </c>
      <c r="M253" s="56">
        <f t="shared" ref="M253" si="353">(M254/$O$215)*M252</f>
        <v>17293.612774257974</v>
      </c>
      <c r="N253" s="56">
        <f t="shared" ref="N253" si="354">(N254/$O$215)*N252</f>
        <v>18755.349762603877</v>
      </c>
      <c r="O253" s="56">
        <f t="shared" ref="O253:T253" si="355">(O254/$O$215)*O252</f>
        <v>20356.208568145899</v>
      </c>
      <c r="P253" s="56">
        <f t="shared" si="355"/>
        <v>22214.376728149156</v>
      </c>
      <c r="Q253" s="56">
        <f t="shared" si="355"/>
        <v>24215.151150186026</v>
      </c>
      <c r="R253" s="56">
        <f t="shared" si="355"/>
        <v>26271.152783371501</v>
      </c>
      <c r="S253" s="56">
        <f t="shared" si="355"/>
        <v>28367.323140778284</v>
      </c>
      <c r="T253" s="56">
        <f t="shared" si="355"/>
        <v>30488.989886025716</v>
      </c>
    </row>
    <row r="254" spans="2:20" outlineLevel="1">
      <c r="B254" s="41" t="s">
        <v>82</v>
      </c>
      <c r="C254" s="41"/>
      <c r="D254" s="41"/>
      <c r="E254" s="95">
        <f t="shared" ref="E254:I254" si="356">(E253/E252)*$O$215</f>
        <v>150.62571882359384</v>
      </c>
      <c r="F254" s="95">
        <f t="shared" si="356"/>
        <v>145.05734152067905</v>
      </c>
      <c r="G254" s="95">
        <f t="shared" si="356"/>
        <v>128.61161841849619</v>
      </c>
      <c r="H254" s="95">
        <f t="shared" si="356"/>
        <v>110.18129650649514</v>
      </c>
      <c r="I254" s="95">
        <f t="shared" si="356"/>
        <v>128.60853494623657</v>
      </c>
      <c r="J254" s="95">
        <f>(J253/J252)*$O$215</f>
        <v>135.06360782261757</v>
      </c>
      <c r="K254" s="280">
        <v>160</v>
      </c>
      <c r="L254" s="280">
        <f t="shared" ref="L254:O254" si="357">K254</f>
        <v>160</v>
      </c>
      <c r="M254" s="280">
        <f t="shared" si="357"/>
        <v>160</v>
      </c>
      <c r="N254" s="280">
        <f t="shared" si="357"/>
        <v>160</v>
      </c>
      <c r="O254" s="280">
        <f t="shared" si="357"/>
        <v>160</v>
      </c>
      <c r="P254" s="280">
        <f t="shared" ref="P254" si="358">O254</f>
        <v>160</v>
      </c>
      <c r="Q254" s="280">
        <f t="shared" ref="Q254" si="359">P254</f>
        <v>160</v>
      </c>
      <c r="R254" s="280">
        <f t="shared" ref="R254" si="360">Q254</f>
        <v>160</v>
      </c>
      <c r="S254" s="280">
        <f t="shared" ref="S254" si="361">R254</f>
        <v>160</v>
      </c>
      <c r="T254" s="280">
        <f t="shared" ref="T254" si="362">S254</f>
        <v>160</v>
      </c>
    </row>
    <row r="255" spans="2:20" outlineLevel="1">
      <c r="E255" s="355"/>
      <c r="F255" s="355"/>
      <c r="G255" s="355"/>
      <c r="H255" s="355"/>
      <c r="I255" s="355"/>
      <c r="J255" s="355"/>
      <c r="K255" s="356"/>
      <c r="L255" s="356"/>
      <c r="M255" s="356"/>
      <c r="N255" s="356"/>
      <c r="O255" s="356"/>
      <c r="P255" s="356"/>
      <c r="Q255" s="356"/>
      <c r="R255" s="356"/>
      <c r="S255" s="356"/>
      <c r="T255" s="356"/>
    </row>
    <row r="256" spans="2:20" outlineLevel="1"/>
    <row r="257" spans="2:20" outlineLevel="1">
      <c r="B257" s="38" t="s">
        <v>84</v>
      </c>
    </row>
    <row r="258" spans="2:20" outlineLevel="1"/>
    <row r="259" spans="2:20" outlineLevel="1">
      <c r="B259" s="96" t="s">
        <v>85</v>
      </c>
      <c r="F259" s="64">
        <f t="shared" ref="F259:J259" si="363">F219-E219</f>
        <v>609</v>
      </c>
      <c r="G259" s="64">
        <f t="shared" si="363"/>
        <v>478</v>
      </c>
      <c r="H259" s="64">
        <f t="shared" si="363"/>
        <v>843</v>
      </c>
      <c r="I259" s="64">
        <f t="shared" si="363"/>
        <v>-82</v>
      </c>
      <c r="J259" s="64">
        <f t="shared" si="363"/>
        <v>822</v>
      </c>
      <c r="K259" s="64">
        <f>K219-J219</f>
        <v>-435.46454794520469</v>
      </c>
      <c r="L259" s="64">
        <f>L219-K219</f>
        <v>-111.75592767123362</v>
      </c>
      <c r="M259" s="64">
        <f>M219-L219</f>
        <v>290.24164436164392</v>
      </c>
      <c r="N259" s="64">
        <f>N219-M219</f>
        <v>319.06517633578233</v>
      </c>
      <c r="O259" s="64">
        <f>O219-N219</f>
        <v>350.97364829653861</v>
      </c>
      <c r="P259" s="64">
        <f t="shared" ref="P259:T259" si="364">P219-O219</f>
        <v>386.3135467782231</v>
      </c>
      <c r="Q259" s="64">
        <f t="shared" si="364"/>
        <v>415.96141830288434</v>
      </c>
      <c r="R259" s="64">
        <f t="shared" si="364"/>
        <v>427.4431669824271</v>
      </c>
      <c r="S259" s="64">
        <f t="shared" si="364"/>
        <v>435.79425309912313</v>
      </c>
      <c r="T259" s="64">
        <f t="shared" si="364"/>
        <v>441.09495743189837</v>
      </c>
    </row>
    <row r="260" spans="2:20" outlineLevel="1">
      <c r="B260" s="96" t="s">
        <v>86</v>
      </c>
      <c r="F260" s="64">
        <f t="shared" ref="F260:J260" si="365">F224-E224</f>
        <v>812</v>
      </c>
      <c r="G260" s="64">
        <f t="shared" si="365"/>
        <v>517</v>
      </c>
      <c r="H260" s="64">
        <f t="shared" si="365"/>
        <v>155</v>
      </c>
      <c r="I260" s="64">
        <f t="shared" si="365"/>
        <v>-229</v>
      </c>
      <c r="J260" s="64">
        <f t="shared" si="365"/>
        <v>393</v>
      </c>
      <c r="K260" s="64">
        <f>K224-J224</f>
        <v>1111.4412383561657</v>
      </c>
      <c r="L260" s="64">
        <f>L224-K224</f>
        <v>457.84799796164225</v>
      </c>
      <c r="M260" s="64">
        <f>M224-L224</f>
        <v>500.81555402893264</v>
      </c>
      <c r="N260" s="64">
        <f>N224-M224</f>
        <v>548.1513706297128</v>
      </c>
      <c r="O260" s="64">
        <f>O224-N224</f>
        <v>600.32205207825882</v>
      </c>
      <c r="P260" s="64">
        <f t="shared" ref="P260:T260" si="366">P224-O224</f>
        <v>696.81306000122095</v>
      </c>
      <c r="Q260" s="64">
        <f t="shared" si="366"/>
        <v>750.29040826382698</v>
      </c>
      <c r="R260" s="64">
        <f t="shared" si="366"/>
        <v>771.00061244455173</v>
      </c>
      <c r="S260" s="64">
        <f t="shared" si="366"/>
        <v>786.06388402754419</v>
      </c>
      <c r="T260" s="64">
        <f t="shared" si="366"/>
        <v>795.62502946778841</v>
      </c>
    </row>
    <row r="261" spans="2:20" outlineLevel="1">
      <c r="B261" s="96" t="s">
        <v>87</v>
      </c>
      <c r="F261" s="64">
        <f t="shared" ref="F261:J261" si="367">F229-E229</f>
        <v>-105</v>
      </c>
      <c r="G261" s="64">
        <f t="shared" si="367"/>
        <v>187</v>
      </c>
      <c r="H261" s="64">
        <f t="shared" si="367"/>
        <v>56</v>
      </c>
      <c r="I261" s="64">
        <f t="shared" si="367"/>
        <v>-32</v>
      </c>
      <c r="J261" s="64">
        <f t="shared" si="367"/>
        <v>253</v>
      </c>
      <c r="K261" s="64">
        <f>K229-J229</f>
        <v>-291.89419999999984</v>
      </c>
      <c r="L261" s="64">
        <f>L229-K229</f>
        <v>60.268903999999907</v>
      </c>
      <c r="M261" s="64">
        <f>M229-L229</f>
        <v>66.211375120000071</v>
      </c>
      <c r="N261" s="64">
        <f>N229-M229</f>
        <v>72.786743351600308</v>
      </c>
      <c r="O261" s="64">
        <f>O229-N229</f>
        <v>80.065863517647813</v>
      </c>
      <c r="P261" s="64">
        <f t="shared" ref="P261:T261" si="368">P229-O229</f>
        <v>88.127777858782224</v>
      </c>
      <c r="Q261" s="64">
        <f t="shared" si="368"/>
        <v>94.89119855034528</v>
      </c>
      <c r="R261" s="64">
        <f t="shared" si="368"/>
        <v>97.510472467866293</v>
      </c>
      <c r="S261" s="64">
        <f t="shared" si="368"/>
        <v>99.415563988237636</v>
      </c>
      <c r="T261" s="64">
        <f t="shared" si="368"/>
        <v>100.62478716415171</v>
      </c>
    </row>
    <row r="262" spans="2:20" outlineLevel="1">
      <c r="B262" s="96" t="s">
        <v>672</v>
      </c>
      <c r="F262" s="64">
        <f t="shared" ref="F262:J262" si="369">F234-E234</f>
        <v>1454</v>
      </c>
      <c r="G262" s="64">
        <f t="shared" si="369"/>
        <v>812</v>
      </c>
      <c r="H262" s="64">
        <f t="shared" si="369"/>
        <v>-708</v>
      </c>
      <c r="I262" s="64">
        <f t="shared" si="369"/>
        <v>1747</v>
      </c>
      <c r="J262" s="64">
        <f t="shared" si="369"/>
        <v>-807</v>
      </c>
      <c r="K262" s="64">
        <f>K234-J234</f>
        <v>0</v>
      </c>
      <c r="L262" s="64">
        <f>L234-K234</f>
        <v>0</v>
      </c>
      <c r="M262" s="64">
        <f>M234-L234</f>
        <v>0</v>
      </c>
      <c r="N262" s="64">
        <f>N234-M234</f>
        <v>0</v>
      </c>
      <c r="O262" s="64">
        <f>O234-N234</f>
        <v>0</v>
      </c>
      <c r="P262" s="64">
        <f t="shared" ref="P262:T262" si="370">P234-O234</f>
        <v>0</v>
      </c>
      <c r="Q262" s="64">
        <f t="shared" si="370"/>
        <v>0</v>
      </c>
      <c r="R262" s="64">
        <f t="shared" si="370"/>
        <v>0</v>
      </c>
      <c r="S262" s="64">
        <f t="shared" si="370"/>
        <v>0</v>
      </c>
      <c r="T262" s="64">
        <f t="shared" si="370"/>
        <v>0</v>
      </c>
    </row>
    <row r="263" spans="2:20" outlineLevel="1">
      <c r="B263" s="96" t="s">
        <v>673</v>
      </c>
      <c r="F263" s="64">
        <f t="shared" ref="F263:J263" si="371">F239-E239</f>
        <v>0</v>
      </c>
      <c r="G263" s="64">
        <f t="shared" si="371"/>
        <v>35</v>
      </c>
      <c r="H263" s="64">
        <f t="shared" si="371"/>
        <v>1</v>
      </c>
      <c r="I263" s="64">
        <f t="shared" si="371"/>
        <v>2</v>
      </c>
      <c r="J263" s="64">
        <f t="shared" si="371"/>
        <v>8</v>
      </c>
      <c r="K263" s="64">
        <f>K239-J239</f>
        <v>0</v>
      </c>
      <c r="L263" s="64">
        <f>L239-K239</f>
        <v>0</v>
      </c>
      <c r="M263" s="64">
        <f>M239-L239</f>
        <v>0</v>
      </c>
      <c r="N263" s="64">
        <f>N239-M239</f>
        <v>0</v>
      </c>
      <c r="O263" s="64">
        <f>O239-N239</f>
        <v>0</v>
      </c>
      <c r="P263" s="64">
        <f t="shared" ref="P263:T263" si="372">P239-O239</f>
        <v>0</v>
      </c>
      <c r="Q263" s="64">
        <f t="shared" si="372"/>
        <v>0</v>
      </c>
      <c r="R263" s="64">
        <f t="shared" si="372"/>
        <v>0</v>
      </c>
      <c r="S263" s="64">
        <f t="shared" si="372"/>
        <v>0</v>
      </c>
      <c r="T263" s="64">
        <f t="shared" si="372"/>
        <v>0</v>
      </c>
    </row>
    <row r="264" spans="2:20" outlineLevel="1">
      <c r="B264" s="96" t="s">
        <v>674</v>
      </c>
      <c r="F264" s="64">
        <f t="shared" ref="F264:J264" si="373">F244-E244</f>
        <v>-232</v>
      </c>
      <c r="G264" s="64">
        <f t="shared" si="373"/>
        <v>-99</v>
      </c>
      <c r="H264" s="64">
        <f t="shared" si="373"/>
        <v>297</v>
      </c>
      <c r="I264" s="64">
        <f t="shared" si="373"/>
        <v>39</v>
      </c>
      <c r="J264" s="64">
        <f t="shared" si="373"/>
        <v>63</v>
      </c>
      <c r="K264" s="64">
        <f>K244-J244</f>
        <v>-815.61631599999976</v>
      </c>
      <c r="L264" s="64">
        <f>L244-K244</f>
        <v>55.704839751999771</v>
      </c>
      <c r="M264" s="64">
        <f>M244-L244</f>
        <v>60.93255907352011</v>
      </c>
      <c r="N264" s="64">
        <f>N244-M244</f>
        <v>66.691750093281712</v>
      </c>
      <c r="O264" s="64">
        <f>O244-N244</f>
        <v>73.039183002854884</v>
      </c>
      <c r="P264" s="64">
        <f t="shared" ref="P264:T264" si="374">P244-O244</f>
        <v>84.778922300148565</v>
      </c>
      <c r="Q264" s="64">
        <f t="shared" si="374"/>
        <v>91.285333005432108</v>
      </c>
      <c r="R264" s="64">
        <f t="shared" si="374"/>
        <v>93.805074514087437</v>
      </c>
      <c r="S264" s="64">
        <f t="shared" si="374"/>
        <v>95.637772556684467</v>
      </c>
      <c r="T264" s="64">
        <f t="shared" si="374"/>
        <v>96.801045251914275</v>
      </c>
    </row>
    <row r="265" spans="2:20" outlineLevel="1">
      <c r="B265" s="97" t="s">
        <v>88</v>
      </c>
      <c r="C265" s="39"/>
      <c r="D265" s="39"/>
      <c r="E265" s="39"/>
      <c r="F265" s="328">
        <f t="shared" ref="F265:J265" si="375">SUM(F259:F264)</f>
        <v>2538</v>
      </c>
      <c r="G265" s="328">
        <f t="shared" si="375"/>
        <v>1930</v>
      </c>
      <c r="H265" s="328">
        <f t="shared" si="375"/>
        <v>644</v>
      </c>
      <c r="I265" s="328">
        <f t="shared" si="375"/>
        <v>1445</v>
      </c>
      <c r="J265" s="328">
        <f t="shared" si="375"/>
        <v>732</v>
      </c>
      <c r="K265" s="328">
        <f>SUM(K259:K264)</f>
        <v>-431.53382558903854</v>
      </c>
      <c r="L265" s="328">
        <f t="shared" ref="L265:O265" si="376">SUM(L259:L264)</f>
        <v>462.06581404240831</v>
      </c>
      <c r="M265" s="328">
        <f t="shared" si="376"/>
        <v>918.20113258409674</v>
      </c>
      <c r="N265" s="328">
        <f t="shared" si="376"/>
        <v>1006.6950404103771</v>
      </c>
      <c r="O265" s="328">
        <f t="shared" si="376"/>
        <v>1104.4007468953</v>
      </c>
      <c r="P265" s="328">
        <f t="shared" ref="P265:T265" si="377">SUM(P259:P264)</f>
        <v>1256.0333069383751</v>
      </c>
      <c r="Q265" s="328">
        <f t="shared" si="377"/>
        <v>1352.4283581224886</v>
      </c>
      <c r="R265" s="328">
        <f t="shared" si="377"/>
        <v>1389.7593264089326</v>
      </c>
      <c r="S265" s="328">
        <f t="shared" si="377"/>
        <v>1416.9114736715894</v>
      </c>
      <c r="T265" s="328">
        <f t="shared" si="377"/>
        <v>1434.1458193157528</v>
      </c>
    </row>
    <row r="266" spans="2:20" outlineLevel="1"/>
    <row r="267" spans="2:20" outlineLevel="1">
      <c r="B267" s="96" t="s">
        <v>89</v>
      </c>
      <c r="F267" s="64">
        <f t="shared" ref="F267:J267" si="378">F253-E253</f>
        <v>1267</v>
      </c>
      <c r="G267" s="64">
        <f t="shared" si="378"/>
        <v>266</v>
      </c>
      <c r="H267" s="64">
        <f t="shared" si="378"/>
        <v>506</v>
      </c>
      <c r="I267" s="64">
        <f t="shared" si="378"/>
        <v>912</v>
      </c>
      <c r="J267" s="64">
        <f t="shared" si="378"/>
        <v>829</v>
      </c>
      <c r="K267" s="64">
        <f>K253-J253</f>
        <v>3422.1766356164426</v>
      </c>
      <c r="L267" s="64">
        <f>L253-K253</f>
        <v>1220.9279945643793</v>
      </c>
      <c r="M267" s="64">
        <f>M253-L253</f>
        <v>1335.5081440771519</v>
      </c>
      <c r="N267" s="64">
        <f>N253-M253</f>
        <v>1461.7369883459032</v>
      </c>
      <c r="O267" s="64">
        <f>O253-N253</f>
        <v>1600.8588055420223</v>
      </c>
      <c r="P267" s="64">
        <f t="shared" ref="P267:T267" si="379">P253-O253</f>
        <v>1858.1681600032571</v>
      </c>
      <c r="Q267" s="64">
        <f t="shared" si="379"/>
        <v>2000.7744220368695</v>
      </c>
      <c r="R267" s="64">
        <f t="shared" si="379"/>
        <v>2056.0016331854749</v>
      </c>
      <c r="S267" s="64">
        <f t="shared" si="379"/>
        <v>2096.1703574067833</v>
      </c>
      <c r="T267" s="64">
        <f t="shared" si="379"/>
        <v>2121.6667452474321</v>
      </c>
    </row>
    <row r="268" spans="2:20" outlineLevel="1">
      <c r="B268" s="97" t="s">
        <v>90</v>
      </c>
      <c r="C268" s="39"/>
      <c r="D268" s="39"/>
      <c r="E268" s="39"/>
      <c r="F268" s="328">
        <f t="shared" ref="F268:J268" si="380">SUM(F267:F267)</f>
        <v>1267</v>
      </c>
      <c r="G268" s="328">
        <f t="shared" si="380"/>
        <v>266</v>
      </c>
      <c r="H268" s="328">
        <f t="shared" si="380"/>
        <v>506</v>
      </c>
      <c r="I268" s="328">
        <f t="shared" si="380"/>
        <v>912</v>
      </c>
      <c r="J268" s="328">
        <f t="shared" si="380"/>
        <v>829</v>
      </c>
      <c r="K268" s="328">
        <f>K267</f>
        <v>3422.1766356164426</v>
      </c>
      <c r="L268" s="328">
        <f>SUM(L267:L267)</f>
        <v>1220.9279945643793</v>
      </c>
      <c r="M268" s="328">
        <f>SUM(M267:M267)</f>
        <v>1335.5081440771519</v>
      </c>
      <c r="N268" s="328">
        <f>SUM(N267:N267)</f>
        <v>1461.7369883459032</v>
      </c>
      <c r="O268" s="328">
        <f>SUM(O267:O267)</f>
        <v>1600.8588055420223</v>
      </c>
      <c r="P268" s="328">
        <f t="shared" ref="P268:T268" si="381">SUM(P267:P267)</f>
        <v>1858.1681600032571</v>
      </c>
      <c r="Q268" s="328">
        <f t="shared" si="381"/>
        <v>2000.7744220368695</v>
      </c>
      <c r="R268" s="328">
        <f t="shared" si="381"/>
        <v>2056.0016331854749</v>
      </c>
      <c r="S268" s="328">
        <f t="shared" si="381"/>
        <v>2096.1703574067833</v>
      </c>
      <c r="T268" s="328">
        <f t="shared" si="381"/>
        <v>2121.6667452474321</v>
      </c>
    </row>
    <row r="269" spans="2:20" outlineLevel="1"/>
    <row r="270" spans="2:20" ht="15" outlineLevel="1" thickBot="1">
      <c r="B270" s="98" t="s">
        <v>91</v>
      </c>
      <c r="C270" s="53"/>
      <c r="D270" s="53"/>
      <c r="E270" s="53"/>
      <c r="F270" s="375">
        <f t="shared" ref="F270:J270" si="382">F265-F268</f>
        <v>1271</v>
      </c>
      <c r="G270" s="375">
        <f t="shared" si="382"/>
        <v>1664</v>
      </c>
      <c r="H270" s="375">
        <f t="shared" si="382"/>
        <v>138</v>
      </c>
      <c r="I270" s="375">
        <f t="shared" si="382"/>
        <v>533</v>
      </c>
      <c r="J270" s="375">
        <f t="shared" si="382"/>
        <v>-97</v>
      </c>
      <c r="K270" s="375">
        <f>K265-K268</f>
        <v>-3853.7104612054809</v>
      </c>
      <c r="L270" s="375">
        <f>L265-L268</f>
        <v>-758.86218052197103</v>
      </c>
      <c r="M270" s="375">
        <f>M265-M268</f>
        <v>-417.30701149305514</v>
      </c>
      <c r="N270" s="375">
        <f>N265-N268</f>
        <v>-455.04194793552608</v>
      </c>
      <c r="O270" s="375">
        <f>O265-O268</f>
        <v>-496.45805864672229</v>
      </c>
      <c r="P270" s="375">
        <f t="shared" ref="P270:T270" si="383">P265-P268</f>
        <v>-602.13485306488201</v>
      </c>
      <c r="Q270" s="375">
        <f t="shared" si="383"/>
        <v>-648.34606391438092</v>
      </c>
      <c r="R270" s="375">
        <f t="shared" si="383"/>
        <v>-666.24230677654236</v>
      </c>
      <c r="S270" s="375">
        <f t="shared" si="383"/>
        <v>-679.25888373519388</v>
      </c>
      <c r="T270" s="375">
        <f t="shared" si="383"/>
        <v>-687.52092593167936</v>
      </c>
    </row>
  </sheetData>
  <mergeCells count="3">
    <mergeCell ref="K8:O8"/>
    <mergeCell ref="E8:J8"/>
    <mergeCell ref="P8:T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4" r:id="rId3" name="Drop Down 2">
              <controlPr defaultSize="0" autoLine="0" autoPict="0">
                <anchor moveWithCells="1">
                  <from>
                    <xdr:col>10</xdr:col>
                    <xdr:colOff>30480</xdr:colOff>
                    <xdr:row>2</xdr:row>
                    <xdr:rowOff>220980</xdr:rowOff>
                  </from>
                  <to>
                    <xdr:col>11</xdr:col>
                    <xdr:colOff>563880</xdr:colOff>
                    <xdr:row>4</xdr:row>
                    <xdr:rowOff>15240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5226-956B-4CB0-A76F-C12721786FFC}">
  <dimension ref="A2:V165"/>
  <sheetViews>
    <sheetView showGridLines="0" zoomScale="90" zoomScaleNormal="90" workbookViewId="0">
      <pane xSplit="1" ySplit="9" topLeftCell="B101" activePane="bottomRight" state="frozen"/>
      <selection pane="topRight" activeCell="B1" sqref="B1"/>
      <selection pane="bottomLeft" activeCell="A10" sqref="A10"/>
      <selection pane="bottomRight" activeCell="S95" sqref="S95"/>
    </sheetView>
  </sheetViews>
  <sheetFormatPr defaultRowHeight="14.4"/>
  <cols>
    <col min="1" max="1" width="1.88671875" customWidth="1"/>
    <col min="2" max="2" width="38.21875" customWidth="1"/>
    <col min="3" max="3" width="12.109375" customWidth="1"/>
    <col min="4" max="19" width="10.77734375" customWidth="1"/>
    <col min="20" max="20" width="3.77734375" customWidth="1"/>
    <col min="25" max="25" width="20.6640625" bestFit="1" customWidth="1"/>
  </cols>
  <sheetData>
    <row r="2" spans="1:22" ht="21">
      <c r="B2" s="13" t="str">
        <f>'Input Sheet'!C6</f>
        <v>Hindustan Unilever Ltd.</v>
      </c>
      <c r="C2" s="13"/>
      <c r="D2" s="13"/>
      <c r="E2" s="13"/>
    </row>
    <row r="3" spans="1:22" ht="18">
      <c r="B3" s="15" t="s">
        <v>45</v>
      </c>
      <c r="C3" s="15"/>
      <c r="D3" s="15"/>
      <c r="E3" s="15"/>
    </row>
    <row r="4" spans="1:22">
      <c r="I4" t="s">
        <v>39</v>
      </c>
    </row>
    <row r="7" spans="1:22">
      <c r="U7" s="20" t="s">
        <v>61</v>
      </c>
    </row>
    <row r="8" spans="1:22">
      <c r="D8" s="708" t="s">
        <v>24</v>
      </c>
      <c r="E8" s="708"/>
      <c r="F8" s="708"/>
      <c r="G8" s="708"/>
      <c r="H8" s="708"/>
      <c r="I8" s="708"/>
      <c r="J8" s="707" t="s">
        <v>25</v>
      </c>
      <c r="K8" s="707"/>
      <c r="L8" s="707"/>
      <c r="M8" s="707"/>
      <c r="N8" s="707"/>
      <c r="O8" s="708" t="s">
        <v>1056</v>
      </c>
      <c r="P8" s="708"/>
      <c r="Q8" s="708"/>
      <c r="R8" s="708"/>
      <c r="S8" s="708"/>
      <c r="T8" s="20"/>
      <c r="U8" s="70" t="s">
        <v>59</v>
      </c>
      <c r="V8" s="70" t="s">
        <v>60</v>
      </c>
    </row>
    <row r="9" spans="1:22">
      <c r="B9" s="16" t="s">
        <v>1300</v>
      </c>
      <c r="C9" s="16"/>
      <c r="D9" s="19">
        <v>2020</v>
      </c>
      <c r="E9" s="19">
        <f>D9+1</f>
        <v>2021</v>
      </c>
      <c r="F9" s="19">
        <f t="shared" ref="F9:I9" si="0">E9+1</f>
        <v>2022</v>
      </c>
      <c r="G9" s="19">
        <f t="shared" si="0"/>
        <v>2023</v>
      </c>
      <c r="H9" s="19">
        <f t="shared" si="0"/>
        <v>2024</v>
      </c>
      <c r="I9" s="19">
        <f t="shared" si="0"/>
        <v>2025</v>
      </c>
      <c r="J9" s="19">
        <f>I9+1</f>
        <v>2026</v>
      </c>
      <c r="K9" s="19">
        <f>J9+1</f>
        <v>2027</v>
      </c>
      <c r="L9" s="19">
        <f t="shared" ref="L9:N9" si="1">K9+1</f>
        <v>2028</v>
      </c>
      <c r="M9" s="19">
        <f t="shared" si="1"/>
        <v>2029</v>
      </c>
      <c r="N9" s="19">
        <f t="shared" si="1"/>
        <v>2030</v>
      </c>
      <c r="O9" s="19">
        <f t="shared" ref="O9" si="2">N9+1</f>
        <v>2031</v>
      </c>
      <c r="P9" s="19">
        <f t="shared" ref="P9" si="3">O9+1</f>
        <v>2032</v>
      </c>
      <c r="Q9" s="19">
        <f t="shared" ref="Q9" si="4">P9+1</f>
        <v>2033</v>
      </c>
      <c r="R9" s="19">
        <f t="shared" ref="R9" si="5">Q9+1</f>
        <v>2034</v>
      </c>
      <c r="S9" s="19">
        <f t="shared" ref="S9" si="6">R9+1</f>
        <v>2035</v>
      </c>
    </row>
    <row r="11" spans="1:22" ht="18">
      <c r="A11" t="s">
        <v>27</v>
      </c>
      <c r="B11" s="68" t="s">
        <v>58</v>
      </c>
      <c r="C11" s="68"/>
      <c r="D11" s="68"/>
      <c r="E11" s="68"/>
      <c r="F11" s="69"/>
      <c r="G11" s="70"/>
      <c r="H11" s="70"/>
      <c r="I11" s="70"/>
      <c r="J11" s="70"/>
      <c r="K11" s="70"/>
      <c r="L11" s="70"/>
      <c r="M11" s="70"/>
      <c r="N11" s="70"/>
      <c r="O11" s="70"/>
      <c r="P11" s="70"/>
      <c r="Q11" s="70"/>
      <c r="R11" s="70"/>
      <c r="S11" s="70"/>
    </row>
    <row r="13" spans="1:22">
      <c r="B13" s="71" t="s">
        <v>642</v>
      </c>
      <c r="C13" s="71"/>
      <c r="D13" s="80">
        <f>INDEX(' Income Statement'!$D$7:$I$62,MATCH('3Statement Model'!$B13,' Income Statement'!$B$7:$B$62,0),MATCH('3Statement Model'!D$9,' Income Statement'!$D$6:$I$6,))</f>
        <v>39783</v>
      </c>
      <c r="E13" s="80">
        <f>Schedules!F20</f>
        <v>47028</v>
      </c>
      <c r="F13" s="80">
        <f>Schedules!G20</f>
        <v>52446</v>
      </c>
      <c r="G13" s="80">
        <f>Schedules!H20</f>
        <v>60590</v>
      </c>
      <c r="H13" s="80">
        <f>Schedules!I20</f>
        <v>61836</v>
      </c>
      <c r="I13" s="80">
        <f>Schedules!J20</f>
        <v>63121</v>
      </c>
      <c r="J13" s="80">
        <f>Schedules!K20</f>
        <v>68610.580000000016</v>
      </c>
      <c r="K13" s="80">
        <f>Schedules!L20</f>
        <v>74637.470400000006</v>
      </c>
      <c r="L13" s="80">
        <f>Schedules!M20</f>
        <v>81258.607912000007</v>
      </c>
      <c r="M13" s="80">
        <f>Schedules!N20</f>
        <v>88537.282247160038</v>
      </c>
      <c r="N13" s="80">
        <f>Schedules!O20</f>
        <v>96543.868598924819</v>
      </c>
      <c r="O13" s="80">
        <f>Schedules!P20</f>
        <v>105356.64638480304</v>
      </c>
      <c r="P13" s="80">
        <f>Schedules!Q20</f>
        <v>114845.76623983758</v>
      </c>
      <c r="Q13" s="80">
        <f>Schedules!R20</f>
        <v>124596.8134866242</v>
      </c>
      <c r="R13" s="80">
        <f>Schedules!S20</f>
        <v>134538.36988544796</v>
      </c>
      <c r="S13" s="80">
        <f>Schedules!T20</f>
        <v>144600.84860186314</v>
      </c>
      <c r="U13" s="51">
        <f>_xlfn.RRI(5,I13,N13)</f>
        <v>8.8704869363385397E-2</v>
      </c>
      <c r="V13" s="51">
        <f>_xlfn.RRI(3,I13,L13)</f>
        <v>8.7840363879400085E-2</v>
      </c>
    </row>
    <row r="14" spans="1:22">
      <c r="B14" s="74" t="s">
        <v>4</v>
      </c>
      <c r="C14" s="74"/>
      <c r="D14" s="80">
        <f>' Income Statement'!D20</f>
        <v>-18259</v>
      </c>
      <c r="E14" s="80">
        <f>' Income Statement'!E20</f>
        <v>-22148</v>
      </c>
      <c r="F14" s="80">
        <f>' Income Statement'!F20</f>
        <v>-25735</v>
      </c>
      <c r="G14" s="80">
        <f>' Income Statement'!G20</f>
        <v>-31716</v>
      </c>
      <c r="H14" s="80">
        <f>' Income Statement'!H20</f>
        <v>-29760</v>
      </c>
      <c r="I14" s="80">
        <f>' Income Statement'!I20</f>
        <v>-30578</v>
      </c>
      <c r="J14" s="80">
        <f>-Schedules!K40</f>
        <v>-33619.184200000011</v>
      </c>
      <c r="K14" s="80">
        <f>-Schedules!L40</f>
        <v>-36404.426187600002</v>
      </c>
      <c r="L14" s="80">
        <f>-Schedules!M40</f>
        <v>-39451.054141276007</v>
      </c>
      <c r="M14" s="80">
        <f>-Schedules!N40</f>
        <v>-42785.641645940093</v>
      </c>
      <c r="N14" s="80">
        <f>-Schedules!O40</f>
        <v>-46437.600796082836</v>
      </c>
      <c r="O14" s="80">
        <f>-Schedules!P40</f>
        <v>-50676.546911090263</v>
      </c>
      <c r="P14" s="80">
        <f>-Schedules!Q40</f>
        <v>-55240.813561361872</v>
      </c>
      <c r="Q14" s="80">
        <f>-Schedules!R40</f>
        <v>-59931.067287066238</v>
      </c>
      <c r="R14" s="80">
        <f>-Schedules!S40</f>
        <v>-64712.955914900464</v>
      </c>
      <c r="S14" s="80">
        <f>-Schedules!T40</f>
        <v>-69553.008177496173</v>
      </c>
      <c r="U14" s="51">
        <f>_xlfn.RRI(5,I14,N14)</f>
        <v>8.7156681952681225E-2</v>
      </c>
      <c r="V14" s="51">
        <f>_xlfn.RRI(3,I14,L14)</f>
        <v>8.8637220119737847E-2</v>
      </c>
    </row>
    <row r="15" spans="1:22">
      <c r="B15" s="79" t="s">
        <v>3</v>
      </c>
      <c r="C15" s="82"/>
      <c r="D15" s="82">
        <f t="shared" ref="D15:I15" si="7">SUM(D13:D14)</f>
        <v>21524</v>
      </c>
      <c r="E15" s="82">
        <f t="shared" si="7"/>
        <v>24880</v>
      </c>
      <c r="F15" s="82">
        <f t="shared" si="7"/>
        <v>26711</v>
      </c>
      <c r="G15" s="82">
        <f t="shared" si="7"/>
        <v>28874</v>
      </c>
      <c r="H15" s="82">
        <f t="shared" si="7"/>
        <v>32076</v>
      </c>
      <c r="I15" s="82">
        <f t="shared" si="7"/>
        <v>32543</v>
      </c>
      <c r="J15" s="82">
        <f>SUM(J13:J14)</f>
        <v>34991.395800000006</v>
      </c>
      <c r="K15" s="82">
        <f t="shared" ref="K15:N15" si="8">SUM(K13:K14)</f>
        <v>38233.044212400004</v>
      </c>
      <c r="L15" s="82">
        <f t="shared" si="8"/>
        <v>41807.553770724</v>
      </c>
      <c r="M15" s="82">
        <f t="shared" si="8"/>
        <v>45751.640601219944</v>
      </c>
      <c r="N15" s="82">
        <f t="shared" si="8"/>
        <v>50106.267802841983</v>
      </c>
      <c r="O15" s="82">
        <f t="shared" ref="O15:S15" si="9">SUM(O13:O14)</f>
        <v>54680.099473712777</v>
      </c>
      <c r="P15" s="82">
        <f t="shared" si="9"/>
        <v>59604.952678475711</v>
      </c>
      <c r="Q15" s="82">
        <f t="shared" si="9"/>
        <v>64665.746199557965</v>
      </c>
      <c r="R15" s="82">
        <f t="shared" si="9"/>
        <v>69825.413970547495</v>
      </c>
      <c r="S15" s="82">
        <f t="shared" si="9"/>
        <v>75047.840424366965</v>
      </c>
      <c r="V15" s="51"/>
    </row>
    <row r="16" spans="1:22">
      <c r="B16" s="72"/>
      <c r="C16" s="72"/>
      <c r="D16" s="78"/>
      <c r="E16" s="78"/>
      <c r="F16" s="78"/>
      <c r="G16" s="78"/>
      <c r="H16" s="78"/>
      <c r="I16" s="78"/>
      <c r="V16" s="51"/>
    </row>
    <row r="17" spans="2:22">
      <c r="B17" s="73" t="s">
        <v>511</v>
      </c>
      <c r="C17" s="73"/>
      <c r="D17" s="78"/>
      <c r="E17" s="78"/>
      <c r="F17" s="78"/>
      <c r="G17" s="78"/>
      <c r="H17" s="78"/>
      <c r="I17" s="78"/>
      <c r="V17" s="51"/>
    </row>
    <row r="18" spans="2:22">
      <c r="B18" s="74" t="s">
        <v>210</v>
      </c>
      <c r="C18" s="74"/>
      <c r="D18" s="80">
        <f>' Income Statement'!D33</f>
        <v>-1820</v>
      </c>
      <c r="E18" s="80">
        <f>' Income Statement'!E33</f>
        <v>-2358</v>
      </c>
      <c r="F18" s="80">
        <f>' Income Statement'!F33</f>
        <v>-2545</v>
      </c>
      <c r="G18" s="80">
        <f>' Income Statement'!G33</f>
        <v>-2854</v>
      </c>
      <c r="H18" s="80">
        <f>' Income Statement'!H33</f>
        <v>-3009</v>
      </c>
      <c r="I18" s="80">
        <f>' Income Statement'!I33</f>
        <v>-3077</v>
      </c>
      <c r="J18" s="80">
        <f>-Schedules!K51</f>
        <v>-3293.3078400000009</v>
      </c>
      <c r="K18" s="80">
        <f>-Schedules!L51</f>
        <v>-3582.5985792000001</v>
      </c>
      <c r="L18" s="80">
        <f>-Schedules!M51</f>
        <v>-3900.4131797760006</v>
      </c>
      <c r="M18" s="80">
        <f>-Schedules!N51</f>
        <v>-4249.7895478636819</v>
      </c>
      <c r="N18" s="80">
        <f>-Schedules!O51</f>
        <v>-4634.1056927483914</v>
      </c>
      <c r="O18" s="80">
        <f>-Schedules!P51</f>
        <v>-5057.1190264705456</v>
      </c>
      <c r="P18" s="80">
        <f>-Schedules!Q51</f>
        <v>-5512.5967795122042</v>
      </c>
      <c r="Q18" s="80">
        <f>-Schedules!R51</f>
        <v>-5980.647047357962</v>
      </c>
      <c r="R18" s="80">
        <f>-Schedules!S51</f>
        <v>-6457.8417545015018</v>
      </c>
      <c r="S18" s="80">
        <f>-Schedules!T51</f>
        <v>-6940.8407328894309</v>
      </c>
      <c r="U18" s="51">
        <f>_xlfn.RRI(5,I18,N18)</f>
        <v>8.53446946951395E-2</v>
      </c>
      <c r="V18" s="51">
        <f>_xlfn.RRI(3,I18,L18)</f>
        <v>8.2250278750307437E-2</v>
      </c>
    </row>
    <row r="19" spans="2:22">
      <c r="B19" s="74" t="s">
        <v>510</v>
      </c>
      <c r="C19" s="74"/>
      <c r="D19" s="80">
        <f>' Income Statement'!D34</f>
        <v>-9843</v>
      </c>
      <c r="E19" s="80">
        <f>' Income Statement'!E34</f>
        <v>-10896</v>
      </c>
      <c r="F19" s="80">
        <f>' Income Statement'!F34</f>
        <v>-11309</v>
      </c>
      <c r="G19" s="80">
        <f>' Income Statement'!G34</f>
        <v>-11861</v>
      </c>
      <c r="H19" s="80">
        <f>' Income Statement'!H34</f>
        <v>-14464</v>
      </c>
      <c r="I19" s="80">
        <f>' Income Statement'!I34</f>
        <v>-14615</v>
      </c>
      <c r="J19" s="80">
        <f>-Schedules!K60</f>
        <v>-15917.654560000004</v>
      </c>
      <c r="K19" s="80">
        <f>-Schedules!L60</f>
        <v>-17315.893132800004</v>
      </c>
      <c r="L19" s="80">
        <f>-Schedules!M60</f>
        <v>-18851.997035584001</v>
      </c>
      <c r="M19" s="80">
        <f>-Schedules!N60</f>
        <v>-20540.64948134113</v>
      </c>
      <c r="N19" s="80">
        <f>-Schedules!O60</f>
        <v>-22398.177514950559</v>
      </c>
      <c r="O19" s="80">
        <f>-Schedules!P60</f>
        <v>-24442.741961274307</v>
      </c>
      <c r="P19" s="80">
        <f>-Schedules!Q60</f>
        <v>-26644.21776764232</v>
      </c>
      <c r="Q19" s="80">
        <f>-Schedules!R60</f>
        <v>-28906.460728896818</v>
      </c>
      <c r="R19" s="80">
        <f>-Schedules!S60</f>
        <v>-31212.901813423927</v>
      </c>
      <c r="S19" s="80">
        <f>-Schedules!T60</f>
        <v>-33547.39687563225</v>
      </c>
      <c r="U19" s="51">
        <f>_xlfn.RRI(5,I19,N19)</f>
        <v>8.9137653135997308E-2</v>
      </c>
      <c r="V19" s="51">
        <f>_xlfn.RRI(3,I19,L19)</f>
        <v>8.8561192899166086E-2</v>
      </c>
    </row>
    <row r="20" spans="2:22">
      <c r="B20" s="77" t="s">
        <v>1</v>
      </c>
      <c r="C20" s="77"/>
      <c r="D20" s="86">
        <f t="shared" ref="D20:F20" si="10">SUM(D18:D19)</f>
        <v>-11663</v>
      </c>
      <c r="E20" s="86">
        <f t="shared" si="10"/>
        <v>-13254</v>
      </c>
      <c r="F20" s="86">
        <f t="shared" si="10"/>
        <v>-13854</v>
      </c>
      <c r="G20" s="86">
        <f t="shared" ref="G20:N20" si="11">SUM(G18:G19)</f>
        <v>-14715</v>
      </c>
      <c r="H20" s="86">
        <f t="shared" si="11"/>
        <v>-17473</v>
      </c>
      <c r="I20" s="86">
        <f>SUM(I18:I19)</f>
        <v>-17692</v>
      </c>
      <c r="J20" s="86">
        <f t="shared" si="11"/>
        <v>-19210.962400000004</v>
      </c>
      <c r="K20" s="86">
        <f t="shared" si="11"/>
        <v>-20898.491712000003</v>
      </c>
      <c r="L20" s="86">
        <f t="shared" si="11"/>
        <v>-22752.410215360003</v>
      </c>
      <c r="M20" s="86">
        <f t="shared" si="11"/>
        <v>-24790.439029204812</v>
      </c>
      <c r="N20" s="86">
        <f t="shared" si="11"/>
        <v>-27032.283207698951</v>
      </c>
      <c r="O20" s="86">
        <f t="shared" ref="O20:S20" si="12">SUM(O18:O19)</f>
        <v>-29499.860987744854</v>
      </c>
      <c r="P20" s="86">
        <f t="shared" si="12"/>
        <v>-32156.814547154525</v>
      </c>
      <c r="Q20" s="86">
        <f t="shared" si="12"/>
        <v>-34887.107776254779</v>
      </c>
      <c r="R20" s="86">
        <f t="shared" si="12"/>
        <v>-37670.743567925427</v>
      </c>
      <c r="S20" s="86">
        <f t="shared" si="12"/>
        <v>-40488.237608521682</v>
      </c>
      <c r="U20" s="51"/>
      <c r="V20" s="51"/>
    </row>
    <row r="21" spans="2:22">
      <c r="B21" s="85"/>
      <c r="C21" s="85"/>
      <c r="D21" s="83"/>
      <c r="E21" s="83"/>
      <c r="F21" s="83"/>
      <c r="G21" s="83"/>
      <c r="H21" s="83"/>
      <c r="I21" s="83"/>
      <c r="J21" s="84"/>
      <c r="K21" s="84"/>
      <c r="L21" s="84"/>
      <c r="M21" s="84"/>
      <c r="N21" s="84"/>
      <c r="O21" s="84"/>
      <c r="P21" s="84"/>
      <c r="Q21" s="84"/>
      <c r="R21" s="84"/>
      <c r="S21" s="84"/>
      <c r="V21" s="51"/>
    </row>
    <row r="22" spans="2:22">
      <c r="B22" s="77" t="s">
        <v>63</v>
      </c>
      <c r="C22" s="77"/>
      <c r="D22" s="82">
        <f t="shared" ref="D22:F22" si="13">D15+D20</f>
        <v>9861</v>
      </c>
      <c r="E22" s="82">
        <f t="shared" si="13"/>
        <v>11626</v>
      </c>
      <c r="F22" s="82">
        <f t="shared" si="13"/>
        <v>12857</v>
      </c>
      <c r="G22" s="82">
        <f t="shared" ref="G22:N22" si="14">G15+G20</f>
        <v>14159</v>
      </c>
      <c r="H22" s="82">
        <f t="shared" si="14"/>
        <v>14603</v>
      </c>
      <c r="I22" s="82">
        <f t="shared" si="14"/>
        <v>14851</v>
      </c>
      <c r="J22" s="82">
        <f t="shared" si="14"/>
        <v>15780.433400000002</v>
      </c>
      <c r="K22" s="82">
        <f t="shared" si="14"/>
        <v>17334.552500400001</v>
      </c>
      <c r="L22" s="82">
        <f t="shared" si="14"/>
        <v>19055.143555363997</v>
      </c>
      <c r="M22" s="82">
        <f t="shared" si="14"/>
        <v>20961.201572015132</v>
      </c>
      <c r="N22" s="82">
        <f t="shared" si="14"/>
        <v>23073.984595143032</v>
      </c>
      <c r="O22" s="82">
        <f t="shared" ref="O22:S22" si="15">O15+O20</f>
        <v>25180.238485967922</v>
      </c>
      <c r="P22" s="82">
        <f t="shared" si="15"/>
        <v>27448.138131321186</v>
      </c>
      <c r="Q22" s="82">
        <f t="shared" si="15"/>
        <v>29778.638423303186</v>
      </c>
      <c r="R22" s="82">
        <f t="shared" si="15"/>
        <v>32154.670402622069</v>
      </c>
      <c r="S22" s="82">
        <f t="shared" si="15"/>
        <v>34559.602815845283</v>
      </c>
      <c r="U22" s="51"/>
      <c r="V22" s="51"/>
    </row>
    <row r="23" spans="2:22">
      <c r="B23" s="85"/>
      <c r="C23" s="85"/>
      <c r="D23" s="84"/>
      <c r="E23" s="84"/>
      <c r="F23" s="84"/>
      <c r="G23" s="84"/>
      <c r="H23" s="84"/>
      <c r="I23" s="84"/>
      <c r="J23" s="84"/>
      <c r="K23" s="84"/>
      <c r="L23" s="84"/>
      <c r="M23" s="84"/>
      <c r="N23" s="84"/>
      <c r="O23" s="84"/>
      <c r="P23" s="84"/>
      <c r="Q23" s="84"/>
      <c r="R23" s="84"/>
      <c r="S23" s="84"/>
      <c r="U23" s="51"/>
      <c r="V23" s="51"/>
    </row>
    <row r="24" spans="2:22">
      <c r="B24" s="331" t="s">
        <v>622</v>
      </c>
      <c r="C24" s="331"/>
      <c r="D24" s="332">
        <f>D22/D13</f>
        <v>0.24786969308498605</v>
      </c>
      <c r="E24" s="332">
        <f t="shared" ref="E24:N24" si="16">E22/E13</f>
        <v>0.24721442544866887</v>
      </c>
      <c r="F24" s="332">
        <f t="shared" si="16"/>
        <v>0.24514738969606834</v>
      </c>
      <c r="G24" s="332">
        <f t="shared" si="16"/>
        <v>0.23368542663805908</v>
      </c>
      <c r="H24" s="332">
        <f t="shared" si="16"/>
        <v>0.23615693123746684</v>
      </c>
      <c r="I24" s="332">
        <f t="shared" si="16"/>
        <v>0.23527827505901364</v>
      </c>
      <c r="J24" s="332">
        <f t="shared" si="16"/>
        <v>0.22999999999999998</v>
      </c>
      <c r="K24" s="332">
        <f t="shared" si="16"/>
        <v>0.23224999999999998</v>
      </c>
      <c r="L24" s="332">
        <f t="shared" si="16"/>
        <v>0.23449999999999993</v>
      </c>
      <c r="M24" s="332">
        <f t="shared" si="16"/>
        <v>0.23674999999999993</v>
      </c>
      <c r="N24" s="332">
        <f t="shared" si="16"/>
        <v>0.23900000000000002</v>
      </c>
      <c r="O24" s="332">
        <f t="shared" ref="O24:R24" si="17">O22/O13</f>
        <v>0.23899999999999996</v>
      </c>
      <c r="P24" s="332">
        <f>P22/P13</f>
        <v>0.23900000000000002</v>
      </c>
      <c r="Q24" s="332">
        <f t="shared" si="17"/>
        <v>0.23900000000000002</v>
      </c>
      <c r="R24" s="332">
        <f t="shared" si="17"/>
        <v>0.23900000000000005</v>
      </c>
      <c r="S24" s="332">
        <f>S22/S13</f>
        <v>0.23899999999999996</v>
      </c>
      <c r="U24" s="51"/>
      <c r="V24" s="51"/>
    </row>
    <row r="25" spans="2:22">
      <c r="B25" s="85"/>
      <c r="C25" s="85"/>
      <c r="D25" s="84"/>
      <c r="E25" s="84"/>
      <c r="F25" s="84"/>
      <c r="G25" s="84"/>
      <c r="H25" s="84"/>
      <c r="I25" s="84"/>
      <c r="J25" s="84"/>
      <c r="K25" s="84"/>
      <c r="L25" s="84"/>
      <c r="M25" s="84"/>
      <c r="N25" s="84"/>
      <c r="O25" s="84"/>
      <c r="P25" s="84"/>
      <c r="Q25" s="84"/>
      <c r="R25" s="84"/>
      <c r="S25" s="84"/>
      <c r="V25" s="51"/>
    </row>
    <row r="26" spans="2:22">
      <c r="B26" s="85"/>
      <c r="C26" s="85"/>
      <c r="D26" s="84"/>
      <c r="E26" s="84"/>
      <c r="F26" s="84"/>
      <c r="G26" s="84"/>
      <c r="H26" s="84"/>
      <c r="I26" s="84"/>
      <c r="J26" s="84"/>
      <c r="K26" s="84"/>
      <c r="L26" s="84"/>
      <c r="M26" s="84"/>
      <c r="N26" s="84"/>
      <c r="O26" s="84"/>
      <c r="P26" s="84"/>
      <c r="Q26" s="84"/>
      <c r="R26" s="84"/>
      <c r="S26" s="84"/>
      <c r="V26" s="51"/>
    </row>
    <row r="27" spans="2:22">
      <c r="B27" s="85" t="s">
        <v>55</v>
      </c>
      <c r="C27" s="74"/>
      <c r="D27" s="80">
        <f>' Income Statement'!D41</f>
        <v>-1002</v>
      </c>
      <c r="E27" s="80">
        <f>Schedules!F146</f>
        <v>-1074</v>
      </c>
      <c r="F27" s="80">
        <f>Schedules!G146</f>
        <v>-1091</v>
      </c>
      <c r="G27" s="80">
        <f>Schedules!H146</f>
        <v>-1137</v>
      </c>
      <c r="H27" s="80">
        <f>Schedules!I146</f>
        <v>-1216</v>
      </c>
      <c r="I27" s="80">
        <f>Schedules!J146</f>
        <v>-1355</v>
      </c>
      <c r="J27" s="80">
        <f>Schedules!K146</f>
        <v>-1530.8597253333724</v>
      </c>
      <c r="K27" s="80">
        <f>Schedules!L146</f>
        <v>-1704.3912115585131</v>
      </c>
      <c r="L27" s="80">
        <f>Schedules!M146</f>
        <v>-1893.4359820496011</v>
      </c>
      <c r="M27" s="80">
        <f>Schedules!N146</f>
        <v>-2099.5431930776549</v>
      </c>
      <c r="N27" s="80">
        <f>Schedules!O146</f>
        <v>-2324.4284281738655</v>
      </c>
      <c r="O27" s="80">
        <f>Schedules!P146</f>
        <v>-2570.2639595177616</v>
      </c>
      <c r="P27" s="80">
        <f>Schedules!Q146</f>
        <v>-2838.3242828338425</v>
      </c>
      <c r="Q27" s="80">
        <f>Schedules!R146</f>
        <v>-3128.4551149139679</v>
      </c>
      <c r="R27" s="80">
        <f>Schedules!S146</f>
        <v>-3441.0550283374305</v>
      </c>
      <c r="S27" s="80">
        <f>Schedules!T146</f>
        <v>-3776.3995588114567</v>
      </c>
      <c r="U27" s="51">
        <f>_xlfn.RRI(5,I27,N27)</f>
        <v>0.11397482602659048</v>
      </c>
      <c r="V27" s="51">
        <f>_xlfn.RRI(3,I27,L27)</f>
        <v>0.11798791818817467</v>
      </c>
    </row>
    <row r="28" spans="2:22">
      <c r="B28" s="79" t="s">
        <v>64</v>
      </c>
      <c r="C28" s="79"/>
      <c r="D28" s="86">
        <f t="shared" ref="D28:F28" si="18">SUM(D22,D27:D27)</f>
        <v>8859</v>
      </c>
      <c r="E28" s="86">
        <f t="shared" si="18"/>
        <v>10552</v>
      </c>
      <c r="F28" s="86">
        <f t="shared" si="18"/>
        <v>11766</v>
      </c>
      <c r="G28" s="86">
        <f t="shared" ref="G28:N28" si="19">SUM(G22,G27:G27)</f>
        <v>13022</v>
      </c>
      <c r="H28" s="86">
        <f t="shared" si="19"/>
        <v>13387</v>
      </c>
      <c r="I28" s="86">
        <f>SUM(I22,I27:I27)</f>
        <v>13496</v>
      </c>
      <c r="J28" s="86">
        <f t="shared" si="19"/>
        <v>14249.57367466663</v>
      </c>
      <c r="K28" s="86">
        <f t="shared" si="19"/>
        <v>15630.161288841487</v>
      </c>
      <c r="L28" s="86">
        <f t="shared" si="19"/>
        <v>17161.707573314394</v>
      </c>
      <c r="M28" s="86">
        <f t="shared" si="19"/>
        <v>18861.658378937478</v>
      </c>
      <c r="N28" s="86">
        <f t="shared" si="19"/>
        <v>20749.556166969167</v>
      </c>
      <c r="O28" s="86">
        <f t="shared" ref="O28:S28" si="20">SUM(O22,O27:O27)</f>
        <v>22609.974526450162</v>
      </c>
      <c r="P28" s="86">
        <f t="shared" si="20"/>
        <v>24609.813848487342</v>
      </c>
      <c r="Q28" s="86">
        <f t="shared" si="20"/>
        <v>26650.18330838922</v>
      </c>
      <c r="R28" s="86">
        <f t="shared" si="20"/>
        <v>28713.615374284636</v>
      </c>
      <c r="S28" s="86">
        <f t="shared" si="20"/>
        <v>30783.203257033827</v>
      </c>
      <c r="U28" s="51"/>
      <c r="V28" s="51"/>
    </row>
    <row r="29" spans="2:22">
      <c r="B29" s="8"/>
      <c r="C29" s="8"/>
      <c r="D29" s="330"/>
      <c r="E29" s="330"/>
      <c r="F29" s="330"/>
      <c r="G29" s="330"/>
      <c r="H29" s="330"/>
      <c r="I29" s="330"/>
      <c r="J29" s="330"/>
      <c r="K29" s="330"/>
      <c r="L29" s="330"/>
      <c r="M29" s="330"/>
      <c r="N29" s="330"/>
      <c r="O29" s="330"/>
      <c r="P29" s="330"/>
      <c r="Q29" s="330"/>
      <c r="R29" s="330"/>
      <c r="S29" s="330"/>
      <c r="U29" s="51"/>
      <c r="V29" s="51"/>
    </row>
    <row r="30" spans="2:22">
      <c r="B30" s="331" t="s">
        <v>623</v>
      </c>
      <c r="C30" s="331"/>
      <c r="D30" s="332">
        <f>D28/D13</f>
        <v>0.22268305557650253</v>
      </c>
      <c r="E30" s="332">
        <f t="shared" ref="E30:N30" si="21">E28/E13</f>
        <v>0.22437696691332823</v>
      </c>
      <c r="F30" s="332">
        <f t="shared" si="21"/>
        <v>0.22434504061320215</v>
      </c>
      <c r="G30" s="332">
        <f t="shared" si="21"/>
        <v>0.21491995378775375</v>
      </c>
      <c r="H30" s="332">
        <f t="shared" si="21"/>
        <v>0.21649201112620481</v>
      </c>
      <c r="I30" s="332">
        <f t="shared" si="21"/>
        <v>0.2138115682577906</v>
      </c>
      <c r="J30" s="332">
        <f t="shared" si="21"/>
        <v>0.20768770173152051</v>
      </c>
      <c r="K30" s="332">
        <f t="shared" si="21"/>
        <v>0.20941440278020845</v>
      </c>
      <c r="L30" s="332">
        <f t="shared" si="21"/>
        <v>0.21119864115688361</v>
      </c>
      <c r="M30" s="332">
        <f t="shared" si="21"/>
        <v>0.21303633791562981</v>
      </c>
      <c r="N30" s="332">
        <f t="shared" si="21"/>
        <v>0.2149236038299821</v>
      </c>
      <c r="O30" s="332">
        <f t="shared" ref="O30:S30" si="22">O28/O13</f>
        <v>0.21460415932251514</v>
      </c>
      <c r="P30" s="332">
        <f t="shared" si="22"/>
        <v>0.21428577347025191</v>
      </c>
      <c r="Q30" s="332">
        <f t="shared" si="22"/>
        <v>0.21389137139731257</v>
      </c>
      <c r="R30" s="332">
        <f t="shared" si="22"/>
        <v>0.21342324422938011</v>
      </c>
      <c r="S30" s="332">
        <f t="shared" si="22"/>
        <v>0.21288397374340992</v>
      </c>
      <c r="U30" s="51"/>
      <c r="V30" s="51"/>
    </row>
    <row r="31" spans="2:22">
      <c r="B31" s="8"/>
      <c r="C31" s="8"/>
      <c r="D31" s="330"/>
      <c r="E31" s="330"/>
      <c r="F31" s="330"/>
      <c r="G31" s="330"/>
      <c r="H31" s="330"/>
      <c r="I31" s="330"/>
      <c r="J31" s="330"/>
      <c r="K31" s="330"/>
      <c r="L31" s="330"/>
      <c r="M31" s="330"/>
      <c r="N31" s="330"/>
      <c r="O31" s="330"/>
      <c r="P31" s="330"/>
      <c r="Q31" s="330"/>
      <c r="R31" s="330"/>
      <c r="S31" s="330"/>
      <c r="U31" s="51"/>
      <c r="V31" s="51"/>
    </row>
    <row r="32" spans="2:22">
      <c r="B32" s="63" t="s">
        <v>231</v>
      </c>
      <c r="C32" s="74"/>
      <c r="D32" s="80">
        <f>INDEX(' Income Statement'!$D$7:$I$62,MATCH('3Statement Model'!$B32,' Income Statement'!$B$7:$B$62,0),MATCH('3Statement Model'!D$9,' Income Statement'!$D$6:$I$6,))</f>
        <v>-118</v>
      </c>
      <c r="E32" s="80">
        <f>INDEX(' Income Statement'!$D$7:$I$62,MATCH('3Statement Model'!$B32,' Income Statement'!$B$7:$B$62,0),MATCH('3Statement Model'!E$9,' Income Statement'!$D$6:$I$6,))</f>
        <v>-117</v>
      </c>
      <c r="F32" s="80">
        <f>INDEX(' Income Statement'!$D$7:$I$62,MATCH('3Statement Model'!$B32,' Income Statement'!$B$7:$B$62,0),MATCH('3Statement Model'!F$9,' Income Statement'!$D$6:$I$6,))</f>
        <v>-106</v>
      </c>
      <c r="G32" s="80">
        <f>INDEX(' Income Statement'!$D$7:$I$62,MATCH('3Statement Model'!$B32,' Income Statement'!$B$7:$B$62,0),MATCH('3Statement Model'!G$9,' Income Statement'!$D$6:$I$6,))</f>
        <v>-114</v>
      </c>
      <c r="H32" s="80">
        <f>INDEX(' Income Statement'!$D$7:$I$62,MATCH('3Statement Model'!$B32,' Income Statement'!$B$7:$B$62,0),MATCH('3Statement Model'!H$9,' Income Statement'!$D$6:$I$6,))</f>
        <v>-334</v>
      </c>
      <c r="I32" s="80">
        <f>INDEX(' Income Statement'!$D$7:$I$62,MATCH('3Statement Model'!$B32,' Income Statement'!$B$7:$B$62,0),MATCH('3Statement Model'!I$9,' Income Statement'!$D$6:$I$6,))</f>
        <v>-395</v>
      </c>
      <c r="J32" s="80">
        <f>-Schedules!K202</f>
        <v>-266.84209150348255</v>
      </c>
      <c r="K32" s="80">
        <f>-Schedules!L202</f>
        <v>-290.28203385054121</v>
      </c>
      <c r="L32" s="80">
        <f>-Schedules!M202</f>
        <v>-316.03313786152967</v>
      </c>
      <c r="M32" s="80">
        <f>-Schedules!N202</f>
        <v>-344.34155156342263</v>
      </c>
      <c r="N32" s="80">
        <f>-Schedules!O202</f>
        <v>-375.48098002923871</v>
      </c>
      <c r="O32" s="80">
        <f>-Schedules!P202</f>
        <v>-409.75586965033176</v>
      </c>
      <c r="P32" s="80">
        <f>-Schedules!Q202</f>
        <v>-446.66120682492846</v>
      </c>
      <c r="Q32" s="80">
        <f>-Schedules!R202</f>
        <v>-484.58523897393252</v>
      </c>
      <c r="R32" s="80">
        <f>-Schedules!S202</f>
        <v>-523.25020438104548</v>
      </c>
      <c r="S32" s="80">
        <f>-Schedules!T202</f>
        <v>-562.38546408002355</v>
      </c>
      <c r="U32" s="91">
        <f>_xlfn.RRI(5,I32,N32)</f>
        <v>-1.0084397485720986E-2</v>
      </c>
      <c r="V32" s="91">
        <f>_xlfn.RRI(3,I32,L32)</f>
        <v>-7.1649784553443285E-2</v>
      </c>
    </row>
    <row r="33" spans="2:22">
      <c r="B33" s="63" t="s">
        <v>233</v>
      </c>
      <c r="C33" s="74"/>
      <c r="D33" s="80">
        <f>INDEX(' Income Statement'!$D$7:$I$62,MATCH('3Statement Model'!$B33,' Income Statement'!$B$7:$B$62,0),MATCH('3Statement Model'!D$9,' Income Statement'!$D$6:$I$6,))</f>
        <v>632</v>
      </c>
      <c r="E33" s="80">
        <f>INDEX(' Income Statement'!$D$7:$I$62,MATCH('3Statement Model'!$B33,' Income Statement'!$B$7:$B$62,0),MATCH('3Statement Model'!E$9,' Income Statement'!$D$6:$I$6,))</f>
        <v>410</v>
      </c>
      <c r="F33" s="80">
        <f>INDEX(' Income Statement'!$D$7:$I$62,MATCH('3Statement Model'!$B33,' Income Statement'!$B$7:$B$62,0),MATCH('3Statement Model'!F$9,' Income Statement'!$D$6:$I$6,))</f>
        <v>258</v>
      </c>
      <c r="G33" s="80">
        <f>INDEX(' Income Statement'!$D$7:$I$62,MATCH('3Statement Model'!$B33,' Income Statement'!$B$7:$B$62,0),MATCH('3Statement Model'!G$9,' Income Statement'!$D$6:$I$6,))</f>
        <v>512</v>
      </c>
      <c r="H33" s="80">
        <f>INDEX(' Income Statement'!$D$7:$I$62,MATCH('3Statement Model'!$B33,' Income Statement'!$B$7:$B$62,0),MATCH('3Statement Model'!H$9,' Income Statement'!$D$6:$I$6,))</f>
        <v>811</v>
      </c>
      <c r="I33" s="80">
        <f>INDEX(' Income Statement'!$D$7:$I$62,MATCH('3Statement Model'!$B33,' Income Statement'!$B$7:$B$62,0),MATCH('3Statement Model'!I$9,' Income Statement'!$D$6:$I$6,))</f>
        <v>1017</v>
      </c>
      <c r="J33" s="80">
        <f>Schedules!K32</f>
        <v>1017</v>
      </c>
      <c r="K33" s="80">
        <f>Schedules!L32</f>
        <v>1017</v>
      </c>
      <c r="L33" s="80">
        <f>Schedules!M32</f>
        <v>1017</v>
      </c>
      <c r="M33" s="80">
        <f>Schedules!N32</f>
        <v>1017</v>
      </c>
      <c r="N33" s="80">
        <f>Schedules!O32</f>
        <v>1017</v>
      </c>
      <c r="O33" s="80">
        <f>Schedules!P32</f>
        <v>1017</v>
      </c>
      <c r="P33" s="80">
        <f>Schedules!Q32</f>
        <v>1017</v>
      </c>
      <c r="Q33" s="80">
        <f>Schedules!R32</f>
        <v>1017</v>
      </c>
      <c r="R33" s="80">
        <f>Schedules!S32</f>
        <v>1017</v>
      </c>
      <c r="S33" s="80">
        <f>Schedules!T32</f>
        <v>1017</v>
      </c>
      <c r="U33" s="91">
        <f>_xlfn.RRI(5,I33,N33)</f>
        <v>0</v>
      </c>
      <c r="V33" s="91">
        <f>_xlfn.RRI(3,I33,L33)</f>
        <v>0</v>
      </c>
    </row>
    <row r="34" spans="2:22">
      <c r="B34" s="63" t="s">
        <v>643</v>
      </c>
      <c r="C34" s="74"/>
      <c r="D34" s="327">
        <f>INDEX(' Income Statement'!$D$7:$I$62,MATCH('3Statement Model'!$B34,' Income Statement'!$B$7:$B$62,0),MATCH('3Statement Model'!D$9,' Income Statement'!$D$6:$I$6,))</f>
        <v>0</v>
      </c>
      <c r="E34" s="327">
        <f>INDEX(' Income Statement'!$D$7:$I$62,MATCH('3Statement Model'!$B34,' Income Statement'!$B$7:$B$62,0),MATCH('3Statement Model'!E$9,' Income Statement'!$D$6:$I$6,))</f>
        <v>0</v>
      </c>
      <c r="F34" s="327">
        <f>INDEX(' Income Statement'!$D$7:$I$62,MATCH('3Statement Model'!$B34,' Income Statement'!$B$7:$B$62,0),MATCH('3Statement Model'!F$9,' Income Statement'!$D$6:$I$6,))</f>
        <v>0</v>
      </c>
      <c r="G34" s="327">
        <f>INDEX(' Income Statement'!$D$7:$I$62,MATCH('3Statement Model'!$B34,' Income Statement'!$B$7:$B$62,0),MATCH('3Statement Model'!G$9,' Income Statement'!$D$6:$I$6,))</f>
        <v>-1</v>
      </c>
      <c r="H34" s="327">
        <f>INDEX(' Income Statement'!$D$7:$I$62,MATCH('3Statement Model'!$B34,' Income Statement'!$B$7:$B$62,0),MATCH('3Statement Model'!H$9,' Income Statement'!$D$6:$I$6,))</f>
        <v>-4</v>
      </c>
      <c r="I34" s="327">
        <f>INDEX(' Income Statement'!$D$7:$I$62,MATCH('3Statement Model'!$B34,' Income Statement'!$B$7:$B$62,0),MATCH('3Statement Model'!I$9,' Income Statement'!$D$6:$I$6,))</f>
        <v>-8</v>
      </c>
      <c r="J34" s="385">
        <v>0</v>
      </c>
      <c r="K34" s="385">
        <v>0</v>
      </c>
      <c r="L34" s="385">
        <v>0</v>
      </c>
      <c r="M34" s="385">
        <v>0</v>
      </c>
      <c r="N34" s="385">
        <v>0</v>
      </c>
      <c r="O34" s="385">
        <v>0</v>
      </c>
      <c r="P34" s="385">
        <v>0</v>
      </c>
      <c r="Q34" s="385">
        <v>0</v>
      </c>
      <c r="R34" s="385">
        <v>0</v>
      </c>
      <c r="S34" s="385">
        <v>0</v>
      </c>
      <c r="U34" s="91"/>
      <c r="V34" s="91"/>
    </row>
    <row r="35" spans="2:22">
      <c r="B35" s="63" t="s">
        <v>644</v>
      </c>
      <c r="C35" s="74"/>
      <c r="D35" s="80">
        <f>INDEX(' Income Statement'!$D$7:$I$62,MATCH('3Statement Model'!$B35,' Income Statement'!$B$7:$B$62,0),MATCH('3Statement Model'!D$9,' Income Statement'!$D$6:$I$6,))</f>
        <v>-200</v>
      </c>
      <c r="E35" s="80">
        <f>INDEX(' Income Statement'!$D$7:$I$62,MATCH('3Statement Model'!$B35,' Income Statement'!$B$7:$B$62,0),MATCH('3Statement Model'!E$9,' Income Statement'!$D$6:$I$6,))</f>
        <v>-239</v>
      </c>
      <c r="F35" s="80">
        <f>INDEX(' Income Statement'!$D$7:$I$62,MATCH('3Statement Model'!$B35,' Income Statement'!$B$7:$B$62,0),MATCH('3Statement Model'!F$9,' Income Statement'!$D$6:$I$6,))</f>
        <v>-44</v>
      </c>
      <c r="G35" s="80">
        <f>INDEX(' Income Statement'!$D$7:$I$62,MATCH('3Statement Model'!$B35,' Income Statement'!$B$7:$B$62,0),MATCH('3Statement Model'!G$9,' Income Statement'!$D$6:$I$6,))</f>
        <v>-64</v>
      </c>
      <c r="H35" s="80">
        <f>INDEX(' Income Statement'!$D$7:$I$62,MATCH('3Statement Model'!$B35,' Income Statement'!$B$7:$B$62,0),MATCH('3Statement Model'!H$9,' Income Statement'!$D$6:$I$6,))</f>
        <v>6</v>
      </c>
      <c r="I35" s="80">
        <f>INDEX(' Income Statement'!$D$7:$I$62,MATCH('3Statement Model'!$B35,' Income Statement'!$B$7:$B$62,0),MATCH('3Statement Model'!I$9,' Income Statement'!$D$6:$I$6,))</f>
        <v>305</v>
      </c>
      <c r="J35" s="385">
        <v>0</v>
      </c>
      <c r="K35" s="385">
        <v>0</v>
      </c>
      <c r="L35" s="385">
        <v>0</v>
      </c>
      <c r="M35" s="385">
        <v>0</v>
      </c>
      <c r="N35" s="385">
        <v>0</v>
      </c>
      <c r="O35" s="385">
        <v>0</v>
      </c>
      <c r="P35" s="385">
        <v>0</v>
      </c>
      <c r="Q35" s="385">
        <v>0</v>
      </c>
      <c r="R35" s="385">
        <v>0</v>
      </c>
      <c r="S35" s="385">
        <v>0</v>
      </c>
      <c r="U35" s="91"/>
      <c r="V35" s="91"/>
    </row>
    <row r="36" spans="2:22">
      <c r="B36" s="63"/>
      <c r="C36" s="74"/>
      <c r="D36" s="80"/>
      <c r="E36" s="80"/>
      <c r="F36" s="80"/>
      <c r="G36" s="80"/>
      <c r="H36" s="80"/>
      <c r="I36" s="80"/>
      <c r="J36" s="80"/>
      <c r="K36" s="80"/>
      <c r="L36" s="80"/>
      <c r="M36" s="80"/>
      <c r="N36" s="80"/>
      <c r="O36" s="80"/>
      <c r="P36" s="80"/>
      <c r="Q36" s="80"/>
      <c r="R36" s="80"/>
      <c r="S36" s="80"/>
      <c r="U36" s="91"/>
      <c r="V36" s="91"/>
    </row>
    <row r="37" spans="2:22">
      <c r="B37" s="79" t="s">
        <v>56</v>
      </c>
      <c r="C37" s="79"/>
      <c r="D37" s="86">
        <f>SUM(D28,D32:D35)</f>
        <v>9173</v>
      </c>
      <c r="E37" s="86">
        <f t="shared" ref="E37:H37" si="23">SUM(E28,E32:E35)</f>
        <v>10606</v>
      </c>
      <c r="F37" s="86">
        <f t="shared" si="23"/>
        <v>11874</v>
      </c>
      <c r="G37" s="86">
        <f t="shared" si="23"/>
        <v>13355</v>
      </c>
      <c r="H37" s="86">
        <f t="shared" si="23"/>
        <v>13866</v>
      </c>
      <c r="I37" s="86">
        <f>SUM(I28,I32:I35)</f>
        <v>14415</v>
      </c>
      <c r="J37" s="86">
        <f>SUM(J28,J32:J33)</f>
        <v>14999.731583163148</v>
      </c>
      <c r="K37" s="86">
        <f>SUM(K28,K32:K33)</f>
        <v>16356.879254990947</v>
      </c>
      <c r="L37" s="86">
        <f>SUM(L28,L32:L33)</f>
        <v>17862.674435452864</v>
      </c>
      <c r="M37" s="86">
        <f>SUM(M28,M32:M33)</f>
        <v>19534.316827374056</v>
      </c>
      <c r="N37" s="86">
        <f>SUM(N28,N32:N33)</f>
        <v>21391.075186939928</v>
      </c>
      <c r="O37" s="86">
        <f t="shared" ref="O37:S37" si="24">SUM(O28,O32:O33)</f>
        <v>23217.218656799829</v>
      </c>
      <c r="P37" s="86">
        <f t="shared" si="24"/>
        <v>25180.152641662415</v>
      </c>
      <c r="Q37" s="86">
        <f t="shared" si="24"/>
        <v>27182.598069415286</v>
      </c>
      <c r="R37" s="86">
        <f t="shared" si="24"/>
        <v>29207.365169903591</v>
      </c>
      <c r="S37" s="86">
        <f t="shared" si="24"/>
        <v>31237.817792953803</v>
      </c>
      <c r="U37" s="51"/>
      <c r="V37" s="51"/>
    </row>
    <row r="38" spans="2:22">
      <c r="B38" s="72"/>
      <c r="C38" s="72"/>
      <c r="D38" s="80"/>
      <c r="E38" s="80"/>
      <c r="F38" s="80"/>
      <c r="G38" s="80"/>
      <c r="H38" s="80"/>
      <c r="I38" s="80"/>
      <c r="V38" s="51"/>
    </row>
    <row r="39" spans="2:22">
      <c r="B39" s="74" t="s">
        <v>237</v>
      </c>
      <c r="C39" s="74"/>
      <c r="D39" s="80">
        <f>INDEX(' Income Statement'!$D$7:$I$62,MATCH('3Statement Model'!$B39,' Income Statement'!$B$7:$B$62,0),MATCH('3Statement Model'!D$9,' Income Statement'!$D$6:$I$6,))</f>
        <v>-2409</v>
      </c>
      <c r="E39" s="80">
        <f>INDEX(' Income Statement'!$D$7:$I$62,MATCH('3Statement Model'!$B39,' Income Statement'!$B$7:$B$62,0),MATCH('3Statement Model'!E$9,' Income Statement'!$D$6:$I$6,))</f>
        <v>-2606</v>
      </c>
      <c r="F39" s="80">
        <f>INDEX(' Income Statement'!$D$7:$I$62,MATCH('3Statement Model'!$B39,' Income Statement'!$B$7:$B$62,0),MATCH('3Statement Model'!F$9,' Income Statement'!$D$6:$I$6,))</f>
        <v>-2987</v>
      </c>
      <c r="G39" s="80">
        <f>INDEX(' Income Statement'!$D$7:$I$62,MATCH('3Statement Model'!$B39,' Income Statement'!$B$7:$B$62,0),MATCH('3Statement Model'!G$9,' Income Statement'!$D$6:$I$6,))</f>
        <v>-3201</v>
      </c>
      <c r="H39" s="80">
        <f>INDEX(' Income Statement'!$D$7:$I$62,MATCH('3Statement Model'!$B39,' Income Statement'!$B$7:$B$62,0),MATCH('3Statement Model'!H$9,' Income Statement'!$D$6:$I$6,))</f>
        <v>-3644</v>
      </c>
      <c r="I39" s="80">
        <f>INDEX(' Income Statement'!$D$7:$I$62,MATCH('3Statement Model'!$B39,' Income Statement'!$B$7:$B$62,0),MATCH('3Statement Model'!I$9,' Income Statement'!$D$6:$I$6,))</f>
        <v>-3744</v>
      </c>
      <c r="J39" s="80">
        <f>Schedules!K170</f>
        <v>-4499.9194749489443</v>
      </c>
      <c r="K39" s="80">
        <f>Schedules!L170</f>
        <v>-4907.0637764972835</v>
      </c>
      <c r="L39" s="80">
        <f>Schedules!M170</f>
        <v>-5358.8023306358591</v>
      </c>
      <c r="M39" s="80">
        <f>Schedules!N170</f>
        <v>-5860.2950482122169</v>
      </c>
      <c r="N39" s="80">
        <f>Schedules!O170</f>
        <v>-6417.3225560819783</v>
      </c>
      <c r="O39" s="80">
        <f>Schedules!P170</f>
        <v>-6965.1655970399488</v>
      </c>
      <c r="P39" s="80">
        <f>Schedules!Q170</f>
        <v>-7554.045792498724</v>
      </c>
      <c r="Q39" s="80">
        <f>Schedules!R170</f>
        <v>-8154.779420824585</v>
      </c>
      <c r="R39" s="80">
        <f>Schedules!S170</f>
        <v>-8762.2095509710762</v>
      </c>
      <c r="S39" s="80">
        <f>Schedules!T170</f>
        <v>-9371.3453378861414</v>
      </c>
      <c r="U39" s="51">
        <f>_xlfn.RRI(5,I39,N39)</f>
        <v>0.11379074745494311</v>
      </c>
      <c r="V39" s="51">
        <f>_xlfn.RRI(3,I39,L39)</f>
        <v>0.1269655295603862</v>
      </c>
    </row>
    <row r="40" spans="2:22" ht="15" thickBot="1">
      <c r="B40" s="76" t="s">
        <v>0</v>
      </c>
      <c r="C40" s="76"/>
      <c r="D40" s="87">
        <f t="shared" ref="D40:F40" si="25">SUM(D37:D39)</f>
        <v>6764</v>
      </c>
      <c r="E40" s="87">
        <f t="shared" si="25"/>
        <v>8000</v>
      </c>
      <c r="F40" s="87">
        <f t="shared" si="25"/>
        <v>8887</v>
      </c>
      <c r="G40" s="87">
        <f>SUM(G37:G39)</f>
        <v>10154</v>
      </c>
      <c r="H40" s="87">
        <f t="shared" ref="H40:N40" si="26">SUM(H37:H39)</f>
        <v>10222</v>
      </c>
      <c r="I40" s="87">
        <f t="shared" si="26"/>
        <v>10671</v>
      </c>
      <c r="J40" s="87">
        <f t="shared" si="26"/>
        <v>10499.812108214202</v>
      </c>
      <c r="K40" s="87">
        <f t="shared" si="26"/>
        <v>11449.815478493663</v>
      </c>
      <c r="L40" s="87">
        <f t="shared" si="26"/>
        <v>12503.872104817005</v>
      </c>
      <c r="M40" s="87">
        <f t="shared" si="26"/>
        <v>13674.021779161838</v>
      </c>
      <c r="N40" s="87">
        <f t="shared" si="26"/>
        <v>14973.752630857951</v>
      </c>
      <c r="O40" s="87">
        <f t="shared" ref="O40:S40" si="27">SUM(O37:O39)</f>
        <v>16252.053059759881</v>
      </c>
      <c r="P40" s="87">
        <f t="shared" si="27"/>
        <v>17626.106849163691</v>
      </c>
      <c r="Q40" s="87">
        <f t="shared" si="27"/>
        <v>19027.818648590699</v>
      </c>
      <c r="R40" s="87">
        <f t="shared" si="27"/>
        <v>20445.155618932513</v>
      </c>
      <c r="S40" s="87">
        <f t="shared" si="27"/>
        <v>21866.472455067662</v>
      </c>
      <c r="U40" s="51"/>
      <c r="V40" s="51"/>
    </row>
    <row r="42" spans="2:22">
      <c r="B42" s="41" t="s">
        <v>65</v>
      </c>
      <c r="C42" s="41"/>
      <c r="D42" s="88"/>
      <c r="E42" s="88"/>
      <c r="F42" s="88"/>
      <c r="G42" s="88">
        <f t="shared" ref="G42:N42" si="28">IFERROR(G13/F13-1,"NM")</f>
        <v>0.15528352972581327</v>
      </c>
      <c r="H42" s="88">
        <f>IFERROR(H13/G13-1,"NM")</f>
        <v>2.0564449579138389E-2</v>
      </c>
      <c r="I42" s="88">
        <f t="shared" si="28"/>
        <v>2.0780774953101711E-2</v>
      </c>
      <c r="J42" s="88">
        <f>IFERROR(J13/I13-1,"NM")</f>
        <v>8.6969154481076227E-2</v>
      </c>
      <c r="K42" s="88">
        <f>IFERROR(K13/J13-1,"NM")</f>
        <v>8.7841997546150852E-2</v>
      </c>
      <c r="L42" s="88">
        <f t="shared" si="28"/>
        <v>8.8710636581273983E-2</v>
      </c>
      <c r="M42" s="88">
        <f t="shared" si="28"/>
        <v>8.9574194318496891E-2</v>
      </c>
      <c r="N42" s="88">
        <f t="shared" si="28"/>
        <v>9.0431806223887135E-2</v>
      </c>
      <c r="O42" s="88">
        <f t="shared" ref="O42" si="29">IFERROR(O13/N13-1,"NM")</f>
        <v>9.1282625336772227E-2</v>
      </c>
      <c r="P42" s="88">
        <f t="shared" ref="P42" si="30">IFERROR(P13/O13-1,"NM")</f>
        <v>9.0066646772113623E-2</v>
      </c>
      <c r="Q42" s="88">
        <f t="shared" ref="Q42" si="31">IFERROR(Q13/P13-1,"NM")</f>
        <v>8.4905587433001806E-2</v>
      </c>
      <c r="R42" s="88">
        <f t="shared" ref="R42" si="32">IFERROR(R13/Q13-1,"NM")</f>
        <v>7.9789812601355203E-2</v>
      </c>
      <c r="S42" s="88">
        <f t="shared" ref="S42" si="33">IFERROR(S13/R13-1,"NM")</f>
        <v>7.479263146255466E-2</v>
      </c>
      <c r="T42" s="48"/>
      <c r="U42" s="48"/>
      <c r="V42" s="48"/>
    </row>
    <row r="43" spans="2:22">
      <c r="B43" s="41" t="s">
        <v>66</v>
      </c>
      <c r="C43" s="41"/>
      <c r="D43" s="88"/>
      <c r="E43" s="88"/>
      <c r="F43" s="88"/>
      <c r="G43" s="88">
        <f t="shared" ref="G43:N43" si="34">G15/G13</f>
        <v>0.47654728503053312</v>
      </c>
      <c r="H43" s="88">
        <f>H15/H13</f>
        <v>0.51872695517174461</v>
      </c>
      <c r="I43" s="88">
        <f t="shared" si="34"/>
        <v>0.51556534275439236</v>
      </c>
      <c r="J43" s="88">
        <f t="shared" si="34"/>
        <v>0.51</v>
      </c>
      <c r="K43" s="88">
        <f t="shared" si="34"/>
        <v>0.51224999999999998</v>
      </c>
      <c r="L43" s="88">
        <f t="shared" si="34"/>
        <v>0.51449999999999996</v>
      </c>
      <c r="M43" s="88">
        <f t="shared" si="34"/>
        <v>0.51674999999999993</v>
      </c>
      <c r="N43" s="88">
        <f t="shared" si="34"/>
        <v>0.51900000000000002</v>
      </c>
      <c r="O43" s="88">
        <f t="shared" ref="O43:S43" si="35">O15/O13</f>
        <v>0.51900000000000002</v>
      </c>
      <c r="P43" s="88">
        <f t="shared" si="35"/>
        <v>0.51900000000000002</v>
      </c>
      <c r="Q43" s="88">
        <f t="shared" si="35"/>
        <v>0.51900000000000002</v>
      </c>
      <c r="R43" s="88">
        <f t="shared" si="35"/>
        <v>0.51900000000000002</v>
      </c>
      <c r="S43" s="88">
        <f t="shared" si="35"/>
        <v>0.51900000000000002</v>
      </c>
      <c r="T43" s="48"/>
      <c r="U43" s="48"/>
      <c r="V43" s="48"/>
    </row>
    <row r="44" spans="2:22">
      <c r="B44" s="41" t="s">
        <v>67</v>
      </c>
      <c r="C44" s="41"/>
      <c r="D44" s="88"/>
      <c r="E44" s="88"/>
      <c r="F44" s="88"/>
      <c r="G44" s="88">
        <f t="shared" ref="G44:N44" si="36">G22/G13</f>
        <v>0.23368542663805908</v>
      </c>
      <c r="H44" s="88">
        <f>H22/H13</f>
        <v>0.23615693123746684</v>
      </c>
      <c r="I44" s="88">
        <f t="shared" si="36"/>
        <v>0.23527827505901364</v>
      </c>
      <c r="J44" s="88">
        <f t="shared" si="36"/>
        <v>0.22999999999999998</v>
      </c>
      <c r="K44" s="88">
        <f t="shared" si="36"/>
        <v>0.23224999999999998</v>
      </c>
      <c r="L44" s="88">
        <f t="shared" si="36"/>
        <v>0.23449999999999993</v>
      </c>
      <c r="M44" s="88">
        <f t="shared" si="36"/>
        <v>0.23674999999999993</v>
      </c>
      <c r="N44" s="88">
        <f t="shared" si="36"/>
        <v>0.23900000000000002</v>
      </c>
      <c r="O44" s="88">
        <f t="shared" ref="O44:S44" si="37">O22/O13</f>
        <v>0.23899999999999996</v>
      </c>
      <c r="P44" s="88">
        <f t="shared" si="37"/>
        <v>0.23900000000000002</v>
      </c>
      <c r="Q44" s="88">
        <f t="shared" si="37"/>
        <v>0.23900000000000002</v>
      </c>
      <c r="R44" s="88">
        <f t="shared" si="37"/>
        <v>0.23900000000000005</v>
      </c>
      <c r="S44" s="88">
        <f t="shared" si="37"/>
        <v>0.23899999999999996</v>
      </c>
      <c r="T44" s="48"/>
      <c r="U44" s="48"/>
      <c r="V44" s="48"/>
    </row>
    <row r="45" spans="2:22">
      <c r="B45" s="41" t="s">
        <v>68</v>
      </c>
      <c r="C45" s="41"/>
      <c r="D45" s="88"/>
      <c r="E45" s="88"/>
      <c r="F45" s="88"/>
      <c r="G45" s="88">
        <f t="shared" ref="G45:N45" si="38">G28/G13</f>
        <v>0.21491995378775375</v>
      </c>
      <c r="H45" s="88">
        <f t="shared" si="38"/>
        <v>0.21649201112620481</v>
      </c>
      <c r="I45" s="88">
        <f t="shared" si="38"/>
        <v>0.2138115682577906</v>
      </c>
      <c r="J45" s="88">
        <f t="shared" si="38"/>
        <v>0.20768770173152051</v>
      </c>
      <c r="K45" s="88">
        <f t="shared" si="38"/>
        <v>0.20941440278020845</v>
      </c>
      <c r="L45" s="88">
        <f t="shared" si="38"/>
        <v>0.21119864115688361</v>
      </c>
      <c r="M45" s="88">
        <f t="shared" si="38"/>
        <v>0.21303633791562981</v>
      </c>
      <c r="N45" s="88">
        <f t="shared" si="38"/>
        <v>0.2149236038299821</v>
      </c>
      <c r="O45" s="88">
        <f t="shared" ref="O45:S45" si="39">O28/O13</f>
        <v>0.21460415932251514</v>
      </c>
      <c r="P45" s="88">
        <f t="shared" si="39"/>
        <v>0.21428577347025191</v>
      </c>
      <c r="Q45" s="88">
        <f t="shared" si="39"/>
        <v>0.21389137139731257</v>
      </c>
      <c r="R45" s="88">
        <f t="shared" si="39"/>
        <v>0.21342324422938011</v>
      </c>
      <c r="S45" s="88">
        <f t="shared" si="39"/>
        <v>0.21288397374340992</v>
      </c>
      <c r="T45" s="48"/>
      <c r="U45" s="48"/>
      <c r="V45" s="48"/>
    </row>
    <row r="46" spans="2:22">
      <c r="B46" s="41" t="s">
        <v>69</v>
      </c>
      <c r="C46" s="41"/>
      <c r="D46" s="88"/>
      <c r="E46" s="88"/>
      <c r="F46" s="88"/>
      <c r="G46" s="88">
        <f>-G39/G37</f>
        <v>0.2396855110445526</v>
      </c>
      <c r="H46" s="88">
        <f t="shared" ref="H46:N46" si="40">-H39/H37</f>
        <v>0.2628010962065484</v>
      </c>
      <c r="I46" s="88">
        <f t="shared" si="40"/>
        <v>0.25972944849115503</v>
      </c>
      <c r="J46" s="88">
        <f t="shared" si="40"/>
        <v>0.3</v>
      </c>
      <c r="K46" s="88">
        <f t="shared" si="40"/>
        <v>0.3</v>
      </c>
      <c r="L46" s="88">
        <f t="shared" si="40"/>
        <v>0.3</v>
      </c>
      <c r="M46" s="88">
        <f t="shared" si="40"/>
        <v>0.3</v>
      </c>
      <c r="N46" s="88">
        <f t="shared" si="40"/>
        <v>0.3</v>
      </c>
      <c r="O46" s="88">
        <f t="shared" ref="O46:S46" si="41">-O39/O37</f>
        <v>0.3</v>
      </c>
      <c r="P46" s="88">
        <f t="shared" si="41"/>
        <v>0.3</v>
      </c>
      <c r="Q46" s="88">
        <f t="shared" si="41"/>
        <v>0.3</v>
      </c>
      <c r="R46" s="88">
        <f t="shared" si="41"/>
        <v>0.3</v>
      </c>
      <c r="S46" s="88">
        <f t="shared" si="41"/>
        <v>0.3</v>
      </c>
      <c r="T46" s="48"/>
      <c r="U46" s="48"/>
      <c r="V46" s="48"/>
    </row>
    <row r="47" spans="2:22">
      <c r="B47" s="41" t="s">
        <v>70</v>
      </c>
      <c r="C47" s="41"/>
      <c r="D47" s="88"/>
      <c r="E47" s="88"/>
      <c r="F47" s="88"/>
      <c r="G47" s="88">
        <f t="shared" ref="G47:N47" si="42">G40/G13</f>
        <v>0.16758541013368541</v>
      </c>
      <c r="H47" s="88">
        <f t="shared" si="42"/>
        <v>0.1653082346852966</v>
      </c>
      <c r="I47" s="88">
        <f t="shared" si="42"/>
        <v>0.16905625703014845</v>
      </c>
      <c r="J47" s="88">
        <f t="shared" si="42"/>
        <v>0.15303488336950657</v>
      </c>
      <c r="K47" s="88">
        <f t="shared" si="42"/>
        <v>0.15340572794243121</v>
      </c>
      <c r="L47" s="88">
        <f t="shared" si="42"/>
        <v>0.15387750819406387</v>
      </c>
      <c r="M47" s="88">
        <f t="shared" si="42"/>
        <v>0.15444365844650096</v>
      </c>
      <c r="N47" s="88">
        <f t="shared" si="42"/>
        <v>0.15509791401734557</v>
      </c>
      <c r="O47" s="88">
        <f t="shared" ref="O47:S47" si="43">O40/O13</f>
        <v>0.15425750170901534</v>
      </c>
      <c r="P47" s="88">
        <f t="shared" si="43"/>
        <v>0.1534763311374866</v>
      </c>
      <c r="Q47" s="88">
        <f t="shared" si="43"/>
        <v>0.15271513063721637</v>
      </c>
      <c r="R47" s="88">
        <f t="shared" si="43"/>
        <v>0.15196523962896563</v>
      </c>
      <c r="S47" s="88">
        <f t="shared" si="43"/>
        <v>0.15121953063549254</v>
      </c>
      <c r="T47" s="48"/>
      <c r="U47" s="48"/>
      <c r="V47" s="48"/>
    </row>
    <row r="49" spans="1:22" ht="18">
      <c r="A49" t="s">
        <v>27</v>
      </c>
      <c r="B49" s="68" t="s">
        <v>71</v>
      </c>
      <c r="C49" s="68"/>
      <c r="D49" s="68"/>
      <c r="E49" s="68"/>
      <c r="F49" s="69"/>
      <c r="G49" s="70"/>
      <c r="H49" s="70"/>
      <c r="I49" s="70"/>
      <c r="J49" s="70"/>
      <c r="K49" s="70"/>
      <c r="L49" s="70"/>
      <c r="M49" s="70"/>
      <c r="N49" s="70"/>
      <c r="O49" s="70"/>
      <c r="P49" s="70"/>
      <c r="Q49" s="70"/>
      <c r="R49" s="70"/>
      <c r="S49" s="70"/>
    </row>
    <row r="51" spans="1:22">
      <c r="B51" s="115" t="s">
        <v>163</v>
      </c>
      <c r="C51" s="12"/>
      <c r="D51" s="80"/>
      <c r="E51" s="80"/>
      <c r="F51" s="80"/>
      <c r="G51" s="80"/>
      <c r="H51" s="80"/>
      <c r="I51" s="80"/>
    </row>
    <row r="52" spans="1:22">
      <c r="B52" s="115" t="s">
        <v>164</v>
      </c>
      <c r="C52" s="74"/>
      <c r="D52" s="80"/>
      <c r="E52" s="80"/>
      <c r="F52" s="80"/>
      <c r="G52" s="80"/>
      <c r="H52" s="80"/>
      <c r="I52" s="80"/>
      <c r="J52" s="80"/>
      <c r="K52" s="80"/>
      <c r="L52" s="80"/>
      <c r="M52" s="80"/>
      <c r="N52" s="80"/>
      <c r="O52" s="80"/>
      <c r="P52" s="80"/>
      <c r="Q52" s="80"/>
      <c r="R52" s="80"/>
      <c r="S52" s="80"/>
      <c r="U52" s="91"/>
      <c r="V52" s="91"/>
    </row>
    <row r="53" spans="1:22">
      <c r="B53" s="118" t="s">
        <v>165</v>
      </c>
      <c r="C53" s="74"/>
      <c r="D53" s="80">
        <f>INDEX('Balance Sheet'!$D$9:$I$65,MATCH('3Statement Model'!$B53,'Balance Sheet'!$B$9:$B$65,0),MATCH('3Statement Model'!D$9,'Balance Sheet'!$D$6:$I$6,0))</f>
        <v>216</v>
      </c>
      <c r="E53" s="80">
        <f>INDEX('Balance Sheet'!$D$9:$I$65,MATCH('3Statement Model'!$B53,'Balance Sheet'!$B$9:$B$65,0),MATCH('3Statement Model'!E$9,'Balance Sheet'!$D$6:$I$6,0))</f>
        <v>235</v>
      </c>
      <c r="F53" s="80">
        <f>INDEX('Balance Sheet'!$D$9:$I$65,MATCH('3Statement Model'!$B53,'Balance Sheet'!$B$9:$B$65,0),MATCH('3Statement Model'!F$9,'Balance Sheet'!$D$6:$I$6,0))</f>
        <v>235</v>
      </c>
      <c r="G53" s="80">
        <f>INDEX('Balance Sheet'!$D$9:$I$65,MATCH('3Statement Model'!$B53,'Balance Sheet'!$B$9:$B$65,0),MATCH('3Statement Model'!G$9,'Balance Sheet'!$D$6:$I$6,0))</f>
        <v>235</v>
      </c>
      <c r="H53" s="80">
        <f>INDEX('Balance Sheet'!$D$9:$I$65,MATCH('3Statement Model'!$B53,'Balance Sheet'!$B$9:$B$65,0),MATCH('3Statement Model'!H$9,'Balance Sheet'!$D$6:$I$6,0))</f>
        <v>235</v>
      </c>
      <c r="I53" s="80">
        <f>INDEX('Balance Sheet'!$D$9:$I$65,MATCH('3Statement Model'!$B53,'Balance Sheet'!$B$9:$B$65,0),MATCH('3Statement Model'!I$9,'Balance Sheet'!$D$6:$I$6,0))</f>
        <v>235</v>
      </c>
      <c r="J53" s="80">
        <f>I53</f>
        <v>235</v>
      </c>
      <c r="K53" s="349">
        <f>J53</f>
        <v>235</v>
      </c>
      <c r="L53" s="349">
        <f t="shared" ref="L53:N53" si="44">K53</f>
        <v>235</v>
      </c>
      <c r="M53" s="349">
        <f t="shared" si="44"/>
        <v>235</v>
      </c>
      <c r="N53" s="349">
        <f t="shared" si="44"/>
        <v>235</v>
      </c>
      <c r="O53" s="349">
        <f t="shared" ref="O53" si="45">N53</f>
        <v>235</v>
      </c>
      <c r="P53" s="349">
        <f t="shared" ref="P53" si="46">O53</f>
        <v>235</v>
      </c>
      <c r="Q53" s="349">
        <f t="shared" ref="Q53" si="47">P53</f>
        <v>235</v>
      </c>
      <c r="R53" s="349">
        <f t="shared" ref="R53" si="48">Q53</f>
        <v>235</v>
      </c>
      <c r="S53" s="349">
        <f t="shared" ref="S53" si="49">R53</f>
        <v>235</v>
      </c>
      <c r="U53" s="91">
        <f>_xlfn.RRI(5,I53,N53)</f>
        <v>0</v>
      </c>
      <c r="V53" s="91">
        <f>_xlfn.RRI(3,I53,L53)</f>
        <v>0</v>
      </c>
    </row>
    <row r="54" spans="1:22">
      <c r="B54" s="118" t="s">
        <v>193</v>
      </c>
      <c r="C54" s="74"/>
      <c r="D54" s="80">
        <f>INDEX('Balance Sheet'!$D$9:$I$65,MATCH('3Statement Model'!$B54,'Balance Sheet'!$B$9:$B$65,0),MATCH('3Statement Model'!D$9,'Balance Sheet'!$D$6:$I$6,0))</f>
        <v>8013</v>
      </c>
      <c r="E54" s="80">
        <f>INDEX('Balance Sheet'!$D$9:$I$65,MATCH('3Statement Model'!$B54,'Balance Sheet'!$B$9:$B$65,0),MATCH('3Statement Model'!E$9,'Balance Sheet'!$D$6:$I$6,0))</f>
        <v>47439</v>
      </c>
      <c r="F54" s="80">
        <f>INDEX('Balance Sheet'!$D$9:$I$65,MATCH('3Statement Model'!$B54,'Balance Sheet'!$B$9:$B$65,0),MATCH('3Statement Model'!F$9,'Balance Sheet'!$D$6:$I$6,0))</f>
        <v>48826</v>
      </c>
      <c r="G54" s="80">
        <f>INDEX('Balance Sheet'!$D$9:$I$65,MATCH('3Statement Model'!$B54,'Balance Sheet'!$B$9:$B$65,0),MATCH('3Statement Model'!G$9,'Balance Sheet'!$D$6:$I$6,0))</f>
        <v>50069</v>
      </c>
      <c r="H54" s="80">
        <f>INDEX('Balance Sheet'!$D$9:$I$65,MATCH('3Statement Model'!$B54,'Balance Sheet'!$B$9:$B$65,0),MATCH('3Statement Model'!H$9,'Balance Sheet'!$D$6:$I$6,0))</f>
        <v>50983</v>
      </c>
      <c r="I54" s="80">
        <f>INDEX('Balance Sheet'!$D$9:$I$65,MATCH('3Statement Model'!$B54,'Balance Sheet'!$B$9:$B$65,0),MATCH('3Statement Model'!I$9,'Balance Sheet'!$D$6:$I$6,0))</f>
        <v>49167</v>
      </c>
      <c r="J54" s="80">
        <f>Schedules!K209</f>
        <v>50216.981210821417</v>
      </c>
      <c r="K54" s="80">
        <f>Schedules!L209</f>
        <v>51132.96644910091</v>
      </c>
      <c r="L54" s="80">
        <f>Schedules!M209</f>
        <v>51883.19877538993</v>
      </c>
      <c r="M54" s="80">
        <f>Schedules!N209</f>
        <v>52430.1596465564</v>
      </c>
      <c r="N54" s="80">
        <f>Schedules!O209</f>
        <v>52729.634699173555</v>
      </c>
      <c r="O54" s="80">
        <f>Schedules!P209</f>
        <v>52729.634699173548</v>
      </c>
      <c r="P54" s="80">
        <f>Schedules!Q209</f>
        <v>52377.112562190283</v>
      </c>
      <c r="Q54" s="80">
        <f>Schedules!R209</f>
        <v>51615.999816246651</v>
      </c>
      <c r="R54" s="80">
        <f>Schedules!S209</f>
        <v>50389.290479110692</v>
      </c>
      <c r="S54" s="80">
        <f>Schedules!T209</f>
        <v>48639.972682705265</v>
      </c>
      <c r="U54" s="91">
        <f>_xlfn.RRI(5,I54,N54)</f>
        <v>1.4089323779480578E-2</v>
      </c>
      <c r="V54" s="91">
        <f>_xlfn.RRI(3,I54,L54)</f>
        <v>1.8085717040174254E-2</v>
      </c>
    </row>
    <row r="55" spans="1:22">
      <c r="B55" s="131" t="s">
        <v>194</v>
      </c>
      <c r="C55" s="306"/>
      <c r="D55" s="81">
        <f>INDEX('Balance Sheet'!$D$9:$I$65,MATCH('3Statement Model'!$B55,'Balance Sheet'!$B$9:$B$65,0),MATCH('3Statement Model'!D$9,'Balance Sheet'!$D$6:$I$6,0))</f>
        <v>8229</v>
      </c>
      <c r="E55" s="81">
        <f>INDEX('Balance Sheet'!$D$9:$I$65,MATCH('3Statement Model'!$B55,'Balance Sheet'!$B$9:$B$65,0),MATCH('3Statement Model'!E$9,'Balance Sheet'!$D$6:$I$6,0))</f>
        <v>47674</v>
      </c>
      <c r="F55" s="81">
        <f>INDEX('Balance Sheet'!$D$9:$I$65,MATCH('3Statement Model'!$B55,'Balance Sheet'!$B$9:$B$65,0),MATCH('3Statement Model'!F$9,'Balance Sheet'!$D$6:$I$6,0))</f>
        <v>49061</v>
      </c>
      <c r="G55" s="81">
        <f>INDEX('Balance Sheet'!$D$9:$I$65,MATCH('3Statement Model'!$B55,'Balance Sheet'!$B$9:$B$65,0),MATCH('3Statement Model'!G$9,'Balance Sheet'!$D$6:$I$6,0))</f>
        <v>50304</v>
      </c>
      <c r="H55" s="81">
        <f>INDEX('Balance Sheet'!$D$9:$I$65,MATCH('3Statement Model'!$B55,'Balance Sheet'!$B$9:$B$65,0),MATCH('3Statement Model'!H$9,'Balance Sheet'!$D$6:$I$6,0))</f>
        <v>51218</v>
      </c>
      <c r="I55" s="81">
        <f>INDEX('Balance Sheet'!$D$9:$I$65,MATCH('3Statement Model'!$B55,'Balance Sheet'!$B$9:$B$65,0),MATCH('3Statement Model'!I$9,'Balance Sheet'!$D$6:$I$6,0))</f>
        <v>49402</v>
      </c>
      <c r="J55" s="81">
        <f>SUM(J53:J54)</f>
        <v>50451.981210821417</v>
      </c>
      <c r="K55" s="81">
        <f t="shared" ref="K55:N55" si="50">SUM(K53:K54)</f>
        <v>51367.96644910091</v>
      </c>
      <c r="L55" s="81">
        <f t="shared" si="50"/>
        <v>52118.19877538993</v>
      </c>
      <c r="M55" s="81">
        <f t="shared" si="50"/>
        <v>52665.1596465564</v>
      </c>
      <c r="N55" s="81">
        <f t="shared" si="50"/>
        <v>52964.634699173555</v>
      </c>
      <c r="O55" s="81">
        <f t="shared" ref="O55:S55" si="51">SUM(O53:O54)</f>
        <v>52964.634699173548</v>
      </c>
      <c r="P55" s="81">
        <f t="shared" si="51"/>
        <v>52612.112562190283</v>
      </c>
      <c r="Q55" s="81">
        <f t="shared" si="51"/>
        <v>51850.999816246651</v>
      </c>
      <c r="R55" s="81">
        <f t="shared" si="51"/>
        <v>50624.290479110692</v>
      </c>
      <c r="S55" s="81">
        <f t="shared" si="51"/>
        <v>48874.972682705265</v>
      </c>
      <c r="U55" s="91">
        <f>_xlfn.RRI(5,I55,N55)</f>
        <v>1.4024130638256027E-2</v>
      </c>
      <c r="V55" s="91">
        <f>_xlfn.RRI(3,I55,L55)</f>
        <v>1.8001197469799335E-2</v>
      </c>
    </row>
    <row r="56" spans="1:22">
      <c r="B56" s="118" t="s">
        <v>166</v>
      </c>
      <c r="C56" s="74"/>
      <c r="D56" s="80">
        <f>INDEX('Balance Sheet'!$D$9:$I$65,MATCH('3Statement Model'!$B56,'Balance Sheet'!$B$9:$B$65,0),MATCH('3Statement Model'!D$9,'Balance Sheet'!$D$6:$I$6,0))</f>
        <v>17</v>
      </c>
      <c r="E56" s="80">
        <f>INDEX('Balance Sheet'!$D$9:$I$65,MATCH('3Statement Model'!$B56,'Balance Sheet'!$B$9:$B$65,0),MATCH('3Statement Model'!E$9,'Balance Sheet'!$D$6:$I$6,0))</f>
        <v>20</v>
      </c>
      <c r="F56" s="80">
        <f>INDEX('Balance Sheet'!$D$9:$I$65,MATCH('3Statement Model'!$B56,'Balance Sheet'!$B$9:$B$65,0),MATCH('3Statement Model'!F$9,'Balance Sheet'!$D$6:$I$6,0))</f>
        <v>26</v>
      </c>
      <c r="G56" s="80">
        <f>INDEX('Balance Sheet'!$D$9:$I$65,MATCH('3Statement Model'!$B56,'Balance Sheet'!$B$9:$B$65,0),MATCH('3Statement Model'!G$9,'Balance Sheet'!$D$6:$I$6,0))</f>
        <v>218</v>
      </c>
      <c r="H56" s="80">
        <f>INDEX('Balance Sheet'!$D$9:$I$65,MATCH('3Statement Model'!$B56,'Balance Sheet'!$B$9:$B$65,0),MATCH('3Statement Model'!H$9,'Balance Sheet'!$D$6:$I$6,0))</f>
        <v>205</v>
      </c>
      <c r="I56" s="80">
        <f>INDEX('Balance Sheet'!$D$9:$I$65,MATCH('3Statement Model'!$B56,'Balance Sheet'!$B$9:$B$65,0),MATCH('3Statement Model'!I$9,'Balance Sheet'!$D$6:$I$6,0))</f>
        <v>207</v>
      </c>
      <c r="J56" s="80">
        <f>I56</f>
        <v>207</v>
      </c>
      <c r="K56" s="349">
        <f>J56</f>
        <v>207</v>
      </c>
      <c r="L56" s="349">
        <f>K56</f>
        <v>207</v>
      </c>
      <c r="M56" s="349">
        <f t="shared" ref="M56:N56" si="52">L56</f>
        <v>207</v>
      </c>
      <c r="N56" s="349">
        <f t="shared" si="52"/>
        <v>207</v>
      </c>
      <c r="O56" s="349">
        <f t="shared" ref="O56" si="53">N56</f>
        <v>207</v>
      </c>
      <c r="P56" s="349">
        <f t="shared" ref="P56" si="54">O56</f>
        <v>207</v>
      </c>
      <c r="Q56" s="349">
        <f t="shared" ref="Q56" si="55">P56</f>
        <v>207</v>
      </c>
      <c r="R56" s="349">
        <f t="shared" ref="R56" si="56">Q56</f>
        <v>207</v>
      </c>
      <c r="S56" s="349">
        <f t="shared" ref="S56" si="57">R56</f>
        <v>207</v>
      </c>
      <c r="U56" s="91">
        <f>_xlfn.RRI(5,I56,N56)</f>
        <v>0</v>
      </c>
      <c r="V56" s="91">
        <f>_xlfn.RRI(3,I56,L56)</f>
        <v>0</v>
      </c>
    </row>
    <row r="57" spans="1:22">
      <c r="B57" s="120" t="s">
        <v>195</v>
      </c>
      <c r="C57" s="153"/>
      <c r="D57" s="305">
        <f>INDEX('Balance Sheet'!$D$9:$I$65,MATCH('3Statement Model'!$B57,'Balance Sheet'!$B$9:$B$65,0),MATCH('3Statement Model'!D$9,'Balance Sheet'!$D$6:$I$6,0))</f>
        <v>8246</v>
      </c>
      <c r="E57" s="305">
        <f>INDEX('Balance Sheet'!$D$9:$I$65,MATCH('3Statement Model'!$B57,'Balance Sheet'!$B$9:$B$65,0),MATCH('3Statement Model'!E$9,'Balance Sheet'!$D$6:$I$6,0))</f>
        <v>47694</v>
      </c>
      <c r="F57" s="305">
        <f>INDEX('Balance Sheet'!$D$9:$I$65,MATCH('3Statement Model'!$B57,'Balance Sheet'!$B$9:$B$65,0),MATCH('3Statement Model'!F$9,'Balance Sheet'!$D$6:$I$6,0))</f>
        <v>49087</v>
      </c>
      <c r="G57" s="305">
        <f>INDEX('Balance Sheet'!$D$9:$I$65,MATCH('3Statement Model'!$B57,'Balance Sheet'!$B$9:$B$65,0),MATCH('3Statement Model'!G$9,'Balance Sheet'!$D$6:$I$6,0))</f>
        <v>50522</v>
      </c>
      <c r="H57" s="305">
        <f>INDEX('Balance Sheet'!$D$9:$I$65,MATCH('3Statement Model'!$B57,'Balance Sheet'!$B$9:$B$65,0),MATCH('3Statement Model'!H$9,'Balance Sheet'!$D$6:$I$6,0))</f>
        <v>51423</v>
      </c>
      <c r="I57" s="305">
        <f>INDEX('Balance Sheet'!$D$9:$I$65,MATCH('3Statement Model'!$B57,'Balance Sheet'!$B$9:$B$65,0),MATCH('3Statement Model'!I$9,'Balance Sheet'!$D$6:$I$6,0))</f>
        <v>49609</v>
      </c>
      <c r="J57" s="304">
        <f>SUM(J55:J56)</f>
        <v>50658.981210821417</v>
      </c>
      <c r="K57" s="304">
        <f t="shared" ref="K57:N57" si="58">SUM(K55:K56)</f>
        <v>51574.96644910091</v>
      </c>
      <c r="L57" s="304">
        <f t="shared" si="58"/>
        <v>52325.19877538993</v>
      </c>
      <c r="M57" s="304">
        <f t="shared" si="58"/>
        <v>52872.1596465564</v>
      </c>
      <c r="N57" s="304">
        <f t="shared" si="58"/>
        <v>53171.634699173555</v>
      </c>
      <c r="O57" s="304">
        <f t="shared" ref="O57:S57" si="59">SUM(O55:O56)</f>
        <v>53171.634699173548</v>
      </c>
      <c r="P57" s="304">
        <f t="shared" si="59"/>
        <v>52819.112562190283</v>
      </c>
      <c r="Q57" s="304">
        <f t="shared" si="59"/>
        <v>52057.999816246651</v>
      </c>
      <c r="R57" s="304">
        <f t="shared" si="59"/>
        <v>50831.290479110692</v>
      </c>
      <c r="S57" s="304">
        <f t="shared" si="59"/>
        <v>49081.972682705265</v>
      </c>
    </row>
    <row r="58" spans="1:22">
      <c r="B58" s="11"/>
      <c r="C58" s="72"/>
      <c r="D58" s="72"/>
      <c r="E58" s="72"/>
    </row>
    <row r="59" spans="1:22">
      <c r="B59" s="115" t="s">
        <v>167</v>
      </c>
      <c r="C59" s="74"/>
      <c r="D59" s="74"/>
      <c r="E59" s="74"/>
      <c r="G59" s="80"/>
      <c r="H59" s="80"/>
      <c r="I59" s="80"/>
      <c r="J59" s="80"/>
      <c r="K59" s="80"/>
      <c r="L59" s="80"/>
      <c r="M59" s="80"/>
      <c r="N59" s="80"/>
      <c r="O59" s="80"/>
      <c r="P59" s="80"/>
      <c r="Q59" s="80"/>
      <c r="R59" s="80"/>
      <c r="S59" s="80"/>
      <c r="U59" s="91"/>
      <c r="V59" s="91"/>
    </row>
    <row r="60" spans="1:22">
      <c r="B60" s="118" t="s">
        <v>196</v>
      </c>
      <c r="C60" s="74"/>
      <c r="D60" s="74"/>
      <c r="E60" s="74"/>
      <c r="G60" s="80"/>
      <c r="H60" s="80"/>
      <c r="I60" s="80"/>
      <c r="J60" s="80"/>
      <c r="K60" s="80"/>
      <c r="L60" s="80"/>
      <c r="M60" s="80"/>
      <c r="N60" s="80"/>
      <c r="O60" s="80"/>
      <c r="P60" s="80"/>
      <c r="Q60" s="80"/>
      <c r="R60" s="80"/>
      <c r="S60" s="80"/>
      <c r="U60" s="91"/>
      <c r="V60" s="91"/>
    </row>
    <row r="61" spans="1:22">
      <c r="B61" s="121" t="s">
        <v>676</v>
      </c>
      <c r="C61" s="74"/>
      <c r="D61" s="80">
        <f>INDEX('Balance Sheet'!$D$9:$I$65,MATCH('3Statement Model'!$B61,'Balance Sheet'!$B$9:$B$65,0),MATCH('3Statement Model'!D$9,'Balance Sheet'!$D$6:$I$6,0))</f>
        <v>0</v>
      </c>
      <c r="E61" s="80">
        <f>INDEX('Balance Sheet'!$D$9:$I$65,MATCH('3Statement Model'!$B61,'Balance Sheet'!$B$9:$B$65,0),MATCH('3Statement Model'!E$9,'Balance Sheet'!$D$6:$I$6,0))</f>
        <v>0</v>
      </c>
      <c r="F61" s="80">
        <f>INDEX('Balance Sheet'!$D$9:$I$65,MATCH('3Statement Model'!$B61,'Balance Sheet'!$B$9:$B$65,0),MATCH('3Statement Model'!F$9,'Balance Sheet'!$D$6:$I$6,0))</f>
        <v>741</v>
      </c>
      <c r="G61" s="80">
        <f>INDEX('Balance Sheet'!$D$9:$I$65,MATCH('3Statement Model'!$B61,'Balance Sheet'!$B$9:$B$65,0),MATCH('3Statement Model'!G$9,'Balance Sheet'!$D$6:$I$6,0))</f>
        <v>807</v>
      </c>
      <c r="H61" s="80">
        <f>INDEX('Balance Sheet'!$D$9:$I$65,MATCH('3Statement Model'!$B61,'Balance Sheet'!$B$9:$B$65,0),MATCH('3Statement Model'!H$9,'Balance Sheet'!$D$6:$I$6,0))</f>
        <v>1106</v>
      </c>
      <c r="I61" s="80">
        <f>INDEX('Balance Sheet'!$D$9:$I$65,MATCH('3Statement Model'!$B61,'Balance Sheet'!$B$9:$B$65,0),MATCH('3Statement Model'!I$9,'Balance Sheet'!$D$6:$I$6,0))</f>
        <v>1243</v>
      </c>
      <c r="J61" s="80">
        <f>Schedules!K177</f>
        <v>1372.2116000000003</v>
      </c>
      <c r="K61" s="80">
        <f>Schedules!L177</f>
        <v>1492.7494080000001</v>
      </c>
      <c r="L61" s="80">
        <f>Schedules!M177</f>
        <v>1625.1721582400003</v>
      </c>
      <c r="M61" s="80">
        <f>Schedules!N177</f>
        <v>1770.7456449432009</v>
      </c>
      <c r="N61" s="80">
        <f>Schedules!O177</f>
        <v>1930.8773719784965</v>
      </c>
      <c r="O61" s="80">
        <f>Schedules!P177</f>
        <v>2107.132927696061</v>
      </c>
      <c r="P61" s="80">
        <f>Schedules!Q177</f>
        <v>2296.9153247967515</v>
      </c>
      <c r="Q61" s="80">
        <f>Schedules!R177</f>
        <v>2491.9362697324841</v>
      </c>
      <c r="R61" s="80">
        <f>Schedules!S177</f>
        <v>2690.7673977089594</v>
      </c>
      <c r="S61" s="80">
        <f>Schedules!T177</f>
        <v>2892.0169720372628</v>
      </c>
      <c r="U61" s="91">
        <f t="shared" ref="U61:U66" si="60">_xlfn.RRI(5,I61,N61)</f>
        <v>9.2085681103938333E-2</v>
      </c>
      <c r="V61" s="91">
        <f>_xlfn.RRI(3,I61,L61)</f>
        <v>9.3476401711712231E-2</v>
      </c>
    </row>
    <row r="62" spans="1:22">
      <c r="B62" s="121" t="s">
        <v>679</v>
      </c>
      <c r="C62" s="74"/>
      <c r="D62" s="80">
        <f>INDEX('Balance Sheet'!$D$9:$I$65,MATCH('3Statement Model'!$B62,'Balance Sheet'!$B$9:$B$65,0),MATCH('3Statement Model'!D$9,'Balance Sheet'!$D$6:$I$6,0))</f>
        <v>939</v>
      </c>
      <c r="E62" s="80">
        <f>INDEX('Balance Sheet'!$D$9:$I$65,MATCH('3Statement Model'!$B62,'Balance Sheet'!$B$9:$B$65,0),MATCH('3Statement Model'!E$9,'Balance Sheet'!$D$6:$I$6,0))</f>
        <v>1027</v>
      </c>
      <c r="F62" s="80">
        <f>INDEX('Balance Sheet'!$D$9:$I$65,MATCH('3Statement Model'!$B62,'Balance Sheet'!$B$9:$B$65,0),MATCH('3Statement Model'!F$9,'Balance Sheet'!$D$6:$I$6,0))</f>
        <v>357</v>
      </c>
      <c r="G62" s="80">
        <f>INDEX('Balance Sheet'!$D$9:$I$65,MATCH('3Statement Model'!$B62,'Balance Sheet'!$B$9:$B$65,0),MATCH('3Statement Model'!G$9,'Balance Sheet'!$D$6:$I$6,0))</f>
        <v>860</v>
      </c>
      <c r="H62" s="80">
        <f>INDEX('Balance Sheet'!$D$9:$I$65,MATCH('3Statement Model'!$B62,'Balance Sheet'!$B$9:$B$65,0),MATCH('3Statement Model'!H$9,'Balance Sheet'!$D$6:$I$6,0))</f>
        <v>715</v>
      </c>
      <c r="I62" s="80">
        <f>INDEX('Balance Sheet'!$D$9:$I$65,MATCH('3Statement Model'!$B62,'Balance Sheet'!$B$9:$B$65,0),MATCH('3Statement Model'!I$9,'Balance Sheet'!$D$6:$I$6,0))</f>
        <v>680</v>
      </c>
      <c r="J62" s="78">
        <f t="shared" ref="J62:J65" si="61">I62</f>
        <v>680</v>
      </c>
      <c r="K62" s="78">
        <f>J62</f>
        <v>680</v>
      </c>
      <c r="L62" s="78">
        <f t="shared" ref="L62:N65" si="62">K62</f>
        <v>680</v>
      </c>
      <c r="M62" s="78">
        <f t="shared" si="62"/>
        <v>680</v>
      </c>
      <c r="N62" s="78">
        <f t="shared" si="62"/>
        <v>680</v>
      </c>
      <c r="O62" s="78">
        <f t="shared" ref="O62:O65" si="63">N62</f>
        <v>680</v>
      </c>
      <c r="P62" s="78">
        <f t="shared" ref="P62:P65" si="64">O62</f>
        <v>680</v>
      </c>
      <c r="Q62" s="78">
        <f t="shared" ref="Q62:Q65" si="65">P62</f>
        <v>680</v>
      </c>
      <c r="R62" s="78">
        <f t="shared" ref="R62:R65" si="66">Q62</f>
        <v>680</v>
      </c>
      <c r="S62" s="78">
        <f t="shared" ref="S62:S65" si="67">R62</f>
        <v>680</v>
      </c>
      <c r="U62" s="91">
        <f t="shared" si="60"/>
        <v>0</v>
      </c>
      <c r="V62" s="91">
        <f>_xlfn.RRI(3,I62,L62)</f>
        <v>0</v>
      </c>
    </row>
    <row r="63" spans="1:22">
      <c r="B63" s="118" t="s">
        <v>681</v>
      </c>
      <c r="C63" s="152"/>
      <c r="D63" s="80">
        <f>INDEX('Balance Sheet'!$D$9:$I$65,MATCH('3Statement Model'!$B63,'Balance Sheet'!$B$9:$B$65,0),MATCH('3Statement Model'!D$9,'Balance Sheet'!$D$6:$I$6,0))</f>
        <v>1227</v>
      </c>
      <c r="E63" s="80">
        <f>INDEX('Balance Sheet'!$D$9:$I$65,MATCH('3Statement Model'!$B63,'Balance Sheet'!$B$9:$B$65,0),MATCH('3Statement Model'!E$9,'Balance Sheet'!$D$6:$I$6,0))</f>
        <v>1578</v>
      </c>
      <c r="F63" s="80">
        <f>INDEX('Balance Sheet'!$D$9:$I$65,MATCH('3Statement Model'!$B63,'Balance Sheet'!$B$9:$B$65,0),MATCH('3Statement Model'!F$9,'Balance Sheet'!$D$6:$I$6,0))</f>
        <v>1580</v>
      </c>
      <c r="G63" s="80">
        <f>INDEX('Balance Sheet'!$D$9:$I$65,MATCH('3Statement Model'!$B63,'Balance Sheet'!$B$9:$B$65,0),MATCH('3Statement Model'!G$9,'Balance Sheet'!$D$6:$I$6,0))</f>
        <v>1363</v>
      </c>
      <c r="H63" s="80">
        <f>INDEX('Balance Sheet'!$D$9:$I$65,MATCH('3Statement Model'!$B63,'Balance Sheet'!$B$9:$B$65,0),MATCH('3Statement Model'!H$9,'Balance Sheet'!$D$6:$I$6,0))</f>
        <v>1576</v>
      </c>
      <c r="I63" s="80">
        <f>INDEX('Balance Sheet'!$D$9:$I$65,MATCH('3Statement Model'!$B63,'Balance Sheet'!$B$9:$B$65,0),MATCH('3Statement Model'!I$9,'Balance Sheet'!$D$6:$I$6,0))</f>
        <v>1528</v>
      </c>
      <c r="J63" s="78">
        <f t="shared" si="61"/>
        <v>1528</v>
      </c>
      <c r="K63" s="78">
        <f>J63</f>
        <v>1528</v>
      </c>
      <c r="L63" s="78">
        <f t="shared" si="62"/>
        <v>1528</v>
      </c>
      <c r="M63" s="78">
        <f t="shared" si="62"/>
        <v>1528</v>
      </c>
      <c r="N63" s="78">
        <f t="shared" si="62"/>
        <v>1528</v>
      </c>
      <c r="O63" s="78">
        <f t="shared" si="63"/>
        <v>1528</v>
      </c>
      <c r="P63" s="78">
        <f t="shared" si="64"/>
        <v>1528</v>
      </c>
      <c r="Q63" s="78">
        <f t="shared" si="65"/>
        <v>1528</v>
      </c>
      <c r="R63" s="78">
        <f t="shared" si="66"/>
        <v>1528</v>
      </c>
      <c r="S63" s="78">
        <f t="shared" si="67"/>
        <v>1528</v>
      </c>
      <c r="U63" s="91">
        <f t="shared" si="60"/>
        <v>0</v>
      </c>
      <c r="V63" s="91">
        <f>_xlfn.RRI(5,J63,T63)</f>
        <v>-1</v>
      </c>
    </row>
    <row r="64" spans="1:22">
      <c r="B64" s="118" t="s">
        <v>168</v>
      </c>
      <c r="C64" s="74"/>
      <c r="D64" s="80">
        <f>INDEX('Balance Sheet'!$D$9:$I$65,MATCH('3Statement Model'!$B64,'Balance Sheet'!$B$9:$B$65,0),MATCH('3Statement Model'!D$9,'Balance Sheet'!$D$6:$I$6,0))</f>
        <v>0</v>
      </c>
      <c r="E64" s="80">
        <f>INDEX('Balance Sheet'!$D$9:$I$65,MATCH('3Statement Model'!$B64,'Balance Sheet'!$B$9:$B$65,0),MATCH('3Statement Model'!E$9,'Balance Sheet'!$D$6:$I$6,0))</f>
        <v>5988</v>
      </c>
      <c r="F64" s="80">
        <f>INDEX('Balance Sheet'!$D$9:$I$65,MATCH('3Statement Model'!$B64,'Balance Sheet'!$B$9:$B$65,0),MATCH('3Statement Model'!F$9,'Balance Sheet'!$D$6:$I$6,0))</f>
        <v>6141</v>
      </c>
      <c r="G64" s="80">
        <f>INDEX('Balance Sheet'!$D$9:$I$65,MATCH('3Statement Model'!$B64,'Balance Sheet'!$B$9:$B$65,0),MATCH('3Statement Model'!G$9,'Balance Sheet'!$D$6:$I$6,0))</f>
        <v>6421</v>
      </c>
      <c r="H64" s="80">
        <f>INDEX('Balance Sheet'!$D$9:$I$65,MATCH('3Statement Model'!$B64,'Balance Sheet'!$B$9:$B$65,0),MATCH('3Statement Model'!H$9,'Balance Sheet'!$D$6:$I$6,0))</f>
        <v>6557</v>
      </c>
      <c r="I64" s="80">
        <f>INDEX('Balance Sheet'!$D$9:$I$65,MATCH('3Statement Model'!$B64,'Balance Sheet'!$B$9:$B$65,0),MATCH('3Statement Model'!I$9,'Balance Sheet'!$D$6:$I$6,0))</f>
        <v>6685</v>
      </c>
      <c r="J64" s="78">
        <f t="shared" si="61"/>
        <v>6685</v>
      </c>
      <c r="K64" s="78">
        <f>J64</f>
        <v>6685</v>
      </c>
      <c r="L64" s="78">
        <f t="shared" si="62"/>
        <v>6685</v>
      </c>
      <c r="M64" s="78">
        <f t="shared" si="62"/>
        <v>6685</v>
      </c>
      <c r="N64" s="78">
        <f t="shared" si="62"/>
        <v>6685</v>
      </c>
      <c r="O64" s="78">
        <f t="shared" si="63"/>
        <v>6685</v>
      </c>
      <c r="P64" s="78">
        <f t="shared" si="64"/>
        <v>6685</v>
      </c>
      <c r="Q64" s="78">
        <f t="shared" si="65"/>
        <v>6685</v>
      </c>
      <c r="R64" s="78">
        <f t="shared" si="66"/>
        <v>6685</v>
      </c>
      <c r="S64" s="78">
        <f t="shared" si="67"/>
        <v>6685</v>
      </c>
      <c r="U64" s="91">
        <f t="shared" si="60"/>
        <v>0</v>
      </c>
      <c r="V64" s="91">
        <f>_xlfn.RRI(5,J64,T64)</f>
        <v>-1</v>
      </c>
    </row>
    <row r="65" spans="2:22">
      <c r="B65" s="118" t="s">
        <v>197</v>
      </c>
      <c r="C65" s="152"/>
      <c r="D65" s="80">
        <f>INDEX('Balance Sheet'!$D$9:$I$65,MATCH('3Statement Model'!$B65,'Balance Sheet'!$B$9:$B$65,0),MATCH('3Statement Model'!D$9,'Balance Sheet'!$D$6:$I$6,0))</f>
        <v>424</v>
      </c>
      <c r="E65" s="80">
        <f>INDEX('Balance Sheet'!$D$9:$I$65,MATCH('3Statement Model'!$B65,'Balance Sheet'!$B$9:$B$65,0),MATCH('3Statement Model'!E$9,'Balance Sheet'!$D$6:$I$6,0))</f>
        <v>1367</v>
      </c>
      <c r="F65" s="80">
        <f>INDEX('Balance Sheet'!$D$9:$I$65,MATCH('3Statement Model'!$B65,'Balance Sheet'!$B$9:$B$65,0),MATCH('3Statement Model'!F$9,'Balance Sheet'!$D$6:$I$6,0))</f>
        <v>1331</v>
      </c>
      <c r="G65" s="80">
        <f>INDEX('Balance Sheet'!$D$9:$I$65,MATCH('3Statement Model'!$B65,'Balance Sheet'!$B$9:$B$65,0),MATCH('3Statement Model'!G$9,'Balance Sheet'!$D$6:$I$6,0))</f>
        <v>1086</v>
      </c>
      <c r="H65" s="80">
        <f>INDEX('Balance Sheet'!$D$9:$I$65,MATCH('3Statement Model'!$B65,'Balance Sheet'!$B$9:$B$65,0),MATCH('3Statement Model'!H$9,'Balance Sheet'!$D$6:$I$6,0))</f>
        <v>4243</v>
      </c>
      <c r="I65" s="80">
        <f>INDEX('Balance Sheet'!$D$9:$I$65,MATCH('3Statement Model'!$B65,'Balance Sheet'!$B$9:$B$65,0),MATCH('3Statement Model'!I$9,'Balance Sheet'!$D$6:$I$6,0))</f>
        <v>3598</v>
      </c>
      <c r="J65" s="78">
        <f t="shared" si="61"/>
        <v>3598</v>
      </c>
      <c r="K65" s="78">
        <f>J65</f>
        <v>3598</v>
      </c>
      <c r="L65" s="78">
        <f t="shared" si="62"/>
        <v>3598</v>
      </c>
      <c r="M65" s="78">
        <f t="shared" si="62"/>
        <v>3598</v>
      </c>
      <c r="N65" s="78">
        <f t="shared" si="62"/>
        <v>3598</v>
      </c>
      <c r="O65" s="78">
        <f t="shared" si="63"/>
        <v>3598</v>
      </c>
      <c r="P65" s="78">
        <f t="shared" si="64"/>
        <v>3598</v>
      </c>
      <c r="Q65" s="78">
        <f t="shared" si="65"/>
        <v>3598</v>
      </c>
      <c r="R65" s="78">
        <f t="shared" si="66"/>
        <v>3598</v>
      </c>
      <c r="S65" s="78">
        <f t="shared" si="67"/>
        <v>3598</v>
      </c>
      <c r="U65" s="91">
        <f t="shared" si="60"/>
        <v>0</v>
      </c>
      <c r="V65" s="91">
        <f>_xlfn.RRI(5,J65,T65)</f>
        <v>-1</v>
      </c>
    </row>
    <row r="66" spans="2:22">
      <c r="B66" s="120" t="s">
        <v>8</v>
      </c>
      <c r="C66" s="153"/>
      <c r="D66" s="305">
        <f>INDEX('Balance Sheet'!$D$9:$I$65,MATCH('3Statement Model'!$B66,'Balance Sheet'!$B$9:$B$65,0),MATCH('3Statement Model'!D$9,'Balance Sheet'!$D$6:$I$6,0))</f>
        <v>2590</v>
      </c>
      <c r="E66" s="305">
        <f>INDEX('Balance Sheet'!$D$9:$I$65,MATCH('3Statement Model'!$B66,'Balance Sheet'!$B$9:$B$65,0),MATCH('3Statement Model'!E$9,'Balance Sheet'!$D$6:$I$6,0))</f>
        <v>9960</v>
      </c>
      <c r="F66" s="305">
        <f>INDEX('Balance Sheet'!$D$9:$I$65,MATCH('3Statement Model'!$B66,'Balance Sheet'!$B$9:$B$65,0),MATCH('3Statement Model'!F$9,'Balance Sheet'!$D$6:$I$6,0))</f>
        <v>10150</v>
      </c>
      <c r="G66" s="305">
        <f>INDEX('Balance Sheet'!$D$9:$I$65,MATCH('3Statement Model'!$B66,'Balance Sheet'!$B$9:$B$65,0),MATCH('3Statement Model'!G$9,'Balance Sheet'!$D$6:$I$6,0))</f>
        <v>10537</v>
      </c>
      <c r="H66" s="305">
        <f>INDEX('Balance Sheet'!$D$9:$I$65,MATCH('3Statement Model'!$B66,'Balance Sheet'!$B$9:$B$65,0),MATCH('3Statement Model'!H$9,'Balance Sheet'!$D$6:$I$6,0))</f>
        <v>14197</v>
      </c>
      <c r="I66" s="305">
        <f>INDEX('Balance Sheet'!$D$9:$I$65,MATCH('3Statement Model'!$B66,'Balance Sheet'!$B$9:$B$65,0),MATCH('3Statement Model'!I$9,'Balance Sheet'!$D$6:$I$6,0))</f>
        <v>13734</v>
      </c>
      <c r="J66" s="304">
        <f>SUM(J61:J65)</f>
        <v>13863.211600000001</v>
      </c>
      <c r="K66" s="304">
        <f t="shared" ref="K66:N66" si="68">SUM(K61:K65)</f>
        <v>13983.749408</v>
      </c>
      <c r="L66" s="304">
        <f t="shared" si="68"/>
        <v>14116.17215824</v>
      </c>
      <c r="M66" s="304">
        <f t="shared" si="68"/>
        <v>14261.745644943201</v>
      </c>
      <c r="N66" s="304">
        <f t="shared" si="68"/>
        <v>14421.877371978497</v>
      </c>
      <c r="O66" s="304">
        <f t="shared" ref="O66:S66" si="69">SUM(O61:O65)</f>
        <v>14598.132927696061</v>
      </c>
      <c r="P66" s="304">
        <f t="shared" si="69"/>
        <v>14787.915324796752</v>
      </c>
      <c r="Q66" s="304">
        <f t="shared" si="69"/>
        <v>14982.936269732483</v>
      </c>
      <c r="R66" s="304">
        <f t="shared" si="69"/>
        <v>15181.76739770896</v>
      </c>
      <c r="S66" s="304">
        <f t="shared" si="69"/>
        <v>15383.016972037263</v>
      </c>
      <c r="U66" s="91">
        <f t="shared" si="60"/>
        <v>9.8222861688337382E-3</v>
      </c>
    </row>
    <row r="67" spans="2:22">
      <c r="B67" s="115"/>
      <c r="C67" s="11"/>
      <c r="D67" s="11"/>
      <c r="E67" s="11"/>
    </row>
    <row r="68" spans="2:22">
      <c r="B68" s="115" t="s">
        <v>169</v>
      </c>
      <c r="C68" s="12"/>
      <c r="D68" s="80"/>
      <c r="E68" s="80"/>
      <c r="F68" s="80"/>
      <c r="G68" s="80"/>
      <c r="H68" s="80"/>
      <c r="I68" s="80"/>
    </row>
    <row r="69" spans="2:22">
      <c r="B69" s="118" t="s">
        <v>196</v>
      </c>
      <c r="C69" s="75"/>
      <c r="D69" s="80"/>
      <c r="E69" s="80"/>
      <c r="F69" s="80"/>
      <c r="G69" s="80"/>
      <c r="H69" s="80"/>
      <c r="I69" s="80"/>
      <c r="J69" s="80"/>
      <c r="K69" s="80"/>
      <c r="L69" s="80"/>
      <c r="M69" s="80"/>
      <c r="N69" s="80"/>
      <c r="O69" s="80"/>
      <c r="P69" s="80"/>
      <c r="Q69" s="80"/>
      <c r="R69" s="80"/>
      <c r="S69" s="80"/>
      <c r="U69" s="91">
        <f>_xlfn.RRI(5,I69,N69)</f>
        <v>0</v>
      </c>
      <c r="V69" s="91">
        <f>_xlfn.RRI(3,I69,L69)</f>
        <v>0</v>
      </c>
    </row>
    <row r="70" spans="2:22">
      <c r="B70" s="121" t="s">
        <v>170</v>
      </c>
      <c r="C70" s="75"/>
      <c r="D70" s="368">
        <f>INDEX('Balance Sheet'!$D$9:$I$65,MATCH('3Statement Model'!$B70,'Balance Sheet'!$B$9:$B$65,0),MATCH('3Statement Model'!D$9,'Balance Sheet'!$D$6:$I$6,0))</f>
        <v>0</v>
      </c>
      <c r="E70" s="368">
        <f>INDEX('Balance Sheet'!$D$9:$I$65,MATCH('3Statement Model'!$B70,'Balance Sheet'!$B$9:$B$65,0),MATCH('3Statement Model'!E$9,'Balance Sheet'!$D$6:$I$6,0))</f>
        <v>0</v>
      </c>
      <c r="F70" s="368">
        <f>INDEX('Balance Sheet'!$D$9:$I$65,MATCH('3Statement Model'!$B70,'Balance Sheet'!$B$9:$B$65,0),MATCH('3Statement Model'!F$9,'Balance Sheet'!$D$6:$I$6,0))</f>
        <v>0</v>
      </c>
      <c r="G70" s="368">
        <f>INDEX('Balance Sheet'!$D$9:$I$65,MATCH('3Statement Model'!$B70,'Balance Sheet'!$B$9:$B$65,0),MATCH('3Statement Model'!G$9,'Balance Sheet'!$D$6:$I$6,0))</f>
        <v>98</v>
      </c>
      <c r="H70" s="368">
        <f>INDEX('Balance Sheet'!$D$9:$I$65,MATCH('3Statement Model'!$B70,'Balance Sheet'!$B$9:$B$65,0),MATCH('3Statement Model'!H$9,'Balance Sheet'!$D$6:$I$6,0))</f>
        <v>13</v>
      </c>
      <c r="I70" s="368">
        <f>INDEX('Balance Sheet'!$D$9:$I$65,MATCH('3Statement Model'!$B70,'Balance Sheet'!$B$9:$B$65,0),MATCH('3Statement Model'!I$9,'Balance Sheet'!$D$6:$I$6,0))</f>
        <v>1</v>
      </c>
      <c r="J70" s="368">
        <f>Schedules!K248</f>
        <v>0</v>
      </c>
      <c r="K70" s="368">
        <f>Schedules!L248</f>
        <v>0</v>
      </c>
      <c r="L70" s="368">
        <f>Schedules!M248</f>
        <v>0</v>
      </c>
      <c r="M70" s="368">
        <f>Schedules!N248</f>
        <v>0</v>
      </c>
      <c r="N70" s="368">
        <f>Schedules!O248</f>
        <v>0</v>
      </c>
      <c r="O70" s="368">
        <f>Schedules!P248</f>
        <v>0</v>
      </c>
      <c r="P70" s="368">
        <f>Schedules!Q248</f>
        <v>0</v>
      </c>
      <c r="Q70" s="368">
        <f>Schedules!R248</f>
        <v>0</v>
      </c>
      <c r="R70" s="368">
        <f>Schedules!S248</f>
        <v>0</v>
      </c>
      <c r="S70" s="368">
        <f>Schedules!T248</f>
        <v>0</v>
      </c>
      <c r="U70" s="91">
        <f>_xlfn.RRI(5,I70,N70)</f>
        <v>-1</v>
      </c>
      <c r="V70" s="91">
        <f>_xlfn.RRI(3,I70,L70)</f>
        <v>-1</v>
      </c>
    </row>
    <row r="71" spans="2:22">
      <c r="B71" s="121" t="s">
        <v>677</v>
      </c>
      <c r="C71" s="75"/>
      <c r="D71" s="368">
        <f>INDEX('Balance Sheet'!$D$9:$I$65,MATCH('3Statement Model'!$B71,'Balance Sheet'!$B$9:$B$65,0),MATCH('3Statement Model'!D$9,'Balance Sheet'!$D$6:$I$6,0))</f>
        <v>0</v>
      </c>
      <c r="E71" s="368">
        <f>INDEX('Balance Sheet'!$D$9:$I$65,MATCH('3Statement Model'!$B71,'Balance Sheet'!$B$9:$B$65,0),MATCH('3Statement Model'!E$9,'Balance Sheet'!$D$6:$I$6,0))</f>
        <v>0</v>
      </c>
      <c r="F71" s="368">
        <f>INDEX('Balance Sheet'!$D$9:$I$65,MATCH('3Statement Model'!$B71,'Balance Sheet'!$B$9:$B$65,0),MATCH('3Statement Model'!F$9,'Balance Sheet'!$D$6:$I$6,0))</f>
        <v>302</v>
      </c>
      <c r="G71" s="368">
        <f>INDEX('Balance Sheet'!$D$9:$I$65,MATCH('3Statement Model'!$B71,'Balance Sheet'!$B$9:$B$65,0),MATCH('3Statement Model'!G$9,'Balance Sheet'!$D$6:$I$6,0))</f>
        <v>314</v>
      </c>
      <c r="H71" s="368">
        <f>INDEX('Balance Sheet'!$D$9:$I$65,MATCH('3Statement Model'!$B71,'Balance Sheet'!$B$9:$B$65,0),MATCH('3Statement Model'!H$9,'Balance Sheet'!$D$6:$I$6,0))</f>
        <v>365</v>
      </c>
      <c r="I71" s="368">
        <f>INDEX('Balance Sheet'!$D$9:$I$65,MATCH('3Statement Model'!$B71,'Balance Sheet'!$B$9:$B$65,0),MATCH('3Statement Model'!I$9,'Balance Sheet'!$D$6:$I$6,0))</f>
        <v>404</v>
      </c>
      <c r="J71" s="80">
        <f>Schedules!K179</f>
        <v>686.10580000000016</v>
      </c>
      <c r="K71" s="80">
        <f>Schedules!L179</f>
        <v>746.37470400000007</v>
      </c>
      <c r="L71" s="80">
        <f>Schedules!M179</f>
        <v>812.58607912000014</v>
      </c>
      <c r="M71" s="80">
        <f>Schedules!N179</f>
        <v>885.37282247160044</v>
      </c>
      <c r="N71" s="80">
        <f>Schedules!O179</f>
        <v>965.43868598924826</v>
      </c>
      <c r="O71" s="80">
        <f>Schedules!P179</f>
        <v>1053.5664638480305</v>
      </c>
      <c r="P71" s="80">
        <f>Schedules!Q179</f>
        <v>1148.4576623983758</v>
      </c>
      <c r="Q71" s="80">
        <f>Schedules!R179</f>
        <v>1245.9681348662421</v>
      </c>
      <c r="R71" s="80">
        <f>Schedules!S179</f>
        <v>1345.3836988544797</v>
      </c>
      <c r="S71" s="80">
        <f>Schedules!T179</f>
        <v>1446.0084860186314</v>
      </c>
      <c r="U71" s="91">
        <f>_xlfn.RRI(5,I71,N71)</f>
        <v>0.19033352789071878</v>
      </c>
      <c r="V71" s="91">
        <f>_xlfn.RRI(3,I71,L71)</f>
        <v>0.26230025785989075</v>
      </c>
    </row>
    <row r="72" spans="2:22">
      <c r="B72" s="121" t="s">
        <v>171</v>
      </c>
      <c r="C72" s="8"/>
      <c r="D72" s="80">
        <f>INDEX('Balance Sheet'!$D$9:$I$65,MATCH('3Statement Model'!$B72,'Balance Sheet'!$B$9:$B$65,0),MATCH('3Statement Model'!D$9,'Balance Sheet'!$D$6:$I$6,0))</f>
        <v>7535</v>
      </c>
      <c r="E72" s="80">
        <f>INDEX('Balance Sheet'!$D$9:$I$65,MATCH('3Statement Model'!$B72,'Balance Sheet'!$B$9:$B$65,0),MATCH('3Statement Model'!E$9,'Balance Sheet'!$D$6:$I$6,0))</f>
        <v>8802</v>
      </c>
      <c r="F72" s="80">
        <f>INDEX('Balance Sheet'!$D$9:$I$65,MATCH('3Statement Model'!$B72,'Balance Sheet'!$B$9:$B$65,0),MATCH('3Statement Model'!F$9,'Balance Sheet'!$D$6:$I$6,0))</f>
        <v>9068</v>
      </c>
      <c r="G72" s="80">
        <f>INDEX('Balance Sheet'!$D$9:$I$65,MATCH('3Statement Model'!$B72,'Balance Sheet'!$B$9:$B$65,0),MATCH('3Statement Model'!G$9,'Balance Sheet'!$D$6:$I$6,0))</f>
        <v>9574</v>
      </c>
      <c r="H72" s="80">
        <f>INDEX('Balance Sheet'!$D$9:$I$65,MATCH('3Statement Model'!$B72,'Balance Sheet'!$B$9:$B$65,0),MATCH('3Statement Model'!H$9,'Balance Sheet'!$D$6:$I$6,0))</f>
        <v>10486</v>
      </c>
      <c r="I72" s="80">
        <f>INDEX('Balance Sheet'!$D$9:$I$65,MATCH('3Statement Model'!$B72,'Balance Sheet'!$B$9:$B$65,0),MATCH('3Statement Model'!I$9,'Balance Sheet'!$D$6:$I$6,0))</f>
        <v>11315</v>
      </c>
      <c r="J72" s="80">
        <f>Schedules!K253</f>
        <v>14737.176635616443</v>
      </c>
      <c r="K72" s="80">
        <f>Schedules!L253</f>
        <v>15958.104630180822</v>
      </c>
      <c r="L72" s="80">
        <f>Schedules!M253</f>
        <v>17293.612774257974</v>
      </c>
      <c r="M72" s="80">
        <f>Schedules!N253</f>
        <v>18755.349762603877</v>
      </c>
      <c r="N72" s="80">
        <f>Schedules!O253</f>
        <v>20356.208568145899</v>
      </c>
      <c r="O72" s="80">
        <f>Schedules!P253</f>
        <v>22214.376728149156</v>
      </c>
      <c r="P72" s="80">
        <f>Schedules!Q253</f>
        <v>24215.151150186026</v>
      </c>
      <c r="Q72" s="80">
        <f>Schedules!R253</f>
        <v>26271.152783371501</v>
      </c>
      <c r="R72" s="80">
        <f>Schedules!S253</f>
        <v>28367.323140778284</v>
      </c>
      <c r="S72" s="80">
        <f>Schedules!T253</f>
        <v>30488.989886025716</v>
      </c>
    </row>
    <row r="73" spans="2:22">
      <c r="B73" s="121" t="s">
        <v>678</v>
      </c>
      <c r="C73" s="11"/>
      <c r="D73" s="80">
        <f>INDEX('Balance Sheet'!$D$9:$I$65,MATCH('3Statement Model'!$B73,'Balance Sheet'!$B$9:$B$65,0),MATCH('3Statement Model'!D$9,'Balance Sheet'!$D$6:$I$6,0))</f>
        <v>932</v>
      </c>
      <c r="E73" s="80">
        <f>INDEX('Balance Sheet'!$D$9:$I$65,MATCH('3Statement Model'!$B73,'Balance Sheet'!$B$9:$B$65,0),MATCH('3Statement Model'!E$9,'Balance Sheet'!$D$6:$I$6,0))</f>
        <v>1206</v>
      </c>
      <c r="F73" s="80">
        <f>INDEX('Balance Sheet'!$D$9:$I$65,MATCH('3Statement Model'!$B73,'Balance Sheet'!$B$9:$B$65,0),MATCH('3Statement Model'!F$9,'Balance Sheet'!$D$6:$I$6,0))</f>
        <v>899</v>
      </c>
      <c r="G73" s="80">
        <f>INDEX('Balance Sheet'!$D$9:$I$65,MATCH('3Statement Model'!$B73,'Balance Sheet'!$B$9:$B$65,0),MATCH('3Statement Model'!G$9,'Balance Sheet'!$D$6:$I$6,0))</f>
        <v>889</v>
      </c>
      <c r="H73" s="80">
        <f>INDEX('Balance Sheet'!$D$9:$I$65,MATCH('3Statement Model'!$B73,'Balance Sheet'!$B$9:$B$65,0),MATCH('3Statement Model'!H$9,'Balance Sheet'!$D$6:$I$6,0))</f>
        <v>868</v>
      </c>
      <c r="I73" s="80">
        <f>INDEX('Balance Sheet'!$D$9:$I$65,MATCH('3Statement Model'!$B73,'Balance Sheet'!$B$9:$B$65,0),MATCH('3Statement Model'!I$9,'Balance Sheet'!$D$6:$I$6,0))</f>
        <v>1280</v>
      </c>
      <c r="J73" s="78">
        <f t="shared" ref="J73:J76" si="70">I73</f>
        <v>1280</v>
      </c>
      <c r="K73" s="78">
        <f>J73</f>
        <v>1280</v>
      </c>
      <c r="L73" s="78">
        <f t="shared" ref="L73:N73" si="71">K73</f>
        <v>1280</v>
      </c>
      <c r="M73" s="78">
        <f t="shared" si="71"/>
        <v>1280</v>
      </c>
      <c r="N73" s="78">
        <f t="shared" si="71"/>
        <v>1280</v>
      </c>
      <c r="O73" s="78">
        <f t="shared" ref="O73:O76" si="72">N73</f>
        <v>1280</v>
      </c>
      <c r="P73" s="78">
        <f t="shared" ref="P73:P76" si="73">O73</f>
        <v>1280</v>
      </c>
      <c r="Q73" s="78">
        <f t="shared" ref="Q73:Q76" si="74">P73</f>
        <v>1280</v>
      </c>
      <c r="R73" s="78">
        <f t="shared" ref="R73:R76" si="75">Q73</f>
        <v>1280</v>
      </c>
      <c r="S73" s="78">
        <f t="shared" ref="S73:S76" si="76">R73</f>
        <v>1280</v>
      </c>
    </row>
    <row r="74" spans="2:22">
      <c r="B74" s="118" t="s">
        <v>10</v>
      </c>
      <c r="C74" s="75"/>
      <c r="D74" s="80">
        <f>INDEX('Balance Sheet'!$D$9:$I$65,MATCH('3Statement Model'!$B74,'Balance Sheet'!$B$9:$B$65,0),MATCH('3Statement Model'!D$9,'Balance Sheet'!$D$6:$I$6,0))</f>
        <v>428</v>
      </c>
      <c r="E74" s="80">
        <f>INDEX('Balance Sheet'!$D$9:$I$65,MATCH('3Statement Model'!$B74,'Balance Sheet'!$B$9:$B$65,0),MATCH('3Statement Model'!E$9,'Balance Sheet'!$D$6:$I$6,0))</f>
        <v>588</v>
      </c>
      <c r="F74" s="80">
        <f>INDEX('Balance Sheet'!$D$9:$I$65,MATCH('3Statement Model'!$B74,'Balance Sheet'!$B$9:$B$65,0),MATCH('3Statement Model'!F$9,'Balance Sheet'!$D$6:$I$6,0))</f>
        <v>665</v>
      </c>
      <c r="G74" s="80">
        <f>INDEX('Balance Sheet'!$D$9:$I$65,MATCH('3Statement Model'!$B74,'Balance Sheet'!$B$9:$B$65,0),MATCH('3Statement Model'!G$9,'Balance Sheet'!$D$6:$I$6,0))</f>
        <v>764</v>
      </c>
      <c r="H74" s="80">
        <f>INDEX('Balance Sheet'!$D$9:$I$65,MATCH('3Statement Model'!$B74,'Balance Sheet'!$B$9:$B$65,0),MATCH('3Statement Model'!H$9,'Balance Sheet'!$D$6:$I$6,0))</f>
        <v>807</v>
      </c>
      <c r="I74" s="80">
        <f>INDEX('Balance Sheet'!$D$9:$I$65,MATCH('3Statement Model'!$B74,'Balance Sheet'!$B$9:$B$65,0),MATCH('3Statement Model'!I$9,'Balance Sheet'!$D$6:$I$6,0))</f>
        <v>959</v>
      </c>
      <c r="J74" s="78">
        <f t="shared" si="70"/>
        <v>959</v>
      </c>
      <c r="K74" s="78">
        <f>J74</f>
        <v>959</v>
      </c>
      <c r="L74" s="78">
        <f t="shared" ref="L74:N74" si="77">K74</f>
        <v>959</v>
      </c>
      <c r="M74" s="78">
        <f t="shared" si="77"/>
        <v>959</v>
      </c>
      <c r="N74" s="78">
        <f t="shared" si="77"/>
        <v>959</v>
      </c>
      <c r="O74" s="78">
        <f t="shared" si="72"/>
        <v>959</v>
      </c>
      <c r="P74" s="78">
        <f t="shared" si="73"/>
        <v>959</v>
      </c>
      <c r="Q74" s="78">
        <f t="shared" si="74"/>
        <v>959</v>
      </c>
      <c r="R74" s="78">
        <f t="shared" si="75"/>
        <v>959</v>
      </c>
      <c r="S74" s="78">
        <f t="shared" si="76"/>
        <v>959</v>
      </c>
      <c r="U74" s="91">
        <f>_xlfn.RRI(5,I74,N74)</f>
        <v>0</v>
      </c>
      <c r="V74" s="91">
        <f>_xlfn.RRI(3,I74,L74)</f>
        <v>0</v>
      </c>
    </row>
    <row r="75" spans="2:22">
      <c r="B75" s="118" t="s">
        <v>680</v>
      </c>
      <c r="C75" s="75"/>
      <c r="D75" s="80">
        <f>INDEX('Balance Sheet'!$D$9:$I$65,MATCH('3Statement Model'!$B75,'Balance Sheet'!$B$9:$B$65,0),MATCH('3Statement Model'!D$9,'Balance Sheet'!$D$6:$I$6,0))</f>
        <v>422</v>
      </c>
      <c r="E75" s="80">
        <f>INDEX('Balance Sheet'!$D$9:$I$65,MATCH('3Statement Model'!$B75,'Balance Sheet'!$B$9:$B$65,0),MATCH('3Statement Model'!E$9,'Balance Sheet'!$D$6:$I$6,0))</f>
        <v>507</v>
      </c>
      <c r="F75" s="80">
        <f>INDEX('Balance Sheet'!$D$9:$I$65,MATCH('3Statement Model'!$B75,'Balance Sheet'!$B$9:$B$65,0),MATCH('3Statement Model'!F$9,'Balance Sheet'!$D$6:$I$6,0))</f>
        <v>346</v>
      </c>
      <c r="G75" s="80">
        <f>INDEX('Balance Sheet'!$D$9:$I$65,MATCH('3Statement Model'!$B75,'Balance Sheet'!$B$9:$B$65,0),MATCH('3Statement Model'!G$9,'Balance Sheet'!$D$6:$I$6,0))</f>
        <v>389</v>
      </c>
      <c r="H75" s="80">
        <f>INDEX('Balance Sheet'!$D$9:$I$65,MATCH('3Statement Model'!$B75,'Balance Sheet'!$B$9:$B$65,0),MATCH('3Statement Model'!H$9,'Balance Sheet'!$D$6:$I$6,0))</f>
        <v>340</v>
      </c>
      <c r="I75" s="80">
        <f>INDEX('Balance Sheet'!$D$9:$I$65,MATCH('3Statement Model'!$B75,'Balance Sheet'!$B$9:$B$65,0),MATCH('3Statement Model'!I$9,'Balance Sheet'!$D$6:$I$6,0))</f>
        <v>675</v>
      </c>
      <c r="J75" s="78">
        <f t="shared" si="70"/>
        <v>675</v>
      </c>
      <c r="K75" s="78">
        <f>J75</f>
        <v>675</v>
      </c>
      <c r="L75" s="78">
        <f t="shared" ref="L75:N75" si="78">K75</f>
        <v>675</v>
      </c>
      <c r="M75" s="78">
        <f t="shared" si="78"/>
        <v>675</v>
      </c>
      <c r="N75" s="78">
        <f t="shared" si="78"/>
        <v>675</v>
      </c>
      <c r="O75" s="78">
        <f t="shared" si="72"/>
        <v>675</v>
      </c>
      <c r="P75" s="78">
        <f t="shared" si="73"/>
        <v>675</v>
      </c>
      <c r="Q75" s="78">
        <f t="shared" si="74"/>
        <v>675</v>
      </c>
      <c r="R75" s="78">
        <f t="shared" si="75"/>
        <v>675</v>
      </c>
      <c r="S75" s="78">
        <f t="shared" si="76"/>
        <v>675</v>
      </c>
      <c r="U75" s="91">
        <f>_xlfn.RRI(5,I75,N75)</f>
        <v>0</v>
      </c>
      <c r="V75" s="91">
        <f>_xlfn.RRI(3,I75,L75)</f>
        <v>0</v>
      </c>
    </row>
    <row r="76" spans="2:22">
      <c r="B76" s="11" t="s">
        <v>198</v>
      </c>
      <c r="C76" s="75"/>
      <c r="D76" s="368">
        <f>INDEX('Balance Sheet'!$D$9:$I$65,MATCH('3Statement Model'!$B76,'Balance Sheet'!$B$9:$B$65,0),MATCH('3Statement Model'!D$9,'Balance Sheet'!$D$6:$I$6,0))</f>
        <v>0</v>
      </c>
      <c r="E76" s="368">
        <f>INDEX('Balance Sheet'!$D$9:$I$65,MATCH('3Statement Model'!$B76,'Balance Sheet'!$B$9:$B$65,0),MATCH('3Statement Model'!E$9,'Balance Sheet'!$D$6:$I$6,0))</f>
        <v>0</v>
      </c>
      <c r="F76" s="368">
        <f>INDEX('Balance Sheet'!$D$9:$I$65,MATCH('3Statement Model'!$B76,'Balance Sheet'!$B$9:$B$65,0),MATCH('3Statement Model'!F$9,'Balance Sheet'!$D$6:$I$6,0))</f>
        <v>0</v>
      </c>
      <c r="G76" s="368">
        <f>INDEX('Balance Sheet'!$D$9:$I$65,MATCH('3Statement Model'!$B76,'Balance Sheet'!$B$9:$B$65,0),MATCH('3Statement Model'!G$9,'Balance Sheet'!$D$6:$I$6,0))</f>
        <v>0</v>
      </c>
      <c r="H76" s="368">
        <f>INDEX('Balance Sheet'!$D$9:$I$65,MATCH('3Statement Model'!$B76,'Balance Sheet'!$B$9:$B$65,0),MATCH('3Statement Model'!H$9,'Balance Sheet'!$D$6:$I$6,0))</f>
        <v>0</v>
      </c>
      <c r="I76" s="368">
        <f>INDEX('Balance Sheet'!$D$9:$I$65,MATCH('3Statement Model'!$B76,'Balance Sheet'!$B$9:$B$65,0),MATCH('3Statement Model'!I$9,'Balance Sheet'!$D$6:$I$6,0))</f>
        <v>1903</v>
      </c>
      <c r="J76" s="78">
        <f t="shared" si="70"/>
        <v>1903</v>
      </c>
      <c r="K76" s="78">
        <f>J76</f>
        <v>1903</v>
      </c>
      <c r="L76" s="78">
        <f t="shared" ref="L76:N76" si="79">K76</f>
        <v>1903</v>
      </c>
      <c r="M76" s="78">
        <f t="shared" si="79"/>
        <v>1903</v>
      </c>
      <c r="N76" s="78">
        <f t="shared" si="79"/>
        <v>1903</v>
      </c>
      <c r="O76" s="78">
        <f t="shared" si="72"/>
        <v>1903</v>
      </c>
      <c r="P76" s="78">
        <f t="shared" si="73"/>
        <v>1903</v>
      </c>
      <c r="Q76" s="78">
        <f t="shared" si="74"/>
        <v>1903</v>
      </c>
      <c r="R76" s="78">
        <f t="shared" si="75"/>
        <v>1903</v>
      </c>
      <c r="S76" s="78">
        <f t="shared" si="76"/>
        <v>1903</v>
      </c>
      <c r="U76" s="91">
        <f>_xlfn.RRI(5,I76,N76)</f>
        <v>0</v>
      </c>
      <c r="V76" s="91">
        <f>_xlfn.RRI(3,I76,L76)</f>
        <v>0</v>
      </c>
    </row>
    <row r="77" spans="2:22">
      <c r="B77" s="120" t="s">
        <v>9</v>
      </c>
      <c r="C77" s="153"/>
      <c r="D77" s="305">
        <f>INDEX('Balance Sheet'!$D$9:$I$65,MATCH('3Statement Model'!$B77,'Balance Sheet'!$B$9:$B$65,0),MATCH('3Statement Model'!D$9,'Balance Sheet'!$D$6:$I$6,0))</f>
        <v>9317</v>
      </c>
      <c r="E77" s="305">
        <f>INDEX('Balance Sheet'!$D$9:$I$65,MATCH('3Statement Model'!$B77,'Balance Sheet'!$B$9:$B$65,0),MATCH('3Statement Model'!E$9,'Balance Sheet'!$D$6:$I$6,0))</f>
        <v>11103</v>
      </c>
      <c r="F77" s="305">
        <f>INDEX('Balance Sheet'!$D$9:$I$65,MATCH('3Statement Model'!$B77,'Balance Sheet'!$B$9:$B$65,0),MATCH('3Statement Model'!F$9,'Balance Sheet'!$D$6:$I$6,0))</f>
        <v>11280</v>
      </c>
      <c r="G77" s="305">
        <f>INDEX('Balance Sheet'!$D$9:$I$65,MATCH('3Statement Model'!$B77,'Balance Sheet'!$B$9:$B$65,0),MATCH('3Statement Model'!G$9,'Balance Sheet'!$D$6:$I$6,0))</f>
        <v>12028</v>
      </c>
      <c r="H77" s="305">
        <f>INDEX('Balance Sheet'!$D$9:$I$65,MATCH('3Statement Model'!$B77,'Balance Sheet'!$B$9:$B$65,0),MATCH('3Statement Model'!H$9,'Balance Sheet'!$D$6:$I$6,0))</f>
        <v>12879</v>
      </c>
      <c r="I77" s="305">
        <f>INDEX('Balance Sheet'!$D$9:$I$65,MATCH('3Statement Model'!$B77,'Balance Sheet'!$B$9:$B$65,0),MATCH('3Statement Model'!I$9,'Balance Sheet'!$D$6:$I$6,0))</f>
        <v>16537</v>
      </c>
      <c r="J77" s="304">
        <f>SUM(J70:J76)</f>
        <v>20240.282435616442</v>
      </c>
      <c r="K77" s="304">
        <f t="shared" ref="K77:N77" si="80">SUM(K70:K76)</f>
        <v>21521.479334180822</v>
      </c>
      <c r="L77" s="304">
        <f t="shared" si="80"/>
        <v>22923.198853377973</v>
      </c>
      <c r="M77" s="304">
        <f t="shared" si="80"/>
        <v>24457.722585075477</v>
      </c>
      <c r="N77" s="304">
        <f t="shared" si="80"/>
        <v>26138.647254135147</v>
      </c>
      <c r="O77" s="304">
        <f t="shared" ref="O77:S77" si="81">SUM(O70:O76)</f>
        <v>28084.943191997187</v>
      </c>
      <c r="P77" s="304">
        <f t="shared" si="81"/>
        <v>30180.608812584403</v>
      </c>
      <c r="Q77" s="304">
        <f t="shared" si="81"/>
        <v>32334.120918237742</v>
      </c>
      <c r="R77" s="304">
        <f t="shared" si="81"/>
        <v>34529.706839632767</v>
      </c>
      <c r="S77" s="304">
        <f t="shared" si="81"/>
        <v>36751.998372044349</v>
      </c>
    </row>
    <row r="78" spans="2:22">
      <c r="B78" s="11"/>
      <c r="C78" s="11"/>
      <c r="D78" s="11"/>
      <c r="E78" s="11"/>
    </row>
    <row r="79" spans="2:22" ht="15" thickBot="1">
      <c r="B79" s="122" t="s">
        <v>199</v>
      </c>
      <c r="C79" s="307"/>
      <c r="D79" s="90">
        <f>INDEX('Balance Sheet'!$D$9:$I$65,MATCH('3Statement Model'!$B79,'Balance Sheet'!$B$9:$B$65,0),MATCH('3Statement Model'!D$9,'Balance Sheet'!$D$6:$I$6,0))</f>
        <v>20153</v>
      </c>
      <c r="E79" s="90">
        <f>INDEX('Balance Sheet'!$D$9:$I$65,MATCH('3Statement Model'!$B79,'Balance Sheet'!$B$9:$B$65,0),MATCH('3Statement Model'!E$9,'Balance Sheet'!$D$6:$I$6,0))</f>
        <v>68757</v>
      </c>
      <c r="F79" s="90">
        <f>INDEX('Balance Sheet'!$D$9:$I$65,MATCH('3Statement Model'!$B79,'Balance Sheet'!$B$9:$B$65,0),MATCH('3Statement Model'!F$9,'Balance Sheet'!$D$6:$I$6,0))</f>
        <v>70517</v>
      </c>
      <c r="G79" s="90">
        <f>INDEX('Balance Sheet'!$D$9:$I$65,MATCH('3Statement Model'!$B79,'Balance Sheet'!$B$9:$B$65,0),MATCH('3Statement Model'!G$9,'Balance Sheet'!$D$6:$I$6,0))</f>
        <v>73087</v>
      </c>
      <c r="H79" s="90">
        <f>INDEX('Balance Sheet'!$D$9:$I$65,MATCH('3Statement Model'!$B79,'Balance Sheet'!$B$9:$B$65,0),MATCH('3Statement Model'!H$9,'Balance Sheet'!$D$6:$I$6,0))</f>
        <v>78499</v>
      </c>
      <c r="I79" s="90">
        <f>INDEX('Balance Sheet'!$D$9:$I$65,MATCH('3Statement Model'!$B79,'Balance Sheet'!$B$9:$B$65,0),MATCH('3Statement Model'!I$9,'Balance Sheet'!$D$6:$I$6,0))</f>
        <v>79880</v>
      </c>
      <c r="J79" s="90">
        <f>SUM(J77,J66,J57)</f>
        <v>84762.475246437854</v>
      </c>
      <c r="K79" s="90">
        <f t="shared" ref="K79:N79" si="82">SUM(K77,K66,K57)</f>
        <v>87080.195191281731</v>
      </c>
      <c r="L79" s="90">
        <f t="shared" si="82"/>
        <v>89364.569787007902</v>
      </c>
      <c r="M79" s="90">
        <f t="shared" si="82"/>
        <v>91591.627876575076</v>
      </c>
      <c r="N79" s="90">
        <f t="shared" si="82"/>
        <v>93732.159325287197</v>
      </c>
      <c r="O79" s="90">
        <f t="shared" ref="O79:S79" si="83">SUM(O77,O66,O57)</f>
        <v>95854.710818866792</v>
      </c>
      <c r="P79" s="90">
        <f t="shared" si="83"/>
        <v>97787.636699571449</v>
      </c>
      <c r="Q79" s="90">
        <f t="shared" si="83"/>
        <v>99375.057004216884</v>
      </c>
      <c r="R79" s="90">
        <f t="shared" si="83"/>
        <v>100542.76471645242</v>
      </c>
      <c r="S79" s="90">
        <f t="shared" si="83"/>
        <v>101216.98802678689</v>
      </c>
      <c r="U79" s="91">
        <f>_xlfn.RRI(5,I79,N79)</f>
        <v>3.250012563418192E-2</v>
      </c>
      <c r="V79" s="91">
        <f>_xlfn.RRI(3,I79,L79)</f>
        <v>3.8107760283743852E-2</v>
      </c>
    </row>
    <row r="80" spans="2:22">
      <c r="B80" s="115"/>
      <c r="C80" s="75"/>
      <c r="D80" s="75"/>
      <c r="E80" s="75"/>
      <c r="G80" s="80"/>
      <c r="H80" s="80"/>
      <c r="I80" s="80"/>
      <c r="J80" s="80"/>
      <c r="K80" s="80"/>
      <c r="L80" s="80"/>
      <c r="M80" s="80"/>
      <c r="N80" s="80"/>
      <c r="O80" s="80"/>
      <c r="P80" s="80"/>
      <c r="Q80" s="80"/>
      <c r="R80" s="80"/>
      <c r="S80" s="80"/>
      <c r="U80" s="91"/>
      <c r="V80" s="91"/>
    </row>
    <row r="81" spans="2:22">
      <c r="B81" s="115" t="s">
        <v>172</v>
      </c>
      <c r="C81" s="8"/>
      <c r="D81" s="8"/>
      <c r="E81" s="8"/>
      <c r="G81" s="84"/>
      <c r="H81" s="84"/>
      <c r="I81" s="84"/>
      <c r="J81" s="84"/>
      <c r="K81" s="84"/>
      <c r="L81" s="84"/>
      <c r="M81" s="84"/>
      <c r="N81" s="84"/>
      <c r="O81" s="84"/>
      <c r="P81" s="84"/>
      <c r="Q81" s="84"/>
      <c r="R81" s="84"/>
      <c r="S81" s="84"/>
    </row>
    <row r="82" spans="2:22">
      <c r="B82" s="115" t="s">
        <v>173</v>
      </c>
      <c r="C82" s="11"/>
      <c r="D82" s="11"/>
      <c r="E82" s="11"/>
    </row>
    <row r="83" spans="2:22">
      <c r="B83" s="118" t="s">
        <v>188</v>
      </c>
      <c r="C83" s="152"/>
      <c r="D83" s="80">
        <f>INDEX('Balance Sheet'!$D$9:$I$65,MATCH('3Statement Model'!$B83,'Balance Sheet'!$B$9:$B$65,0),MATCH('3Statement Model'!D$9,'Balance Sheet'!$D$6:$I$6,0))</f>
        <v>4109</v>
      </c>
      <c r="E83" s="80">
        <f>INDEX('Balance Sheet'!$D$9:$I$65,MATCH('3Statement Model'!$B83,'Balance Sheet'!$B$9:$B$65,0),MATCH('3Statement Model'!E$9,'Balance Sheet'!$D$6:$I$6,0))</f>
        <v>5067</v>
      </c>
      <c r="F83" s="80">
        <f>INDEX('Balance Sheet'!$D$9:$I$65,MATCH('3Statement Model'!$B83,'Balance Sheet'!$B$9:$B$65,0),MATCH('3Statement Model'!F$9,'Balance Sheet'!$D$6:$I$6,0))</f>
        <v>5101</v>
      </c>
      <c r="G83" s="80">
        <f>INDEX('Balance Sheet'!$D$9:$I$65,MATCH('3Statement Model'!$B83,'Balance Sheet'!$B$9:$B$65,0),MATCH('3Statement Model'!G$9,'Balance Sheet'!$D$6:$I$6,0))</f>
        <v>5767</v>
      </c>
      <c r="H83" s="80">
        <f>INDEX('Balance Sheet'!$D$9:$I$65,MATCH('3Statement Model'!$B83,'Balance Sheet'!$B$9:$B$65,0),MATCH('3Statement Model'!H$9,'Balance Sheet'!$D$6:$I$6,0))</f>
        <v>6517</v>
      </c>
      <c r="I83" s="80">
        <f>INDEX('Balance Sheet'!$D$9:$I$65,MATCH('3Statement Model'!$B83,'Balance Sheet'!$B$9:$B$65,0),MATCH('3Statement Model'!I$9,'Balance Sheet'!$D$6:$I$6,0))</f>
        <v>6941</v>
      </c>
      <c r="J83" s="80">
        <f>Schedules!K76</f>
        <v>7201.4916400702832</v>
      </c>
      <c r="K83" s="80">
        <f>Schedules!L76</f>
        <v>7483.6075901902077</v>
      </c>
      <c r="L83" s="80">
        <f>Schedules!M76</f>
        <v>7790.4923122540722</v>
      </c>
      <c r="M83" s="80">
        <f>Schedules!N76</f>
        <v>8125.6905098605239</v>
      </c>
      <c r="N83" s="80">
        <f>Schedules!O76</f>
        <v>8493.1963780028982</v>
      </c>
      <c r="O83" s="80">
        <f>Schedules!P76</f>
        <v>8897.5088560696095</v>
      </c>
      <c r="P83" s="80">
        <f>Schedules!Q76</f>
        <v>9339.5277215652168</v>
      </c>
      <c r="Q83" s="80">
        <f>Schedules!R76</f>
        <v>9811.2673982131091</v>
      </c>
      <c r="R83" s="80">
        <f>Schedules!S76</f>
        <v>10303.011662816794</v>
      </c>
      <c r="S83" s="80">
        <f>Schedules!T76</f>
        <v>10803.446768794289</v>
      </c>
      <c r="U83" s="91">
        <f>_xlfn.RRI(5,I83,N83)</f>
        <v>4.118960675559924E-2</v>
      </c>
      <c r="V83" s="91">
        <f>_xlfn.RRI(3,I83,L83)</f>
        <v>3.923624806126691E-2</v>
      </c>
    </row>
    <row r="84" spans="2:22">
      <c r="B84" s="118" t="s">
        <v>722</v>
      </c>
      <c r="C84" s="152"/>
      <c r="D84" s="80">
        <f>'Balance Sheet'!D40</f>
        <v>851</v>
      </c>
      <c r="E84" s="80">
        <f>'Balance Sheet'!E40</f>
        <v>1049</v>
      </c>
      <c r="F84" s="80">
        <f>'Balance Sheet'!F40</f>
        <v>1068</v>
      </c>
      <c r="G84" s="80">
        <f>'Balance Sheet'!G40</f>
        <v>1182</v>
      </c>
      <c r="H84" s="80">
        <f>'Balance Sheet'!H40</f>
        <v>1514</v>
      </c>
      <c r="I84" s="80">
        <f>'Balance Sheet'!I40</f>
        <v>1684</v>
      </c>
      <c r="J84" s="80">
        <f>Schedules!K86</f>
        <v>2522.2599517444824</v>
      </c>
      <c r="K84" s="80">
        <f>Schedules!L86</f>
        <v>3129.6221900329642</v>
      </c>
      <c r="L84" s="80">
        <f>Schedules!M86</f>
        <v>3754.9328231857658</v>
      </c>
      <c r="M84" s="80">
        <f>Schedules!N86</f>
        <v>4400.6879086204262</v>
      </c>
      <c r="N84" s="80">
        <f>Schedules!O86</f>
        <v>5069.6978275910842</v>
      </c>
      <c r="O84" s="80">
        <f>Schedules!P86</f>
        <v>5765.1258491118842</v>
      </c>
      <c r="P84" s="80">
        <f>Schedules!Q86</f>
        <v>6482.2092563707065</v>
      </c>
      <c r="Q84" s="80">
        <f>Schedules!R86</f>
        <v>7203.6833733477488</v>
      </c>
      <c r="R84" s="80">
        <f>Schedules!S86</f>
        <v>7921.7825343999702</v>
      </c>
      <c r="S84" s="80">
        <f>Schedules!T86</f>
        <v>8628.0732933339314</v>
      </c>
      <c r="U84" s="91"/>
      <c r="V84" s="91"/>
    </row>
    <row r="85" spans="2:22">
      <c r="B85" s="118" t="s">
        <v>175</v>
      </c>
      <c r="C85" s="152"/>
      <c r="D85" s="80">
        <f>INDEX('Balance Sheet'!$D$9:$I$65,MATCH('3Statement Model'!$B85,'Balance Sheet'!$B$9:$B$65,0),MATCH('3Statement Model'!D$9,'Balance Sheet'!$D$6:$I$6,0))</f>
        <v>597</v>
      </c>
      <c r="E85" s="80">
        <f>INDEX('Balance Sheet'!$D$9:$I$65,MATCH('3Statement Model'!$B85,'Balance Sheet'!$B$9:$B$65,0),MATCH('3Statement Model'!E$9,'Balance Sheet'!$D$6:$I$6,0))</f>
        <v>745</v>
      </c>
      <c r="F85" s="80">
        <f>INDEX('Balance Sheet'!$D$9:$I$65,MATCH('3Statement Model'!$B85,'Balance Sheet'!$B$9:$B$65,0),MATCH('3Statement Model'!F$9,'Balance Sheet'!$D$6:$I$6,0))</f>
        <v>1313</v>
      </c>
      <c r="G85" s="80">
        <f>INDEX('Balance Sheet'!$D$9:$I$65,MATCH('3Statement Model'!$B85,'Balance Sheet'!$B$9:$B$65,0),MATCH('3Statement Model'!G$9,'Balance Sheet'!$D$6:$I$6,0))</f>
        <v>1132</v>
      </c>
      <c r="H85" s="80">
        <f>INDEX('Balance Sheet'!$D$9:$I$65,MATCH('3Statement Model'!$B85,'Balance Sheet'!$B$9:$B$65,0),MATCH('3Statement Model'!H$9,'Balance Sheet'!$D$6:$I$6,0))</f>
        <v>1025</v>
      </c>
      <c r="I85" s="80">
        <f>INDEX('Balance Sheet'!$D$9:$I$65,MATCH('3Statement Model'!$B85,'Balance Sheet'!$B$9:$B$65,0),MATCH('3Statement Model'!I$9,'Balance Sheet'!$D$6:$I$6,0))</f>
        <v>1009</v>
      </c>
      <c r="J85" s="80">
        <f>Schedules!K94</f>
        <v>1058.3955240584546</v>
      </c>
      <c r="K85" s="80">
        <f>Schedules!L94</f>
        <v>1064.2199009290568</v>
      </c>
      <c r="L85" s="80">
        <f>Schedules!M94</f>
        <v>1070.5583997723352</v>
      </c>
      <c r="M85" s="80">
        <f>Schedules!N94</f>
        <v>1077.484597510505</v>
      </c>
      <c r="N85" s="80">
        <f>Schedules!O94</f>
        <v>1085.0814010964775</v>
      </c>
      <c r="O85" s="80">
        <f>Schedules!P94</f>
        <v>1093.5182208788754</v>
      </c>
      <c r="P85" s="80">
        <f>Schedules!Q94</f>
        <v>1102.8281640718462</v>
      </c>
      <c r="Q85" s="80">
        <f>Schedules!R94</f>
        <v>1112.8688290580635</v>
      </c>
      <c r="R85" s="80">
        <f>Schedules!S94</f>
        <v>1123.4657192973095</v>
      </c>
      <c r="S85" s="80">
        <f>Schedules!T94</f>
        <v>1134.4152720846087</v>
      </c>
      <c r="U85" s="91">
        <f t="shared" ref="U85:U95" si="84">_xlfn.RRI(5,I85,N85)</f>
        <v>1.4645259496189444E-2</v>
      </c>
      <c r="V85" s="91">
        <f t="shared" ref="V85:V95" si="85">_xlfn.RRI(3,I85,L85)</f>
        <v>1.9936339718114926E-2</v>
      </c>
    </row>
    <row r="86" spans="2:22">
      <c r="B86" s="11" t="s">
        <v>15</v>
      </c>
      <c r="C86" s="152"/>
      <c r="D86" s="80">
        <f>INDEX('Balance Sheet'!$D$9:$I$65,MATCH('3Statement Model'!$B86,'Balance Sheet'!$B$9:$B$65,0),MATCH('3Statement Model'!D$9,'Balance Sheet'!$D$6:$I$6,0))</f>
        <v>117</v>
      </c>
      <c r="E86" s="80">
        <f>INDEX('Balance Sheet'!$D$9:$I$65,MATCH('3Statement Model'!$B86,'Balance Sheet'!$B$9:$B$65,0),MATCH('3Statement Model'!E$9,'Balance Sheet'!$D$6:$I$6,0))</f>
        <v>17397</v>
      </c>
      <c r="F86" s="80">
        <f>INDEX('Balance Sheet'!$D$9:$I$65,MATCH('3Statement Model'!$B86,'Balance Sheet'!$B$9:$B$65,0),MATCH('3Statement Model'!F$9,'Balance Sheet'!$D$6:$I$6,0))</f>
        <v>17397</v>
      </c>
      <c r="G86" s="80">
        <f>INDEX('Balance Sheet'!$D$9:$I$65,MATCH('3Statement Model'!$B86,'Balance Sheet'!$B$9:$B$65,0),MATCH('3Statement Model'!G$9,'Balance Sheet'!$D$6:$I$6,0))</f>
        <v>17466</v>
      </c>
      <c r="H86" s="80">
        <f>INDEX('Balance Sheet'!$D$9:$I$65,MATCH('3Statement Model'!$B86,'Balance Sheet'!$B$9:$B$65,0),MATCH('3Statement Model'!H$9,'Balance Sheet'!$D$6:$I$6,0))</f>
        <v>17466</v>
      </c>
      <c r="I86" s="80">
        <f>INDEX('Balance Sheet'!$D$9:$I$65,MATCH('3Statement Model'!$B86,'Balance Sheet'!$B$9:$B$65,0),MATCH('3Statement Model'!I$9,'Balance Sheet'!$D$6:$I$6,0))</f>
        <v>17466</v>
      </c>
      <c r="J86" s="80">
        <f>Schedules!K102</f>
        <v>17466</v>
      </c>
      <c r="K86" s="80">
        <f>Schedules!L102</f>
        <v>17466</v>
      </c>
      <c r="L86" s="80">
        <f>Schedules!M102</f>
        <v>17466</v>
      </c>
      <c r="M86" s="80">
        <f>Schedules!N102</f>
        <v>17466</v>
      </c>
      <c r="N86" s="80">
        <f>Schedules!O102</f>
        <v>17466</v>
      </c>
      <c r="O86" s="80">
        <f>Schedules!P102</f>
        <v>17466</v>
      </c>
      <c r="P86" s="80">
        <f>Schedules!Q102</f>
        <v>17466</v>
      </c>
      <c r="Q86" s="80">
        <f>Schedules!R102</f>
        <v>17466</v>
      </c>
      <c r="R86" s="80">
        <f>Schedules!S102</f>
        <v>17466</v>
      </c>
      <c r="S86" s="80">
        <f>Schedules!T102</f>
        <v>17466</v>
      </c>
      <c r="U86" s="91">
        <f t="shared" si="84"/>
        <v>0</v>
      </c>
      <c r="V86" s="91">
        <f t="shared" si="85"/>
        <v>0</v>
      </c>
    </row>
    <row r="87" spans="2:22">
      <c r="B87" s="118" t="s">
        <v>174</v>
      </c>
      <c r="C87" s="152"/>
      <c r="D87" s="80">
        <f>INDEX('Balance Sheet'!$D$9:$I$65,MATCH('3Statement Model'!$B87,'Balance Sheet'!$B$9:$B$65,0),MATCH('3Statement Model'!D$9,'Balance Sheet'!$D$6:$I$6,0))</f>
        <v>402</v>
      </c>
      <c r="E87" s="80">
        <f>INDEX('Balance Sheet'!$D$9:$I$65,MATCH('3Statement Model'!$B87,'Balance Sheet'!$B$9:$B$65,0),MATCH('3Statement Model'!E$9,'Balance Sheet'!$D$6:$I$6,0))</f>
        <v>27930</v>
      </c>
      <c r="F87" s="80">
        <f>INDEX('Balance Sheet'!$D$9:$I$65,MATCH('3Statement Model'!$B87,'Balance Sheet'!$B$9:$B$65,0),MATCH('3Statement Model'!F$9,'Balance Sheet'!$D$6:$I$6,0))</f>
        <v>27907</v>
      </c>
      <c r="G87" s="80">
        <f>INDEX('Balance Sheet'!$D$9:$I$65,MATCH('3Statement Model'!$B87,'Balance Sheet'!$B$9:$B$65,0),MATCH('3Statement Model'!G$9,'Balance Sheet'!$D$6:$I$6,0))</f>
        <v>28263</v>
      </c>
      <c r="H87" s="80">
        <f>INDEX('Balance Sheet'!$D$9:$I$65,MATCH('3Statement Model'!$B87,'Balance Sheet'!$B$9:$B$65,0),MATCH('3Statement Model'!H$9,'Balance Sheet'!$D$6:$I$6,0))</f>
        <v>28247</v>
      </c>
      <c r="I87" s="80">
        <f>INDEX('Balance Sheet'!$D$9:$I$65,MATCH('3Statement Model'!$B87,'Balance Sheet'!$B$9:$B$65,0),MATCH('3Statement Model'!I$9,'Balance Sheet'!$D$6:$I$6,0))</f>
        <v>28244</v>
      </c>
      <c r="J87" s="80">
        <f>Schedules!K112</f>
        <v>28252.284562852445</v>
      </c>
      <c r="K87" s="80">
        <f>Schedules!L112</f>
        <v>28261.38745626263</v>
      </c>
      <c r="L87" s="80">
        <f>Schedules!M112</f>
        <v>28271.427676362684</v>
      </c>
      <c r="M87" s="80">
        <f>Schedules!N112</f>
        <v>28282.539365664725</v>
      </c>
      <c r="N87" s="80">
        <f>Schedules!O112</f>
        <v>28294.873676820978</v>
      </c>
      <c r="O87" s="80">
        <f>Schedules!P112</f>
        <v>28312.402187874151</v>
      </c>
      <c r="P87" s="80">
        <f>Schedules!Q112</f>
        <v>28335.880482027093</v>
      </c>
      <c r="Q87" s="80">
        <f>Schedules!R112</f>
        <v>28366.174054690073</v>
      </c>
      <c r="R87" s="80">
        <f>Schedules!S112</f>
        <v>28404.274302048674</v>
      </c>
      <c r="S87" s="80">
        <f>Schedules!T112</f>
        <v>28451.316835436151</v>
      </c>
      <c r="U87" s="91">
        <f t="shared" si="84"/>
        <v>3.5998486401855878E-4</v>
      </c>
      <c r="V87" s="91">
        <f t="shared" si="85"/>
        <v>3.2359442517471138E-4</v>
      </c>
    </row>
    <row r="88" spans="2:22">
      <c r="B88" s="115" t="s">
        <v>189</v>
      </c>
      <c r="C88" s="152"/>
      <c r="D88" s="80"/>
      <c r="E88" s="80"/>
      <c r="F88" s="80"/>
      <c r="G88" s="80"/>
      <c r="H88" s="80"/>
      <c r="I88" s="80"/>
      <c r="J88" s="84"/>
      <c r="K88" s="84"/>
      <c r="L88" s="84"/>
      <c r="M88" s="84"/>
      <c r="N88" s="84"/>
      <c r="O88" s="84"/>
      <c r="P88" s="84"/>
      <c r="Q88" s="84"/>
      <c r="R88" s="84"/>
      <c r="S88" s="84"/>
      <c r="U88" s="91">
        <f t="shared" si="84"/>
        <v>0</v>
      </c>
      <c r="V88" s="91">
        <f t="shared" si="85"/>
        <v>0</v>
      </c>
    </row>
    <row r="89" spans="2:22">
      <c r="B89" s="121" t="s">
        <v>176</v>
      </c>
      <c r="C89" s="152"/>
      <c r="D89" s="80">
        <f>INDEX('Balance Sheet'!$D$9:$I$65,MATCH('3Statement Model'!$B89,'Balance Sheet'!$B$9:$B$65,0),MATCH('3Statement Model'!D$9,'Balance Sheet'!$D$6:$I$6,0))</f>
        <v>2</v>
      </c>
      <c r="E89" s="80">
        <f>INDEX('Balance Sheet'!$D$9:$I$65,MATCH('3Statement Model'!$B89,'Balance Sheet'!$B$9:$B$65,0),MATCH('3Statement Model'!E$9,'Balance Sheet'!$D$6:$I$6,0))</f>
        <v>2</v>
      </c>
      <c r="F89" s="80">
        <f>INDEX('Balance Sheet'!$D$9:$I$65,MATCH('3Statement Model'!$B89,'Balance Sheet'!$B$9:$B$65,0),MATCH('3Statement Model'!F$9,'Balance Sheet'!$D$6:$I$6,0))</f>
        <v>2</v>
      </c>
      <c r="G89" s="80">
        <f>INDEX('Balance Sheet'!$D$9:$I$65,MATCH('3Statement Model'!$B89,'Balance Sheet'!$B$9:$B$65,0),MATCH('3Statement Model'!G$9,'Balance Sheet'!$D$6:$I$6,0))</f>
        <v>71</v>
      </c>
      <c r="H89" s="80">
        <f>INDEX('Balance Sheet'!$D$9:$I$65,MATCH('3Statement Model'!$B89,'Balance Sheet'!$B$9:$B$65,0),MATCH('3Statement Model'!H$9,'Balance Sheet'!$D$6:$I$6,0))</f>
        <v>67</v>
      </c>
      <c r="I89" s="80">
        <f>INDEX('Balance Sheet'!$D$9:$I$65,MATCH('3Statement Model'!$B89,'Balance Sheet'!$B$9:$B$65,0),MATCH('3Statement Model'!I$9,'Balance Sheet'!$D$6:$I$6,0))</f>
        <v>59</v>
      </c>
      <c r="J89" s="80">
        <f>I89+(I89*Schedules!K$123)</f>
        <v>59.884999999999998</v>
      </c>
      <c r="K89" s="80">
        <f>J89+(J89*Schedules!L$123)</f>
        <v>60.783274999999996</v>
      </c>
      <c r="L89" s="80">
        <f>K89+(K89*Schedules!M$123)</f>
        <v>61.695024124999996</v>
      </c>
      <c r="M89" s="80">
        <f>L89+(L89*Schedules!N$123)</f>
        <v>62.620449486874996</v>
      </c>
      <c r="N89" s="80">
        <f>M89+(M89*Schedules!O$123)</f>
        <v>63.55975622917812</v>
      </c>
      <c r="O89" s="80">
        <f>N89+(N89*Schedules!P$123)</f>
        <v>64.513152572615795</v>
      </c>
      <c r="P89" s="80">
        <f>O89+(O89*Schedules!Q$123)</f>
        <v>65.48084986120503</v>
      </c>
      <c r="Q89" s="80">
        <f>P89+(P89*Schedules!R$123)</f>
        <v>66.463062609123099</v>
      </c>
      <c r="R89" s="80">
        <f>Q89+(Q89*Schedules!S$123)</f>
        <v>67.46000854825995</v>
      </c>
      <c r="S89" s="80">
        <f>R89+(R89*Schedules!T$123)</f>
        <v>68.471908676483849</v>
      </c>
      <c r="U89" s="91">
        <f t="shared" si="84"/>
        <v>1.4999999999999902E-2</v>
      </c>
      <c r="V89" s="91">
        <f t="shared" si="85"/>
        <v>1.4999999999999902E-2</v>
      </c>
    </row>
    <row r="90" spans="2:22">
      <c r="B90" s="121" t="s">
        <v>178</v>
      </c>
      <c r="C90" s="152"/>
      <c r="D90" s="80">
        <f>INDEX('Balance Sheet'!$D$9:$I$65,MATCH('3Statement Model'!$B90,'Balance Sheet'!$B$9:$B$65,0),MATCH('3Statement Model'!D$9,'Balance Sheet'!$D$6:$I$6,0))</f>
        <v>238</v>
      </c>
      <c r="E90" s="80">
        <f>INDEX('Balance Sheet'!$D$9:$I$65,MATCH('3Statement Model'!$B90,'Balance Sheet'!$B$9:$B$65,0),MATCH('3Statement Model'!E$9,'Balance Sheet'!$D$6:$I$6,0))</f>
        <v>111</v>
      </c>
      <c r="F90" s="80">
        <f>INDEX('Balance Sheet'!$D$9:$I$65,MATCH('3Statement Model'!$B90,'Balance Sheet'!$B$9:$B$65,0),MATCH('3Statement Model'!F$9,'Balance Sheet'!$D$6:$I$6,0))</f>
        <v>115</v>
      </c>
      <c r="G90" s="80">
        <f>INDEX('Balance Sheet'!$D$9:$I$65,MATCH('3Statement Model'!$B90,'Balance Sheet'!$B$9:$B$65,0),MATCH('3Statement Model'!G$9,'Balance Sheet'!$D$6:$I$6,0))</f>
        <v>98</v>
      </c>
      <c r="H90" s="80">
        <f>INDEX('Balance Sheet'!$D$9:$I$65,MATCH('3Statement Model'!$B90,'Balance Sheet'!$B$9:$B$65,0),MATCH('3Statement Model'!H$9,'Balance Sheet'!$D$6:$I$6,0))</f>
        <v>102</v>
      </c>
      <c r="I90" s="80">
        <f>INDEX('Balance Sheet'!$D$9:$I$65,MATCH('3Statement Model'!$B90,'Balance Sheet'!$B$9:$B$65,0),MATCH('3Statement Model'!I$9,'Balance Sheet'!$D$6:$I$6,0))</f>
        <v>87</v>
      </c>
      <c r="J90" s="80">
        <f>I90+(I90*Schedules!K$123)</f>
        <v>88.305000000000007</v>
      </c>
      <c r="K90" s="80">
        <f>J90+(J90*Schedules!L$123)</f>
        <v>89.629575000000003</v>
      </c>
      <c r="L90" s="80">
        <f>K90+(K90*Schedules!M$123)</f>
        <v>90.974018624999999</v>
      </c>
      <c r="M90" s="80">
        <f>L90+(L90*Schedules!N$123)</f>
        <v>92.338628904375</v>
      </c>
      <c r="N90" s="80">
        <f>M90+(M90*Schedules!O$123)</f>
        <v>93.723708337940622</v>
      </c>
      <c r="O90" s="80">
        <f>N90+(N90*Schedules!P$123)</f>
        <v>95.12956396300973</v>
      </c>
      <c r="P90" s="80">
        <f>O90+(O90*Schedules!Q$123)</f>
        <v>96.556507422454871</v>
      </c>
      <c r="Q90" s="80">
        <f>P90+(P90*Schedules!R$123)</f>
        <v>98.004855033791699</v>
      </c>
      <c r="R90" s="80">
        <f>Q90+(Q90*Schedules!S$123)</f>
        <v>99.474927859298575</v>
      </c>
      <c r="S90" s="80">
        <f>R90+(R90*Schedules!T$123)</f>
        <v>100.96705177718805</v>
      </c>
      <c r="U90" s="91">
        <f t="shared" si="84"/>
        <v>1.4999999999999902E-2</v>
      </c>
      <c r="V90" s="91">
        <f t="shared" si="85"/>
        <v>1.5000000000000124E-2</v>
      </c>
    </row>
    <row r="91" spans="2:22">
      <c r="B91" s="75" t="s">
        <v>580</v>
      </c>
      <c r="C91" s="152"/>
      <c r="D91" s="80">
        <f>INDEX('Balance Sheet'!$D$9:$I$65,MATCH('3Statement Model'!$B91,'Balance Sheet'!$B$9:$B$65,0),MATCH('3Statement Model'!D$9,'Balance Sheet'!$D$6:$I$6,0))</f>
        <v>3</v>
      </c>
      <c r="E91" s="80">
        <f>INDEX('Balance Sheet'!$D$9:$I$65,MATCH('3Statement Model'!$B91,'Balance Sheet'!$B$9:$B$65,0),MATCH('3Statement Model'!E$9,'Balance Sheet'!$D$6:$I$6,0))</f>
        <v>757</v>
      </c>
      <c r="F91" s="80">
        <f>INDEX('Balance Sheet'!$D$9:$I$65,MATCH('3Statement Model'!$B91,'Balance Sheet'!$B$9:$B$65,0),MATCH('3Statement Model'!F$9,'Balance Sheet'!$D$6:$I$6,0))</f>
        <v>729</v>
      </c>
      <c r="G91" s="80">
        <f>INDEX('Balance Sheet'!$D$9:$I$65,MATCH('3Statement Model'!$B91,'Balance Sheet'!$B$9:$B$65,0),MATCH('3Statement Model'!G$9,'Balance Sheet'!$D$6:$I$6,0))</f>
        <v>725</v>
      </c>
      <c r="H91" s="80">
        <f>INDEX('Balance Sheet'!$D$9:$I$65,MATCH('3Statement Model'!$B91,'Balance Sheet'!$B$9:$B$65,0),MATCH('3Statement Model'!H$9,'Balance Sheet'!$D$6:$I$6,0))</f>
        <v>760</v>
      </c>
      <c r="I91" s="80">
        <f>INDEX('Balance Sheet'!$D$9:$I$65,MATCH('3Statement Model'!$B91,'Balance Sheet'!$B$9:$B$65,0),MATCH('3Statement Model'!I$9,'Balance Sheet'!$D$6:$I$6,0))</f>
        <v>763</v>
      </c>
      <c r="J91" s="80">
        <f>I91+(I91*Schedules!K$123)</f>
        <v>774.44500000000005</v>
      </c>
      <c r="K91" s="80">
        <f>J91+(J91*Schedules!L$123)</f>
        <v>786.06167500000004</v>
      </c>
      <c r="L91" s="80">
        <f>K91+(K91*Schedules!M$123)</f>
        <v>797.85260012499998</v>
      </c>
      <c r="M91" s="80">
        <f>L91+(L91*Schedules!N$123)</f>
        <v>809.82038912687494</v>
      </c>
      <c r="N91" s="80">
        <f>M91+(M91*Schedules!O$123)</f>
        <v>821.96769496377806</v>
      </c>
      <c r="O91" s="80">
        <f>N91+(N91*Schedules!P$123)</f>
        <v>834.2972103882347</v>
      </c>
      <c r="P91" s="80">
        <f>O91+(O91*Schedules!Q$123)</f>
        <v>846.81166854405819</v>
      </c>
      <c r="Q91" s="80">
        <f>P91+(P91*Schedules!R$123)</f>
        <v>859.51384357221912</v>
      </c>
      <c r="R91" s="80">
        <f>Q91+(Q91*Schedules!S$123)</f>
        <v>872.40655122580245</v>
      </c>
      <c r="S91" s="80">
        <f>R91+(R91*Schedules!T$123)</f>
        <v>885.49264949418944</v>
      </c>
      <c r="U91" s="91">
        <f t="shared" si="84"/>
        <v>1.4999999999999902E-2</v>
      </c>
      <c r="V91" s="91">
        <f t="shared" si="85"/>
        <v>1.5000000000000124E-2</v>
      </c>
    </row>
    <row r="92" spans="2:22">
      <c r="B92" s="118" t="s">
        <v>177</v>
      </c>
      <c r="C92" s="152"/>
      <c r="D92" s="80">
        <f>INDEX('Balance Sheet'!$D$9:$I$65,MATCH('3Statement Model'!$B92,'Balance Sheet'!$B$9:$B$65,0),MATCH('3Statement Model'!D$9,'Balance Sheet'!$D$6:$I$6,0))</f>
        <v>284</v>
      </c>
      <c r="E92" s="80">
        <f>INDEX('Balance Sheet'!$D$9:$I$65,MATCH('3Statement Model'!$B92,'Balance Sheet'!$B$9:$B$65,0),MATCH('3Statement Model'!E$9,'Balance Sheet'!$D$6:$I$6,0))</f>
        <v>17</v>
      </c>
      <c r="F92" s="80">
        <f>INDEX('Balance Sheet'!$D$9:$I$65,MATCH('3Statement Model'!$B92,'Balance Sheet'!$B$9:$B$65,0),MATCH('3Statement Model'!F$9,'Balance Sheet'!$D$6:$I$6,0))</f>
        <v>11</v>
      </c>
      <c r="G92" s="80">
        <f>INDEX('Balance Sheet'!$D$9:$I$65,MATCH('3Statement Model'!$B92,'Balance Sheet'!$B$9:$B$65,0),MATCH('3Statement Model'!G$9,'Balance Sheet'!$D$6:$I$6,0))</f>
        <v>10</v>
      </c>
      <c r="H92" s="80">
        <f>INDEX('Balance Sheet'!$D$9:$I$65,MATCH('3Statement Model'!$B92,'Balance Sheet'!$B$9:$B$65,0),MATCH('3Statement Model'!H$9,'Balance Sheet'!$D$6:$I$6,0))</f>
        <v>10</v>
      </c>
      <c r="I92" s="80">
        <f>INDEX('Balance Sheet'!$D$9:$I$65,MATCH('3Statement Model'!$B92,'Balance Sheet'!$B$9:$B$65,0),MATCH('3Statement Model'!I$9,'Balance Sheet'!$D$6:$I$6,0))</f>
        <v>17</v>
      </c>
      <c r="J92" s="80">
        <f>Schedules!K128</f>
        <v>17</v>
      </c>
      <c r="K92" s="80">
        <f>Schedules!L128</f>
        <v>17</v>
      </c>
      <c r="L92" s="80">
        <f>Schedules!M128</f>
        <v>17</v>
      </c>
      <c r="M92" s="80">
        <f>Schedules!N128</f>
        <v>17</v>
      </c>
      <c r="N92" s="80">
        <f>Schedules!O128</f>
        <v>17</v>
      </c>
      <c r="O92" s="80">
        <f>Schedules!P128</f>
        <v>17</v>
      </c>
      <c r="P92" s="80">
        <f>Schedules!Q128</f>
        <v>17</v>
      </c>
      <c r="Q92" s="80">
        <f>Schedules!R128</f>
        <v>17</v>
      </c>
      <c r="R92" s="80">
        <f>Schedules!S128</f>
        <v>17</v>
      </c>
      <c r="S92" s="80">
        <f>Schedules!T128</f>
        <v>17</v>
      </c>
      <c r="U92" s="91">
        <f t="shared" si="84"/>
        <v>0</v>
      </c>
      <c r="V92" s="91">
        <f t="shared" si="85"/>
        <v>0</v>
      </c>
    </row>
    <row r="93" spans="2:22">
      <c r="B93" s="118" t="s">
        <v>192</v>
      </c>
      <c r="C93" s="152"/>
      <c r="D93" s="80">
        <f>INDEX('Balance Sheet'!$D$9:$I$65,MATCH('3Statement Model'!$B93,'Balance Sheet'!$B$9:$B$65,0),MATCH('3Statement Model'!D$9,'Balance Sheet'!$D$6:$I$6,0))</f>
        <v>1083</v>
      </c>
      <c r="E93" s="80">
        <f>INDEX('Balance Sheet'!$D$9:$I$65,MATCH('3Statement Model'!$B93,'Balance Sheet'!$B$9:$B$65,0),MATCH('3Statement Model'!E$9,'Balance Sheet'!$D$6:$I$6,0))</f>
        <v>1246</v>
      </c>
      <c r="F93" s="80">
        <f>INDEX('Balance Sheet'!$D$9:$I$65,MATCH('3Statement Model'!$B93,'Balance Sheet'!$B$9:$B$65,0),MATCH('3Statement Model'!F$9,'Balance Sheet'!$D$6:$I$6,0))</f>
        <v>1158</v>
      </c>
      <c r="G93" s="80">
        <f>INDEX('Balance Sheet'!$D$9:$I$65,MATCH('3Statement Model'!$B93,'Balance Sheet'!$B$9:$B$65,0),MATCH('3Statement Model'!G$9,'Balance Sheet'!$D$6:$I$6,0))</f>
        <v>1164</v>
      </c>
      <c r="H93" s="80">
        <f>INDEX('Balance Sheet'!$D$9:$I$65,MATCH('3Statement Model'!$B93,'Balance Sheet'!$B$9:$B$65,0),MATCH('3Statement Model'!H$9,'Balance Sheet'!$D$6:$I$6,0))</f>
        <v>1175</v>
      </c>
      <c r="I93" s="80">
        <f>INDEX('Balance Sheet'!$D$9:$I$65,MATCH('3Statement Model'!$B93,'Balance Sheet'!$B$9:$B$65,0),MATCH('3Statement Model'!I$9,'Balance Sheet'!$D$6:$I$6,0))</f>
        <v>1199</v>
      </c>
      <c r="J93" s="80">
        <f>Schedules!K134</f>
        <v>1199</v>
      </c>
      <c r="K93" s="80">
        <f>Schedules!L134</f>
        <v>1199</v>
      </c>
      <c r="L93" s="80">
        <f>Schedules!M134</f>
        <v>1199</v>
      </c>
      <c r="M93" s="80">
        <f>Schedules!N134</f>
        <v>1199</v>
      </c>
      <c r="N93" s="80">
        <f>Schedules!O134</f>
        <v>1199</v>
      </c>
      <c r="O93" s="80">
        <f>Schedules!P134</f>
        <v>1199</v>
      </c>
      <c r="P93" s="80">
        <f>Schedules!Q134</f>
        <v>1199</v>
      </c>
      <c r="Q93" s="80">
        <f>Schedules!R134</f>
        <v>1199</v>
      </c>
      <c r="R93" s="80">
        <f>Schedules!S134</f>
        <v>1199</v>
      </c>
      <c r="S93" s="80">
        <f>Schedules!T134</f>
        <v>1199</v>
      </c>
      <c r="U93" s="91">
        <f t="shared" si="84"/>
        <v>0</v>
      </c>
      <c r="V93" s="91">
        <f t="shared" si="85"/>
        <v>0</v>
      </c>
    </row>
    <row r="94" spans="2:22">
      <c r="B94" s="118" t="s">
        <v>14</v>
      </c>
      <c r="C94" s="152"/>
      <c r="D94" s="80">
        <f>INDEX('Balance Sheet'!$D$9:$I$65,MATCH('3Statement Model'!$B94,'Balance Sheet'!$B$9:$B$65,0),MATCH('3Statement Model'!D$9,'Balance Sheet'!$D$6:$I$6,0))</f>
        <v>146</v>
      </c>
      <c r="E94" s="80">
        <f>INDEX('Balance Sheet'!$D$9:$I$65,MATCH('3Statement Model'!$B94,'Balance Sheet'!$B$9:$B$65,0),MATCH('3Statement Model'!E$9,'Balance Sheet'!$D$6:$I$6,0))</f>
        <v>219</v>
      </c>
      <c r="F94" s="80">
        <f>INDEX('Balance Sheet'!$D$9:$I$65,MATCH('3Statement Model'!$B94,'Balance Sheet'!$B$9:$B$65,0),MATCH('3Statement Model'!F$9,'Balance Sheet'!$D$6:$I$6,0))</f>
        <v>194</v>
      </c>
      <c r="G94" s="80">
        <f>INDEX('Balance Sheet'!$D$9:$I$65,MATCH('3Statement Model'!$B94,'Balance Sheet'!$B$9:$B$65,0),MATCH('3Statement Model'!G$9,'Balance Sheet'!$D$6:$I$6,0))</f>
        <v>211</v>
      </c>
      <c r="H94" s="80">
        <f>INDEX('Balance Sheet'!$D$9:$I$65,MATCH('3Statement Model'!$B94,'Balance Sheet'!$B$9:$B$65,0),MATCH('3Statement Model'!H$9,'Balance Sheet'!$D$6:$I$6,0))</f>
        <v>292</v>
      </c>
      <c r="I94" s="80">
        <f>INDEX('Balance Sheet'!$D$9:$I$65,MATCH('3Statement Model'!$B94,'Balance Sheet'!$B$9:$B$65,0),MATCH('3Statement Model'!I$9,'Balance Sheet'!$D$6:$I$6,0))</f>
        <v>360</v>
      </c>
      <c r="J94" s="80">
        <f>Schedules!K140</f>
        <v>361.44</v>
      </c>
      <c r="K94" s="80">
        <f>Schedules!L140</f>
        <v>362.88576</v>
      </c>
      <c r="L94" s="80">
        <f>Schedules!M140</f>
        <v>364.33730303999999</v>
      </c>
      <c r="M94" s="80">
        <f>Schedules!N140</f>
        <v>365.79465225216001</v>
      </c>
      <c r="N94" s="80">
        <f>Schedules!O140</f>
        <v>367.25783086116866</v>
      </c>
      <c r="O94" s="80">
        <f>Schedules!P140</f>
        <v>368.72686218461331</v>
      </c>
      <c r="P94" s="80">
        <f>Schedules!Q140</f>
        <v>370.20176963335177</v>
      </c>
      <c r="Q94" s="80">
        <f>Schedules!R140</f>
        <v>371.68257671188519</v>
      </c>
      <c r="R94" s="80">
        <f>Schedules!S140</f>
        <v>373.16930701873275</v>
      </c>
      <c r="S94" s="80">
        <f>Schedules!T140</f>
        <v>374.66198424680766</v>
      </c>
      <c r="U94" s="91">
        <f t="shared" si="84"/>
        <v>4.0000000000000036E-3</v>
      </c>
      <c r="V94" s="91">
        <f t="shared" si="85"/>
        <v>4.0000000000000036E-3</v>
      </c>
    </row>
    <row r="95" spans="2:22">
      <c r="B95" s="120" t="s">
        <v>13</v>
      </c>
      <c r="C95" s="153"/>
      <c r="D95" s="305">
        <f>INDEX('Balance Sheet'!$D$9:$I$65,MATCH('3Statement Model'!$B95,'Balance Sheet'!$B$9:$B$65,0),MATCH('3Statement Model'!D$9,'Balance Sheet'!$D$6:$I$6,0))</f>
        <v>7832</v>
      </c>
      <c r="E95" s="305">
        <f>INDEX('Balance Sheet'!$D$9:$I$65,MATCH('3Statement Model'!$B95,'Balance Sheet'!$B$9:$B$65,0),MATCH('3Statement Model'!E$9,'Balance Sheet'!$D$6:$I$6,0))</f>
        <v>54540</v>
      </c>
      <c r="F95" s="305">
        <f>INDEX('Balance Sheet'!$D$9:$I$65,MATCH('3Statement Model'!$B95,'Balance Sheet'!$B$9:$B$65,0),MATCH('3Statement Model'!F$9,'Balance Sheet'!$D$6:$I$6,0))</f>
        <v>54995</v>
      </c>
      <c r="G95" s="305">
        <f>INDEX('Balance Sheet'!$D$9:$I$65,MATCH('3Statement Model'!$B95,'Balance Sheet'!$B$9:$B$65,0),MATCH('3Statement Model'!G$9,'Balance Sheet'!$D$6:$I$6,0))</f>
        <v>56089</v>
      </c>
      <c r="H95" s="305">
        <f>INDEX('Balance Sheet'!$D$9:$I$65,MATCH('3Statement Model'!$B95,'Balance Sheet'!$B$9:$B$65,0),MATCH('3Statement Model'!H$9,'Balance Sheet'!$D$6:$I$6,0))</f>
        <v>57175</v>
      </c>
      <c r="I95" s="305">
        <f>INDEX('Balance Sheet'!$D$9:$I$65,MATCH('3Statement Model'!$B95,'Balance Sheet'!$B$9:$B$65,0),MATCH('3Statement Model'!I$9,'Balance Sheet'!$D$6:$I$6,0))</f>
        <v>57829</v>
      </c>
      <c r="J95" s="304">
        <f>SUM(J83:J94)</f>
        <v>59000.506678725673</v>
      </c>
      <c r="K95" s="304">
        <f t="shared" ref="K95:N95" si="86">SUM(K83:K94)</f>
        <v>59920.197422414851</v>
      </c>
      <c r="L95" s="304">
        <f t="shared" si="86"/>
        <v>60884.27015748986</v>
      </c>
      <c r="M95" s="304">
        <f t="shared" si="86"/>
        <v>61898.976501426463</v>
      </c>
      <c r="N95" s="304">
        <f t="shared" si="86"/>
        <v>62971.358273903512</v>
      </c>
      <c r="O95" s="304">
        <f t="shared" ref="O95:S95" si="87">SUM(O83:O94)</f>
        <v>64113.221903042999</v>
      </c>
      <c r="P95" s="304">
        <f t="shared" si="87"/>
        <v>65321.496419495932</v>
      </c>
      <c r="Q95" s="304">
        <f t="shared" si="87"/>
        <v>66571.657993236018</v>
      </c>
      <c r="R95" s="304">
        <f t="shared" si="87"/>
        <v>67847.04501321484</v>
      </c>
      <c r="S95" s="304">
        <f t="shared" si="87"/>
        <v>69128.845763843652</v>
      </c>
      <c r="U95" s="311">
        <f t="shared" si="84"/>
        <v>1.7183895747088451E-2</v>
      </c>
      <c r="V95" s="311">
        <f t="shared" si="85"/>
        <v>1.7309594963357711E-2</v>
      </c>
    </row>
    <row r="96" spans="2:22">
      <c r="B96" s="115"/>
      <c r="C96" s="152"/>
      <c r="D96" s="152"/>
      <c r="E96" s="152"/>
      <c r="G96" s="84"/>
      <c r="H96" s="84"/>
      <c r="I96" s="84"/>
      <c r="J96" s="84"/>
      <c r="K96" s="84"/>
      <c r="L96" s="84"/>
      <c r="M96" s="84"/>
      <c r="N96" s="84"/>
      <c r="O96" s="84"/>
      <c r="P96" s="84"/>
      <c r="Q96" s="84"/>
      <c r="R96" s="84"/>
      <c r="S96" s="84"/>
    </row>
    <row r="97" spans="2:22">
      <c r="B97" s="115" t="s">
        <v>179</v>
      </c>
      <c r="C97" s="152"/>
      <c r="D97" s="152"/>
      <c r="E97" s="152"/>
      <c r="G97" s="84"/>
      <c r="H97" s="84"/>
      <c r="I97" s="84"/>
      <c r="J97" s="84"/>
      <c r="K97" s="84"/>
      <c r="L97" s="84"/>
      <c r="M97" s="84"/>
      <c r="N97" s="84"/>
      <c r="O97" s="84"/>
      <c r="P97" s="84"/>
      <c r="Q97" s="84"/>
      <c r="R97" s="84"/>
      <c r="S97" s="84"/>
    </row>
    <row r="98" spans="2:22">
      <c r="B98" s="118" t="s">
        <v>181</v>
      </c>
      <c r="C98" s="152"/>
      <c r="D98" s="80">
        <f>INDEX('Balance Sheet'!$D$9:$I$65,MATCH('3Statement Model'!$B98,'Balance Sheet'!$B$9:$B$65,0),MATCH('3Statement Model'!D$9,'Balance Sheet'!$D$6:$I$6,0))</f>
        <v>2767</v>
      </c>
      <c r="E98" s="80">
        <f>INDEX('Balance Sheet'!$D$9:$I$65,MATCH('3Statement Model'!$B98,'Balance Sheet'!$B$9:$B$65,0),MATCH('3Statement Model'!E$9,'Balance Sheet'!$D$6:$I$6,0))</f>
        <v>3579</v>
      </c>
      <c r="F98" s="80">
        <f>INDEX('Balance Sheet'!$D$9:$I$65,MATCH('3Statement Model'!$B98,'Balance Sheet'!$B$9:$B$65,0),MATCH('3Statement Model'!F$9,'Balance Sheet'!$D$6:$I$6,0))</f>
        <v>4096</v>
      </c>
      <c r="G98" s="80">
        <f>INDEX('Balance Sheet'!$D$9:$I$65,MATCH('3Statement Model'!$B98,'Balance Sheet'!$B$9:$B$65,0),MATCH('3Statement Model'!G$9,'Balance Sheet'!$D$6:$I$6,0))</f>
        <v>4251</v>
      </c>
      <c r="H98" s="80">
        <f>INDEX('Balance Sheet'!$D$9:$I$65,MATCH('3Statement Model'!$B98,'Balance Sheet'!$B$9:$B$65,0),MATCH('3Statement Model'!H$9,'Balance Sheet'!$D$6:$I$6,0))</f>
        <v>4022</v>
      </c>
      <c r="I98" s="80">
        <f>INDEX('Balance Sheet'!$D$9:$I$65,MATCH('3Statement Model'!$B98,'Balance Sheet'!$B$9:$B$65,0),MATCH('3Statement Model'!I$9,'Balance Sheet'!$D$6:$I$6,0))</f>
        <v>4415</v>
      </c>
      <c r="J98" s="80">
        <f>Schedules!K224</f>
        <v>5526.4412383561657</v>
      </c>
      <c r="K98" s="80">
        <f>Schedules!L224</f>
        <v>5984.289236317808</v>
      </c>
      <c r="L98" s="80">
        <f>Schedules!M224</f>
        <v>6485.1047903467406</v>
      </c>
      <c r="M98" s="80">
        <f>Schedules!N224</f>
        <v>7033.2561609764534</v>
      </c>
      <c r="N98" s="80">
        <f>Schedules!O224</f>
        <v>7633.5782130547123</v>
      </c>
      <c r="O98" s="80">
        <f>Schedules!P224</f>
        <v>8330.3912730559332</v>
      </c>
      <c r="P98" s="80">
        <f>Schedules!Q224</f>
        <v>9080.6816813197602</v>
      </c>
      <c r="Q98" s="80">
        <f>Schedules!R224</f>
        <v>9851.6822937643119</v>
      </c>
      <c r="R98" s="80">
        <f>Schedules!S224</f>
        <v>10637.746177791856</v>
      </c>
      <c r="S98" s="80">
        <f>Schedules!T224</f>
        <v>11433.371207259645</v>
      </c>
    </row>
    <row r="99" spans="2:22">
      <c r="B99" s="115" t="s">
        <v>189</v>
      </c>
      <c r="C99" s="152"/>
      <c r="D99" s="80"/>
      <c r="E99" s="80"/>
      <c r="F99" s="80"/>
      <c r="G99" s="80"/>
      <c r="H99" s="80"/>
      <c r="I99" s="80"/>
      <c r="J99" s="84"/>
      <c r="K99" s="84"/>
      <c r="L99" s="84"/>
      <c r="M99" s="84"/>
      <c r="N99" s="84"/>
      <c r="O99" s="84"/>
      <c r="P99" s="84"/>
      <c r="Q99" s="84"/>
      <c r="R99" s="84"/>
      <c r="S99" s="84"/>
    </row>
    <row r="100" spans="2:22">
      <c r="B100" s="121" t="s">
        <v>180</v>
      </c>
      <c r="C100" s="152"/>
      <c r="D100" s="80">
        <f>INDEX('Balance Sheet'!$D$9:$I$65,MATCH('3Statement Model'!$B100,'Balance Sheet'!$B$9:$B$65,0),MATCH('3Statement Model'!D$9,'Balance Sheet'!$D$6:$I$6,0))</f>
        <v>1253</v>
      </c>
      <c r="E100" s="80">
        <f>INDEX('Balance Sheet'!$D$9:$I$65,MATCH('3Statement Model'!$B100,'Balance Sheet'!$B$9:$B$65,0),MATCH('3Statement Model'!E$9,'Balance Sheet'!$D$6:$I$6,0))</f>
        <v>2707</v>
      </c>
      <c r="F100" s="80">
        <f>INDEX('Balance Sheet'!$D$9:$I$65,MATCH('3Statement Model'!$B100,'Balance Sheet'!$B$9:$B$65,0),MATCH('3Statement Model'!F$9,'Balance Sheet'!$D$6:$I$6,0))</f>
        <v>3519</v>
      </c>
      <c r="G100" s="80">
        <f>INDEX('Balance Sheet'!$D$9:$I$65,MATCH('3Statement Model'!$B100,'Balance Sheet'!$B$9:$B$65,0),MATCH('3Statement Model'!G$9,'Balance Sheet'!$D$6:$I$6,0))</f>
        <v>2811</v>
      </c>
      <c r="H100" s="80">
        <f>INDEX('Balance Sheet'!$D$9:$I$65,MATCH('3Statement Model'!$B100,'Balance Sheet'!$B$9:$B$65,0),MATCH('3Statement Model'!H$9,'Balance Sheet'!$D$6:$I$6,0))</f>
        <v>4558</v>
      </c>
      <c r="I100" s="80">
        <f>INDEX('Balance Sheet'!$D$9:$I$65,MATCH('3Statement Model'!$B100,'Balance Sheet'!$B$9:$B$65,0),MATCH('3Statement Model'!I$9,'Balance Sheet'!$D$6:$I$6,0))</f>
        <v>3751</v>
      </c>
      <c r="J100" s="80">
        <f>Schedules!K234</f>
        <v>3751</v>
      </c>
      <c r="K100" s="80">
        <f>Schedules!L234</f>
        <v>3751</v>
      </c>
      <c r="L100" s="80">
        <f>Schedules!M234</f>
        <v>3751</v>
      </c>
      <c r="M100" s="80">
        <f>Schedules!N234</f>
        <v>3751</v>
      </c>
      <c r="N100" s="80">
        <f>Schedules!O234</f>
        <v>3751</v>
      </c>
      <c r="O100" s="80">
        <f>Schedules!P234</f>
        <v>3751</v>
      </c>
      <c r="P100" s="80">
        <f>Schedules!Q234</f>
        <v>3751</v>
      </c>
      <c r="Q100" s="80">
        <f>Schedules!R234</f>
        <v>3751</v>
      </c>
      <c r="R100" s="80">
        <f>Schedules!S234</f>
        <v>3751</v>
      </c>
      <c r="S100" s="80">
        <f>Schedules!T234</f>
        <v>3751</v>
      </c>
    </row>
    <row r="101" spans="2:22">
      <c r="B101" s="121" t="s">
        <v>182</v>
      </c>
      <c r="C101" s="152"/>
      <c r="D101" s="80">
        <f>INDEX('Balance Sheet'!$D$9:$I$65,MATCH('3Statement Model'!$B101,'Balance Sheet'!$B$9:$B$65,0),MATCH('3Statement Model'!D$9,'Balance Sheet'!$D$6:$I$6,0))</f>
        <v>1149</v>
      </c>
      <c r="E101" s="80">
        <f>INDEX('Balance Sheet'!$D$9:$I$65,MATCH('3Statement Model'!$B101,'Balance Sheet'!$B$9:$B$65,0),MATCH('3Statement Model'!E$9,'Balance Sheet'!$D$6:$I$6,0))</f>
        <v>1758</v>
      </c>
      <c r="F101" s="80">
        <f>INDEX('Balance Sheet'!$D$9:$I$65,MATCH('3Statement Model'!$B101,'Balance Sheet'!$B$9:$B$65,0),MATCH('3Statement Model'!F$9,'Balance Sheet'!$D$6:$I$6,0))</f>
        <v>2236</v>
      </c>
      <c r="G101" s="80">
        <f>INDEX('Balance Sheet'!$D$9:$I$65,MATCH('3Statement Model'!$B101,'Balance Sheet'!$B$9:$B$65,0),MATCH('3Statement Model'!G$9,'Balance Sheet'!$D$6:$I$6,0))</f>
        <v>3079</v>
      </c>
      <c r="H101" s="80">
        <f>INDEX('Balance Sheet'!$D$9:$I$65,MATCH('3Statement Model'!$B101,'Balance Sheet'!$B$9:$B$65,0),MATCH('3Statement Model'!H$9,'Balance Sheet'!$D$6:$I$6,0))</f>
        <v>2997</v>
      </c>
      <c r="I101" s="80">
        <f>INDEX('Balance Sheet'!$D$9:$I$65,MATCH('3Statement Model'!$B101,'Balance Sheet'!$B$9:$B$65,0),MATCH('3Statement Model'!I$9,'Balance Sheet'!$D$6:$I$6,0))</f>
        <v>3819</v>
      </c>
      <c r="J101" s="80">
        <f>Schedules!K219</f>
        <v>3383.5354520547953</v>
      </c>
      <c r="K101" s="80">
        <f>Schedules!L219</f>
        <v>3271.7795243835617</v>
      </c>
      <c r="L101" s="80">
        <f>Schedules!M219</f>
        <v>3562.0211687452056</v>
      </c>
      <c r="M101" s="80">
        <f>Schedules!N219</f>
        <v>3881.0863450809879</v>
      </c>
      <c r="N101" s="80">
        <f>Schedules!O219</f>
        <v>4232.0599933775266</v>
      </c>
      <c r="O101" s="80">
        <f>Schedules!P219</f>
        <v>4618.3735401557497</v>
      </c>
      <c r="P101" s="80">
        <f>Schedules!Q219</f>
        <v>5034.334958458634</v>
      </c>
      <c r="Q101" s="80">
        <f>Schedules!R219</f>
        <v>5461.7781254410611</v>
      </c>
      <c r="R101" s="80">
        <f>Schedules!S219</f>
        <v>5897.5723785401842</v>
      </c>
      <c r="S101" s="80">
        <f>Schedules!T219</f>
        <v>6338.6673359720826</v>
      </c>
      <c r="V101" s="78"/>
    </row>
    <row r="102" spans="2:22">
      <c r="B102" s="121" t="s">
        <v>183</v>
      </c>
      <c r="C102" s="152"/>
      <c r="D102" s="349">
        <f t="shared" ref="D102:H102" si="88">D165</f>
        <v>3216</v>
      </c>
      <c r="E102" s="349">
        <f t="shared" si="88"/>
        <v>1842</v>
      </c>
      <c r="F102" s="349">
        <f t="shared" si="88"/>
        <v>1147</v>
      </c>
      <c r="G102" s="349">
        <f t="shared" si="88"/>
        <v>714</v>
      </c>
      <c r="H102" s="349">
        <f t="shared" si="88"/>
        <v>812</v>
      </c>
      <c r="I102" s="349">
        <f>I165</f>
        <v>6070</v>
      </c>
      <c r="J102" s="349">
        <f t="shared" ref="J102:N102" si="89">J165</f>
        <v>10212.502393301236</v>
      </c>
      <c r="K102" s="349">
        <f t="shared" si="89"/>
        <v>11148.465780413502</v>
      </c>
      <c r="L102" s="349">
        <f t="shared" si="89"/>
        <v>11550.566508480581</v>
      </c>
      <c r="M102" s="349">
        <f t="shared" si="89"/>
        <v>11756.223213700774</v>
      </c>
      <c r="N102" s="349">
        <f t="shared" si="89"/>
        <v>11719.972143040559</v>
      </c>
      <c r="O102" s="349">
        <f t="shared" ref="O102:S102" si="90">O165</f>
        <v>11444.6267005423</v>
      </c>
      <c r="P102" s="349">
        <f t="shared" si="90"/>
        <v>10816.849706671506</v>
      </c>
      <c r="Q102" s="349">
        <f t="shared" si="90"/>
        <v>9764.3491111679396</v>
      </c>
      <c r="R102" s="349">
        <f t="shared" si="90"/>
        <v>8239.7583297530691</v>
      </c>
      <c r="S102" s="349">
        <f t="shared" si="90"/>
        <v>6198.0350701429707</v>
      </c>
    </row>
    <row r="103" spans="2:22">
      <c r="B103" s="121" t="s">
        <v>649</v>
      </c>
      <c r="C103" s="152"/>
      <c r="D103" s="80">
        <f>INDEX('Balance Sheet'!$D$9:$I$65,MATCH('3Statement Model'!$B103,'Balance Sheet'!$B$9:$B$65,0),MATCH('3Statement Model'!D$9,'Balance Sheet'!$D$6:$I$6,0))</f>
        <v>1897</v>
      </c>
      <c r="E103" s="80">
        <f>INDEX('Balance Sheet'!$D$9:$I$65,MATCH('3Statement Model'!$B103,'Balance Sheet'!$B$9:$B$65,0),MATCH('3Statement Model'!E$9,'Balance Sheet'!$D$6:$I$6,0))</f>
        <v>2629</v>
      </c>
      <c r="F103" s="80">
        <f>INDEX('Balance Sheet'!$D$9:$I$65,MATCH('3Statement Model'!$B103,'Balance Sheet'!$B$9:$B$65,0),MATCH('3Statement Model'!F$9,'Balance Sheet'!$D$6:$I$6,0))</f>
        <v>2699</v>
      </c>
      <c r="G103" s="80">
        <f>INDEX('Balance Sheet'!$D$9:$I$65,MATCH('3Statement Model'!$B103,'Balance Sheet'!$B$9:$B$65,0),MATCH('3Statement Model'!G$9,'Balance Sheet'!$D$6:$I$6,0))</f>
        <v>3964</v>
      </c>
      <c r="H103" s="80">
        <f>INDEX('Balance Sheet'!$D$9:$I$65,MATCH('3Statement Model'!$B103,'Balance Sheet'!$B$9:$B$65,0),MATCH('3Statement Model'!H$9,'Balance Sheet'!$D$6:$I$6,0))</f>
        <v>6747</v>
      </c>
      <c r="I103" s="80">
        <f>INDEX('Balance Sheet'!$D$9:$I$65,MATCH('3Statement Model'!$B103,'Balance Sheet'!$B$9:$B$65,0),MATCH('3Statement Model'!I$9,'Balance Sheet'!$D$6:$I$6,0))</f>
        <v>1484</v>
      </c>
      <c r="J103" s="349">
        <f>I103</f>
        <v>1484</v>
      </c>
      <c r="K103" s="349">
        <f>J103</f>
        <v>1484</v>
      </c>
      <c r="L103" s="349">
        <f t="shared" ref="L103:N103" si="91">K103</f>
        <v>1484</v>
      </c>
      <c r="M103" s="349">
        <f t="shared" si="91"/>
        <v>1484</v>
      </c>
      <c r="N103" s="349">
        <f t="shared" si="91"/>
        <v>1484</v>
      </c>
      <c r="O103" s="349">
        <f t="shared" ref="O103:O104" si="92">N103</f>
        <v>1484</v>
      </c>
      <c r="P103" s="349">
        <f t="shared" ref="P103:P104" si="93">O103</f>
        <v>1484</v>
      </c>
      <c r="Q103" s="349">
        <f t="shared" ref="Q103:Q104" si="94">P103</f>
        <v>1484</v>
      </c>
      <c r="R103" s="349">
        <f t="shared" ref="R103:R104" si="95">Q103</f>
        <v>1484</v>
      </c>
      <c r="S103" s="349">
        <f t="shared" ref="S103:S104" si="96">R103</f>
        <v>1484</v>
      </c>
    </row>
    <row r="104" spans="2:22">
      <c r="B104" s="121" t="s">
        <v>190</v>
      </c>
      <c r="C104" s="152"/>
      <c r="D104" s="80">
        <f>INDEX('Balance Sheet'!$D$9:$I$65,MATCH('3Statement Model'!$B104,'Balance Sheet'!$B$9:$B$65,0),MATCH('3Statement Model'!D$9,'Balance Sheet'!$D$6:$I$6,0))</f>
        <v>0</v>
      </c>
      <c r="E104" s="80">
        <f>INDEX('Balance Sheet'!$D$9:$I$65,MATCH('3Statement Model'!$B104,'Balance Sheet'!$B$9:$B$65,0),MATCH('3Statement Model'!E$9,'Balance Sheet'!$D$6:$I$6,0))</f>
        <v>0</v>
      </c>
      <c r="F104" s="80">
        <f>INDEX('Balance Sheet'!$D$9:$I$65,MATCH('3Statement Model'!$B104,'Balance Sheet'!$B$9:$B$65,0),MATCH('3Statement Model'!F$9,'Balance Sheet'!$D$6:$I$6,0))</f>
        <v>35</v>
      </c>
      <c r="G104" s="80">
        <f>INDEX('Balance Sheet'!$D$9:$I$65,MATCH('3Statement Model'!$B104,'Balance Sheet'!$B$9:$B$65,0),MATCH('3Statement Model'!G$9,'Balance Sheet'!$D$6:$I$6,0))</f>
        <v>36</v>
      </c>
      <c r="H104" s="80">
        <f>INDEX('Balance Sheet'!$D$9:$I$65,MATCH('3Statement Model'!$B104,'Balance Sheet'!$B$9:$B$65,0),MATCH('3Statement Model'!H$9,'Balance Sheet'!$D$6:$I$6,0))</f>
        <v>38</v>
      </c>
      <c r="I104" s="80">
        <f>INDEX('Balance Sheet'!$D$9:$I$65,MATCH('3Statement Model'!$B104,'Balance Sheet'!$B$9:$B$65,0),MATCH('3Statement Model'!I$9,'Balance Sheet'!$D$6:$I$6,0))</f>
        <v>46</v>
      </c>
      <c r="J104" s="349">
        <f>I104</f>
        <v>46</v>
      </c>
      <c r="K104" s="349">
        <f>J104</f>
        <v>46</v>
      </c>
      <c r="L104" s="349">
        <f t="shared" ref="L104:N104" si="97">K104</f>
        <v>46</v>
      </c>
      <c r="M104" s="349">
        <f t="shared" si="97"/>
        <v>46</v>
      </c>
      <c r="N104" s="349">
        <f t="shared" si="97"/>
        <v>46</v>
      </c>
      <c r="O104" s="349">
        <f t="shared" si="92"/>
        <v>46</v>
      </c>
      <c r="P104" s="349">
        <f t="shared" si="93"/>
        <v>46</v>
      </c>
      <c r="Q104" s="349">
        <f t="shared" si="94"/>
        <v>46</v>
      </c>
      <c r="R104" s="349">
        <f t="shared" si="95"/>
        <v>46</v>
      </c>
      <c r="S104" s="349">
        <f t="shared" si="96"/>
        <v>46</v>
      </c>
    </row>
    <row r="105" spans="2:22">
      <c r="B105" s="121" t="s">
        <v>191</v>
      </c>
      <c r="C105" s="152"/>
      <c r="D105" s="80">
        <f>INDEX('Balance Sheet'!$D$9:$I$65,MATCH('3Statement Model'!$B105,'Balance Sheet'!$B$9:$B$65,0),MATCH('3Statement Model'!D$9,'Balance Sheet'!$D$6:$I$6,0))</f>
        <v>1420</v>
      </c>
      <c r="E105" s="80">
        <f>INDEX('Balance Sheet'!$D$9:$I$65,MATCH('3Statement Model'!$B105,'Balance Sheet'!$B$9:$B$65,0),MATCH('3Statement Model'!E$9,'Balance Sheet'!$D$6:$I$6,0))</f>
        <v>1188</v>
      </c>
      <c r="F105" s="80">
        <f>INDEX('Balance Sheet'!$D$9:$I$65,MATCH('3Statement Model'!$B105,'Balance Sheet'!$B$9:$B$65,0),MATCH('3Statement Model'!F$9,'Balance Sheet'!$D$6:$I$6,0))</f>
        <v>1089</v>
      </c>
      <c r="G105" s="80">
        <f>INDEX('Balance Sheet'!$D$9:$I$65,MATCH('3Statement Model'!$B105,'Balance Sheet'!$B$9:$B$65,0),MATCH('3Statement Model'!G$9,'Balance Sheet'!$D$6:$I$6,0))</f>
        <v>1386</v>
      </c>
      <c r="H105" s="80">
        <f>INDEX('Balance Sheet'!$D$9:$I$65,MATCH('3Statement Model'!$B105,'Balance Sheet'!$B$9:$B$65,0),MATCH('3Statement Model'!H$9,'Balance Sheet'!$D$6:$I$6,0))</f>
        <v>1425</v>
      </c>
      <c r="I105" s="80">
        <f>INDEX('Balance Sheet'!$D$9:$I$65,MATCH('3Statement Model'!$B105,'Balance Sheet'!$B$9:$B$65,0),MATCH('3Statement Model'!I$9,'Balance Sheet'!$D$6:$I$6,0))</f>
        <v>1488</v>
      </c>
      <c r="J105" s="80">
        <f>Schedules!K244</f>
        <v>672.38368400000024</v>
      </c>
      <c r="K105" s="80">
        <f>Schedules!L244</f>
        <v>728.08852375200001</v>
      </c>
      <c r="L105" s="80">
        <f>Schedules!M244</f>
        <v>789.02108282552012</v>
      </c>
      <c r="M105" s="80">
        <f>Schedules!N244</f>
        <v>855.71283291880184</v>
      </c>
      <c r="N105" s="80">
        <f>Schedules!O244</f>
        <v>928.75201592165672</v>
      </c>
      <c r="O105" s="80">
        <f>Schedules!P244</f>
        <v>1013.5309382218053</v>
      </c>
      <c r="P105" s="80">
        <f>Schedules!Q244</f>
        <v>1104.8162712272374</v>
      </c>
      <c r="Q105" s="80">
        <f>Schedules!R244</f>
        <v>1198.6213457413248</v>
      </c>
      <c r="R105" s="80">
        <f>Schedules!S244</f>
        <v>1294.2591182980093</v>
      </c>
      <c r="S105" s="80">
        <f>Schedules!T244</f>
        <v>1391.0601635499236</v>
      </c>
    </row>
    <row r="106" spans="2:22">
      <c r="B106" s="118" t="s">
        <v>184</v>
      </c>
      <c r="C106" s="152"/>
      <c r="D106" s="80">
        <f>INDEX('Balance Sheet'!$D$9:$I$65,MATCH('3Statement Model'!$B106,'Balance Sheet'!$B$9:$B$65,0),MATCH('3Statement Model'!D$9,'Balance Sheet'!$D$6:$I$6,0))</f>
        <v>619</v>
      </c>
      <c r="E106" s="80">
        <f>INDEX('Balance Sheet'!$D$9:$I$65,MATCH('3Statement Model'!$B106,'Balance Sheet'!$B$9:$B$65,0),MATCH('3Statement Model'!E$9,'Balance Sheet'!$D$6:$I$6,0))</f>
        <v>514</v>
      </c>
      <c r="F106" s="80">
        <f>INDEX('Balance Sheet'!$D$9:$I$65,MATCH('3Statement Model'!$B106,'Balance Sheet'!$B$9:$B$65,0),MATCH('3Statement Model'!F$9,'Balance Sheet'!$D$6:$I$6,0))</f>
        <v>701</v>
      </c>
      <c r="G106" s="80">
        <f>INDEX('Balance Sheet'!$D$9:$I$65,MATCH('3Statement Model'!$B106,'Balance Sheet'!$B$9:$B$65,0),MATCH('3Statement Model'!G$9,'Balance Sheet'!$D$6:$I$6,0))</f>
        <v>757</v>
      </c>
      <c r="H106" s="80">
        <f>INDEX('Balance Sheet'!$D$9:$I$65,MATCH('3Statement Model'!$B106,'Balance Sheet'!$B$9:$B$65,0),MATCH('3Statement Model'!H$9,'Balance Sheet'!$D$6:$I$6,0))</f>
        <v>725</v>
      </c>
      <c r="I106" s="80">
        <f>INDEX('Balance Sheet'!$D$9:$I$65,MATCH('3Statement Model'!$B106,'Balance Sheet'!$B$9:$B$65,0),MATCH('3Statement Model'!I$9,'Balance Sheet'!$D$6:$I$6,0))</f>
        <v>978</v>
      </c>
      <c r="J106" s="80">
        <f>Schedules!K229</f>
        <v>686.10580000000016</v>
      </c>
      <c r="K106" s="80">
        <f>Schedules!L229</f>
        <v>746.37470400000007</v>
      </c>
      <c r="L106" s="80">
        <f>Schedules!M229</f>
        <v>812.58607912000014</v>
      </c>
      <c r="M106" s="80">
        <f>Schedules!N229</f>
        <v>885.37282247160044</v>
      </c>
      <c r="N106" s="80">
        <f>Schedules!O229</f>
        <v>965.43868598924826</v>
      </c>
      <c r="O106" s="80">
        <f>Schedules!P229</f>
        <v>1053.5664638480305</v>
      </c>
      <c r="P106" s="80">
        <f>Schedules!Q229</f>
        <v>1148.4576623983758</v>
      </c>
      <c r="Q106" s="80">
        <f>Schedules!R229</f>
        <v>1245.9681348662421</v>
      </c>
      <c r="R106" s="80">
        <f>Schedules!S229</f>
        <v>1345.3836988544797</v>
      </c>
      <c r="S106" s="80">
        <f>Schedules!T229</f>
        <v>1446.0084860186314</v>
      </c>
    </row>
    <row r="107" spans="2:22">
      <c r="B107" s="120" t="s">
        <v>16</v>
      </c>
      <c r="C107" s="153"/>
      <c r="D107" s="305">
        <f>INDEX('Balance Sheet'!$D$9:$I$65,MATCH('3Statement Model'!$B107,'Balance Sheet'!$B$9:$B$65,0),MATCH('3Statement Model'!D$9,'Balance Sheet'!$D$6:$I$6,0))</f>
        <v>12321</v>
      </c>
      <c r="E107" s="305">
        <f>INDEX('Balance Sheet'!$D$9:$I$65,MATCH('3Statement Model'!$B107,'Balance Sheet'!$B$9:$B$65,0),MATCH('3Statement Model'!E$9,'Balance Sheet'!$D$6:$I$6,0))</f>
        <v>14217</v>
      </c>
      <c r="F107" s="305">
        <f>INDEX('Balance Sheet'!$D$9:$I$65,MATCH('3Statement Model'!$B107,'Balance Sheet'!$B$9:$B$65,0),MATCH('3Statement Model'!F$9,'Balance Sheet'!$D$6:$I$6,0))</f>
        <v>15522</v>
      </c>
      <c r="G107" s="305">
        <f>INDEX('Balance Sheet'!$D$9:$I$65,MATCH('3Statement Model'!$B107,'Balance Sheet'!$B$9:$B$65,0),MATCH('3Statement Model'!G$9,'Balance Sheet'!$D$6:$I$6,0))</f>
        <v>16998</v>
      </c>
      <c r="H107" s="305">
        <f>INDEX('Balance Sheet'!$D$9:$I$65,MATCH('3Statement Model'!$B107,'Balance Sheet'!$B$9:$B$65,0),MATCH('3Statement Model'!H$9,'Balance Sheet'!$D$6:$I$6,0))</f>
        <v>21324</v>
      </c>
      <c r="I107" s="305">
        <f>INDEX('Balance Sheet'!$D$9:$I$65,MATCH('3Statement Model'!$B107,'Balance Sheet'!$B$9:$B$65,0),MATCH('3Statement Model'!I$9,'Balance Sheet'!$D$6:$I$6,0))</f>
        <v>22051</v>
      </c>
      <c r="J107" s="304">
        <f>SUM(J98:J106)</f>
        <v>25761.9685677122</v>
      </c>
      <c r="K107" s="304">
        <f t="shared" ref="K107:N107" si="98">SUM(K98:K106)</f>
        <v>27159.997768866873</v>
      </c>
      <c r="L107" s="304">
        <f t="shared" si="98"/>
        <v>28480.299629518046</v>
      </c>
      <c r="M107" s="304">
        <f t="shared" si="98"/>
        <v>29692.651375148616</v>
      </c>
      <c r="N107" s="304">
        <f t="shared" si="98"/>
        <v>30760.801051383703</v>
      </c>
      <c r="O107" s="304">
        <f t="shared" ref="O107:S107" si="99">SUM(O98:O106)</f>
        <v>31741.488915823815</v>
      </c>
      <c r="P107" s="304">
        <f t="shared" si="99"/>
        <v>32466.140280075517</v>
      </c>
      <c r="Q107" s="304">
        <f t="shared" si="99"/>
        <v>32803.39901098088</v>
      </c>
      <c r="R107" s="304">
        <f t="shared" si="99"/>
        <v>32695.719703237599</v>
      </c>
      <c r="S107" s="304">
        <f t="shared" si="99"/>
        <v>32088.142262943253</v>
      </c>
    </row>
    <row r="108" spans="2:22">
      <c r="B108" s="115"/>
      <c r="C108" s="152"/>
      <c r="D108" s="80"/>
      <c r="E108" s="80"/>
      <c r="F108" s="80"/>
      <c r="G108" s="80"/>
      <c r="H108" s="80"/>
      <c r="I108" s="80"/>
      <c r="J108" s="84"/>
      <c r="K108" s="84"/>
      <c r="L108" s="84"/>
      <c r="M108" s="84"/>
      <c r="N108" s="84"/>
      <c r="O108" s="84"/>
      <c r="P108" s="84"/>
      <c r="Q108" s="84"/>
      <c r="R108" s="84"/>
      <c r="S108" s="84"/>
    </row>
    <row r="109" spans="2:22" ht="15" thickBot="1">
      <c r="B109" s="122" t="s">
        <v>12</v>
      </c>
      <c r="C109" s="307"/>
      <c r="D109" s="90">
        <f>INDEX('Balance Sheet'!$D$9:$I$65,MATCH('3Statement Model'!$B109,'Balance Sheet'!$B$9:$B$65,0),MATCH('3Statement Model'!D$9,'Balance Sheet'!$D$6:$I$6,0))</f>
        <v>20153</v>
      </c>
      <c r="E109" s="90">
        <f>INDEX('Balance Sheet'!$D$9:$I$65,MATCH('3Statement Model'!$B109,'Balance Sheet'!$B$9:$B$65,0),MATCH('3Statement Model'!E$9,'Balance Sheet'!$D$6:$I$6,0))</f>
        <v>68757</v>
      </c>
      <c r="F109" s="90">
        <f>INDEX('Balance Sheet'!$D$9:$I$65,MATCH('3Statement Model'!$B109,'Balance Sheet'!$B$9:$B$65,0),MATCH('3Statement Model'!F$9,'Balance Sheet'!$D$6:$I$6,0))</f>
        <v>70517</v>
      </c>
      <c r="G109" s="90">
        <f>INDEX('Balance Sheet'!$D$9:$I$65,MATCH('3Statement Model'!$B109,'Balance Sheet'!$B$9:$B$65,0),MATCH('3Statement Model'!G$9,'Balance Sheet'!$D$6:$I$6,0))</f>
        <v>73087</v>
      </c>
      <c r="H109" s="90">
        <f>INDEX('Balance Sheet'!$D$9:$I$65,MATCH('3Statement Model'!$B109,'Balance Sheet'!$B$9:$B$65,0),MATCH('3Statement Model'!H$9,'Balance Sheet'!$D$6:$I$6,0))</f>
        <v>78499</v>
      </c>
      <c r="I109" s="90">
        <f>INDEX('Balance Sheet'!$D$9:$I$65,MATCH('3Statement Model'!$B109,'Balance Sheet'!$B$9:$B$65,0),MATCH('3Statement Model'!I$9,'Balance Sheet'!$D$6:$I$6,0))</f>
        <v>79880</v>
      </c>
      <c r="J109" s="93">
        <f>J107+J95</f>
        <v>84762.475246437869</v>
      </c>
      <c r="K109" s="93">
        <f t="shared" ref="K109:N109" si="100">K107+K95</f>
        <v>87080.195191281731</v>
      </c>
      <c r="L109" s="93">
        <f t="shared" si="100"/>
        <v>89364.569787007902</v>
      </c>
      <c r="M109" s="93">
        <f t="shared" si="100"/>
        <v>91591.627876575076</v>
      </c>
      <c r="N109" s="93">
        <f t="shared" si="100"/>
        <v>93732.159325287212</v>
      </c>
      <c r="O109" s="93">
        <f t="shared" ref="O109:S109" si="101">O107+O95</f>
        <v>95854.710818866821</v>
      </c>
      <c r="P109" s="93">
        <f t="shared" si="101"/>
        <v>97787.636699571449</v>
      </c>
      <c r="Q109" s="93">
        <f t="shared" si="101"/>
        <v>99375.057004216898</v>
      </c>
      <c r="R109" s="93">
        <f t="shared" si="101"/>
        <v>100542.76471645244</v>
      </c>
      <c r="S109" s="93">
        <f t="shared" si="101"/>
        <v>101216.9880267869</v>
      </c>
    </row>
    <row r="110" spans="2:22">
      <c r="B110" s="152"/>
      <c r="C110" s="152"/>
      <c r="D110" s="152"/>
      <c r="E110" s="152"/>
      <c r="G110" s="84"/>
      <c r="H110" s="84"/>
      <c r="I110" s="84"/>
      <c r="J110" s="84"/>
      <c r="K110" s="84"/>
      <c r="L110" s="84"/>
      <c r="M110" s="84"/>
      <c r="N110" s="84"/>
      <c r="O110" s="84"/>
      <c r="P110" s="84"/>
      <c r="Q110" s="84"/>
      <c r="R110" s="84"/>
      <c r="S110" s="84"/>
    </row>
    <row r="111" spans="2:22" s="20" customFormat="1">
      <c r="B111" s="20" t="s">
        <v>73</v>
      </c>
      <c r="D111" s="84">
        <f>D79-D109</f>
        <v>0</v>
      </c>
      <c r="E111" s="84">
        <f t="shared" ref="E111:N111" si="102">E79-E109</f>
        <v>0</v>
      </c>
      <c r="F111" s="84">
        <f t="shared" si="102"/>
        <v>0</v>
      </c>
      <c r="G111" s="84">
        <f t="shared" si="102"/>
        <v>0</v>
      </c>
      <c r="H111" s="84">
        <f t="shared" si="102"/>
        <v>0</v>
      </c>
      <c r="I111" s="84">
        <f t="shared" si="102"/>
        <v>0</v>
      </c>
      <c r="J111" s="84">
        <f>J79-J109</f>
        <v>0</v>
      </c>
      <c r="K111" s="84">
        <f>K79-K109</f>
        <v>0</v>
      </c>
      <c r="L111" s="84">
        <f t="shared" si="102"/>
        <v>0</v>
      </c>
      <c r="M111" s="84">
        <f t="shared" si="102"/>
        <v>0</v>
      </c>
      <c r="N111" s="84">
        <f t="shared" si="102"/>
        <v>0</v>
      </c>
      <c r="O111" s="84">
        <f t="shared" ref="O111:S111" si="103">O79-O109</f>
        <v>0</v>
      </c>
      <c r="P111" s="84">
        <f t="shared" si="103"/>
        <v>0</v>
      </c>
      <c r="Q111" s="84">
        <f t="shared" si="103"/>
        <v>0</v>
      </c>
      <c r="R111" s="84">
        <f t="shared" si="103"/>
        <v>0</v>
      </c>
      <c r="S111" s="84">
        <f t="shared" si="103"/>
        <v>0</v>
      </c>
    </row>
    <row r="112" spans="2:22">
      <c r="J112" s="46"/>
      <c r="K112" s="46"/>
      <c r="L112" s="46"/>
      <c r="M112" s="46"/>
      <c r="N112" s="46"/>
      <c r="O112" s="46"/>
      <c r="P112" s="46"/>
      <c r="Q112" s="46"/>
      <c r="R112" s="46"/>
      <c r="S112" s="46"/>
    </row>
    <row r="113" spans="1:19">
      <c r="B113" s="41" t="s">
        <v>95</v>
      </c>
      <c r="C113" s="41"/>
      <c r="D113" s="471">
        <f>Schedules!E270</f>
        <v>0</v>
      </c>
      <c r="E113" s="471">
        <f>Schedules!F270</f>
        <v>1271</v>
      </c>
      <c r="F113" s="471">
        <f>Schedules!G270</f>
        <v>1664</v>
      </c>
      <c r="G113" s="471">
        <f>Schedules!H270</f>
        <v>138</v>
      </c>
      <c r="H113" s="471">
        <f>Schedules!I270</f>
        <v>533</v>
      </c>
      <c r="I113" s="471">
        <f>Schedules!J270</f>
        <v>-97</v>
      </c>
      <c r="J113" s="471">
        <f>Schedules!K270</f>
        <v>-3853.7104612054809</v>
      </c>
      <c r="K113" s="471">
        <f>Schedules!L270</f>
        <v>-758.86218052197103</v>
      </c>
      <c r="L113" s="471">
        <f>Schedules!M270</f>
        <v>-417.30701149305514</v>
      </c>
      <c r="M113" s="471">
        <f>Schedules!N270</f>
        <v>-455.04194793552608</v>
      </c>
      <c r="N113" s="471">
        <f>Schedules!O270</f>
        <v>-496.45805864672229</v>
      </c>
      <c r="O113" s="471">
        <f>Schedules!P270</f>
        <v>-602.13485306488201</v>
      </c>
      <c r="P113" s="471">
        <f>Schedules!Q270</f>
        <v>-648.34606391438092</v>
      </c>
      <c r="Q113" s="471">
        <f>Schedules!R270</f>
        <v>-666.24230677654236</v>
      </c>
      <c r="R113" s="471">
        <f>Schedules!S270</f>
        <v>-679.25888373519388</v>
      </c>
      <c r="S113" s="471">
        <f>Schedules!T270</f>
        <v>-687.52092593167936</v>
      </c>
    </row>
    <row r="114" spans="1:19">
      <c r="B114" s="41" t="s">
        <v>78</v>
      </c>
      <c r="C114" s="41"/>
      <c r="D114" s="100">
        <f>(D101/D13)*365</f>
        <v>10.541814342809742</v>
      </c>
      <c r="E114" s="100">
        <f t="shared" ref="E114:S114" si="104">(E101/E13)*365</f>
        <v>13.644424598111764</v>
      </c>
      <c r="F114" s="100">
        <f t="shared" si="104"/>
        <v>15.561529954619989</v>
      </c>
      <c r="G114" s="100">
        <f t="shared" si="104"/>
        <v>18.548192771084338</v>
      </c>
      <c r="H114" s="100">
        <f t="shared" si="104"/>
        <v>17.69042305453134</v>
      </c>
      <c r="I114" s="100">
        <f t="shared" si="104"/>
        <v>22.08353796676225</v>
      </c>
      <c r="J114" s="100">
        <f t="shared" si="104"/>
        <v>18</v>
      </c>
      <c r="K114" s="100">
        <f t="shared" si="104"/>
        <v>16</v>
      </c>
      <c r="L114" s="100">
        <f t="shared" si="104"/>
        <v>16</v>
      </c>
      <c r="M114" s="100">
        <f t="shared" si="104"/>
        <v>16</v>
      </c>
      <c r="N114" s="100">
        <f t="shared" si="104"/>
        <v>16</v>
      </c>
      <c r="O114" s="100">
        <f t="shared" si="104"/>
        <v>16</v>
      </c>
      <c r="P114" s="100">
        <f t="shared" si="104"/>
        <v>16</v>
      </c>
      <c r="Q114" s="100">
        <f t="shared" si="104"/>
        <v>16</v>
      </c>
      <c r="R114" s="100">
        <f t="shared" si="104"/>
        <v>16</v>
      </c>
      <c r="S114" s="100">
        <f t="shared" si="104"/>
        <v>16</v>
      </c>
    </row>
    <row r="115" spans="1:19">
      <c r="B115" s="41" t="s">
        <v>80</v>
      </c>
      <c r="C115" s="41"/>
      <c r="D115" s="100">
        <f>(D98/-D14)*365</f>
        <v>55.312722493017148</v>
      </c>
      <c r="E115" s="100">
        <f>(E98/-E14)*365</f>
        <v>58.982075130937332</v>
      </c>
      <c r="F115" s="100">
        <f t="shared" ref="F115:S115" si="105">(F98/-F14)*365</f>
        <v>58.093646784534677</v>
      </c>
      <c r="G115" s="100">
        <f t="shared" si="105"/>
        <v>48.922152856602345</v>
      </c>
      <c r="H115" s="100">
        <f t="shared" si="105"/>
        <v>49.328965053763447</v>
      </c>
      <c r="I115" s="100">
        <f t="shared" si="105"/>
        <v>52.700470926810127</v>
      </c>
      <c r="J115" s="100">
        <f t="shared" si="105"/>
        <v>60</v>
      </c>
      <c r="K115" s="100">
        <f t="shared" si="105"/>
        <v>60</v>
      </c>
      <c r="L115" s="100">
        <f t="shared" si="105"/>
        <v>60</v>
      </c>
      <c r="M115" s="100">
        <f t="shared" si="105"/>
        <v>60</v>
      </c>
      <c r="N115" s="100">
        <f t="shared" si="105"/>
        <v>60</v>
      </c>
      <c r="O115" s="100">
        <f t="shared" si="105"/>
        <v>60</v>
      </c>
      <c r="P115" s="100">
        <f t="shared" si="105"/>
        <v>60.000000000000007</v>
      </c>
      <c r="Q115" s="100">
        <f t="shared" si="105"/>
        <v>60</v>
      </c>
      <c r="R115" s="100">
        <f t="shared" si="105"/>
        <v>60</v>
      </c>
      <c r="S115" s="100">
        <f t="shared" si="105"/>
        <v>60</v>
      </c>
    </row>
    <row r="116" spans="1:19">
      <c r="B116" s="41" t="s">
        <v>82</v>
      </c>
      <c r="C116" s="41"/>
      <c r="D116" s="100">
        <f>(D72/-D14)*365</f>
        <v>150.62571882359384</v>
      </c>
      <c r="E116" s="100">
        <f t="shared" ref="E116:S116" si="106">(E72/-E14)*365</f>
        <v>145.05734152067905</v>
      </c>
      <c r="F116" s="100">
        <f t="shared" si="106"/>
        <v>128.61161841849619</v>
      </c>
      <c r="G116" s="100">
        <f t="shared" si="106"/>
        <v>110.18129650649514</v>
      </c>
      <c r="H116" s="100">
        <f t="shared" si="106"/>
        <v>128.60853494623657</v>
      </c>
      <c r="I116" s="100">
        <f t="shared" si="106"/>
        <v>135.06360782261757</v>
      </c>
      <c r="J116" s="100">
        <f t="shared" si="106"/>
        <v>160</v>
      </c>
      <c r="K116" s="100">
        <f t="shared" si="106"/>
        <v>160</v>
      </c>
      <c r="L116" s="100">
        <f t="shared" si="106"/>
        <v>160</v>
      </c>
      <c r="M116" s="100">
        <f t="shared" si="106"/>
        <v>160</v>
      </c>
      <c r="N116" s="100">
        <f t="shared" si="106"/>
        <v>160</v>
      </c>
      <c r="O116" s="100">
        <f t="shared" si="106"/>
        <v>160</v>
      </c>
      <c r="P116" s="100">
        <f t="shared" si="106"/>
        <v>160</v>
      </c>
      <c r="Q116" s="100">
        <f t="shared" si="106"/>
        <v>160</v>
      </c>
      <c r="R116" s="100">
        <f t="shared" si="106"/>
        <v>160</v>
      </c>
      <c r="S116" s="100">
        <f t="shared" si="106"/>
        <v>160</v>
      </c>
    </row>
    <row r="117" spans="1:19">
      <c r="B117" s="41" t="s">
        <v>81</v>
      </c>
      <c r="C117" s="41"/>
      <c r="D117" s="44">
        <f>D106/D13</f>
        <v>1.5559409798154991E-2</v>
      </c>
      <c r="E117" s="44">
        <f t="shared" ref="E117:H117" si="107">E106/E13</f>
        <v>1.0929658926596921E-2</v>
      </c>
      <c r="F117" s="44">
        <f t="shared" si="107"/>
        <v>1.3366128970750868E-2</v>
      </c>
      <c r="G117" s="44">
        <f t="shared" si="107"/>
        <v>1.2493810859877868E-2</v>
      </c>
      <c r="H117" s="44">
        <f t="shared" si="107"/>
        <v>1.1724561743967915E-2</v>
      </c>
      <c r="I117" s="44">
        <f>I106/I13</f>
        <v>1.5494051108189034E-2</v>
      </c>
      <c r="J117" s="44">
        <f t="shared" ref="J117:N117" si="108">J106/J13</f>
        <v>0.01</v>
      </c>
      <c r="K117" s="44">
        <f t="shared" si="108"/>
        <v>0.01</v>
      </c>
      <c r="L117" s="44">
        <f t="shared" si="108"/>
        <v>0.01</v>
      </c>
      <c r="M117" s="44">
        <f t="shared" si="108"/>
        <v>0.01</v>
      </c>
      <c r="N117" s="44">
        <f t="shared" si="108"/>
        <v>0.01</v>
      </c>
      <c r="O117" s="44">
        <f t="shared" ref="O117:S117" si="109">O106/O13</f>
        <v>0.01</v>
      </c>
      <c r="P117" s="44">
        <f t="shared" si="109"/>
        <v>0.01</v>
      </c>
      <c r="Q117" s="44">
        <f t="shared" si="109"/>
        <v>0.01</v>
      </c>
      <c r="R117" s="44">
        <f t="shared" si="109"/>
        <v>0.01</v>
      </c>
      <c r="S117" s="44">
        <f t="shared" si="109"/>
        <v>0.01</v>
      </c>
    </row>
    <row r="118" spans="1:19">
      <c r="B118" s="41" t="s">
        <v>83</v>
      </c>
      <c r="C118" s="41"/>
      <c r="D118" s="44">
        <f>D74/D13</f>
        <v>1.0758364125380188E-2</v>
      </c>
      <c r="E118" s="44">
        <f t="shared" ref="E118:H118" si="110">E74/E13</f>
        <v>1.2503189589180914E-2</v>
      </c>
      <c r="F118" s="44">
        <f t="shared" si="110"/>
        <v>1.2679708652709454E-2</v>
      </c>
      <c r="G118" s="44">
        <f t="shared" si="110"/>
        <v>1.2609341475491006E-2</v>
      </c>
      <c r="H118" s="44">
        <f t="shared" si="110"/>
        <v>1.3050650106733942E-2</v>
      </c>
      <c r="I118" s="44">
        <f>I74/I13</f>
        <v>1.5193041935330555E-2</v>
      </c>
      <c r="J118" s="44">
        <f t="shared" ref="J118:N118" si="111">J74/J13</f>
        <v>1.3977436133027876E-2</v>
      </c>
      <c r="K118" s="44">
        <f t="shared" si="111"/>
        <v>1.2848774146021967E-2</v>
      </c>
      <c r="L118" s="44">
        <f t="shared" si="111"/>
        <v>1.1801826595879672E-2</v>
      </c>
      <c r="M118" s="44">
        <f t="shared" si="111"/>
        <v>1.0831595184081465E-2</v>
      </c>
      <c r="N118" s="44">
        <f t="shared" si="111"/>
        <v>9.9333081832881937E-3</v>
      </c>
      <c r="O118" s="44">
        <f t="shared" ref="O118:S118" si="112">O74/O13</f>
        <v>9.1024157744862416E-3</v>
      </c>
      <c r="P118" s="44">
        <f t="shared" si="112"/>
        <v>8.3503295889661017E-3</v>
      </c>
      <c r="Q118" s="44">
        <f t="shared" si="112"/>
        <v>7.6968260516786903E-3</v>
      </c>
      <c r="R118" s="44">
        <f t="shared" si="112"/>
        <v>7.1280780406105405E-3</v>
      </c>
      <c r="S118" s="44">
        <f t="shared" si="112"/>
        <v>6.6320495991034146E-3</v>
      </c>
    </row>
    <row r="120" spans="1:19" ht="18">
      <c r="A120" t="s">
        <v>27</v>
      </c>
      <c r="B120" s="68" t="s">
        <v>92</v>
      </c>
      <c r="C120" s="68"/>
      <c r="D120" s="68"/>
      <c r="E120" s="68"/>
      <c r="F120" s="69"/>
      <c r="G120" s="70"/>
      <c r="H120" s="70"/>
      <c r="I120" s="70"/>
      <c r="J120" s="70"/>
      <c r="K120" s="70"/>
      <c r="L120" s="70"/>
      <c r="M120" s="70"/>
      <c r="N120" s="70"/>
      <c r="O120" s="70"/>
      <c r="P120" s="70"/>
      <c r="Q120" s="70"/>
      <c r="R120" s="70"/>
      <c r="S120" s="70"/>
    </row>
    <row r="122" spans="1:19">
      <c r="B122" s="147" t="s">
        <v>306</v>
      </c>
      <c r="G122" s="78"/>
      <c r="H122" s="78"/>
      <c r="I122" s="78"/>
      <c r="J122" s="78"/>
      <c r="K122" s="78"/>
      <c r="L122" s="78"/>
      <c r="M122" s="78"/>
      <c r="N122" s="78"/>
      <c r="O122" s="78"/>
      <c r="P122" s="78"/>
      <c r="Q122" s="78"/>
      <c r="R122" s="78"/>
      <c r="S122" s="78"/>
    </row>
    <row r="123" spans="1:19">
      <c r="B123" s="147"/>
      <c r="C123" s="63"/>
      <c r="D123" s="63"/>
      <c r="E123" s="63"/>
      <c r="G123" s="78"/>
      <c r="H123" s="78"/>
      <c r="I123" s="78"/>
      <c r="J123" s="78"/>
      <c r="K123" s="78"/>
      <c r="L123" s="78"/>
      <c r="M123" s="78"/>
      <c r="N123" s="78"/>
      <c r="O123" s="78"/>
      <c r="P123" s="78"/>
      <c r="Q123" s="78"/>
      <c r="R123" s="78"/>
      <c r="S123" s="78"/>
    </row>
    <row r="124" spans="1:19">
      <c r="B124" s="148" t="s">
        <v>240</v>
      </c>
      <c r="C124" s="63"/>
      <c r="D124" s="347">
        <f t="shared" ref="D124:S124" si="113">D37</f>
        <v>9173</v>
      </c>
      <c r="E124" s="347">
        <f t="shared" si="113"/>
        <v>10606</v>
      </c>
      <c r="F124" s="347">
        <f t="shared" si="113"/>
        <v>11874</v>
      </c>
      <c r="G124" s="347">
        <f t="shared" si="113"/>
        <v>13355</v>
      </c>
      <c r="H124" s="347">
        <f t="shared" si="113"/>
        <v>13866</v>
      </c>
      <c r="I124" s="347">
        <f t="shared" si="113"/>
        <v>14415</v>
      </c>
      <c r="J124" s="347">
        <f t="shared" si="113"/>
        <v>14999.731583163148</v>
      </c>
      <c r="K124" s="347">
        <f t="shared" si="113"/>
        <v>16356.879254990947</v>
      </c>
      <c r="L124" s="347">
        <f t="shared" si="113"/>
        <v>17862.674435452864</v>
      </c>
      <c r="M124" s="347">
        <f t="shared" si="113"/>
        <v>19534.316827374056</v>
      </c>
      <c r="N124" s="347">
        <f t="shared" si="113"/>
        <v>21391.075186939928</v>
      </c>
      <c r="O124" s="347">
        <f t="shared" si="113"/>
        <v>23217.218656799829</v>
      </c>
      <c r="P124" s="347">
        <f t="shared" si="113"/>
        <v>25180.152641662415</v>
      </c>
      <c r="Q124" s="347">
        <f t="shared" si="113"/>
        <v>27182.598069415286</v>
      </c>
      <c r="R124" s="347">
        <f t="shared" si="113"/>
        <v>29207.365169903591</v>
      </c>
      <c r="S124" s="347">
        <f t="shared" si="113"/>
        <v>31237.817792953803</v>
      </c>
    </row>
    <row r="125" spans="1:19">
      <c r="B125" s="146" t="s">
        <v>241</v>
      </c>
      <c r="C125" s="63"/>
      <c r="D125" s="343"/>
      <c r="E125" s="343"/>
      <c r="F125" s="343"/>
      <c r="G125" s="342"/>
      <c r="H125" s="342"/>
      <c r="I125" s="342"/>
      <c r="J125" s="78"/>
      <c r="K125" s="78"/>
      <c r="L125" s="78"/>
      <c r="M125" s="78"/>
      <c r="N125" s="78"/>
      <c r="O125" s="78"/>
      <c r="P125" s="78"/>
      <c r="Q125" s="78"/>
      <c r="R125" s="78"/>
      <c r="S125" s="78"/>
    </row>
    <row r="126" spans="1:19">
      <c r="B126" s="150" t="s">
        <v>246</v>
      </c>
      <c r="C126" s="63"/>
      <c r="D126" s="344">
        <f>INDEX('Cash Flow Statement'!$C$7:$I$80,MATCH('3Statement Model'!$B126,'Cash Flow Statement'!$B$7:$B$80,0),MATCH('3Statement Model'!D$9,'Cash Flow Statement'!$C$6:$I$6,0))</f>
        <v>1002</v>
      </c>
      <c r="E126" s="344">
        <f>INDEX('Cash Flow Statement'!$C$7:$I$80,MATCH('3Statement Model'!$B126,'Cash Flow Statement'!$B$7:$B$80,0),MATCH('3Statement Model'!E$9,'Cash Flow Statement'!$C$6:$I$6,0))</f>
        <v>1134</v>
      </c>
      <c r="F126" s="344">
        <f>INDEX('Cash Flow Statement'!$C$7:$I$80,MATCH('3Statement Model'!$B126,'Cash Flow Statement'!$B$7:$B$80,0),MATCH('3Statement Model'!F$9,'Cash Flow Statement'!$C$6:$I$6,0))</f>
        <v>1106</v>
      </c>
      <c r="G126" s="344">
        <f>INDEX('Cash Flow Statement'!$C$7:$I$80,MATCH('3Statement Model'!$B126,'Cash Flow Statement'!$B$7:$B$80,0),MATCH('3Statement Model'!G$9,'Cash Flow Statement'!$C$6:$I$6,0))</f>
        <v>1152</v>
      </c>
      <c r="H126" s="344">
        <f>INDEX('Cash Flow Statement'!$C$7:$I$80,MATCH('3Statement Model'!$B126,'Cash Flow Statement'!$B$7:$B$80,0),MATCH('3Statement Model'!H$9,'Cash Flow Statement'!$C$6:$I$6,0))</f>
        <v>1216</v>
      </c>
      <c r="I126" s="344">
        <f>INDEX('Cash Flow Statement'!$C$7:$I$80,MATCH('3Statement Model'!$B126,'Cash Flow Statement'!$B$7:$B$80,0),MATCH('3Statement Model'!I$9,'Cash Flow Statement'!$C$6:$I$6,0))</f>
        <v>1363</v>
      </c>
      <c r="J126" s="64">
        <f t="shared" ref="J126:S126" si="114">-J27</f>
        <v>1530.8597253333724</v>
      </c>
      <c r="K126" s="64">
        <f t="shared" si="114"/>
        <v>1704.3912115585131</v>
      </c>
      <c r="L126" s="64">
        <f t="shared" si="114"/>
        <v>1893.4359820496011</v>
      </c>
      <c r="M126" s="64">
        <f t="shared" si="114"/>
        <v>2099.5431930776549</v>
      </c>
      <c r="N126" s="64">
        <f t="shared" si="114"/>
        <v>2324.4284281738655</v>
      </c>
      <c r="O126" s="64">
        <f t="shared" si="114"/>
        <v>2570.2639595177616</v>
      </c>
      <c r="P126" s="64">
        <f t="shared" si="114"/>
        <v>2838.3242828338425</v>
      </c>
      <c r="Q126" s="64">
        <f t="shared" si="114"/>
        <v>3128.4551149139679</v>
      </c>
      <c r="R126" s="64">
        <f t="shared" si="114"/>
        <v>3441.0550283374305</v>
      </c>
      <c r="S126" s="64">
        <f t="shared" si="114"/>
        <v>3776.3995588114567</v>
      </c>
    </row>
    <row r="127" spans="1:19">
      <c r="B127" s="63" t="s">
        <v>249</v>
      </c>
      <c r="D127" s="344">
        <f>INDEX('Cash Flow Statement'!$C$7:$I$80,MATCH('3Statement Model'!$B127,'Cash Flow Statement'!$B$7:$B$80,0),MATCH('3Statement Model'!D$9,'Cash Flow Statement'!$C$6:$I$6,0))</f>
        <v>-492</v>
      </c>
      <c r="E127" s="344">
        <f>INDEX('Cash Flow Statement'!$C$7:$I$80,MATCH('3Statement Model'!$B127,'Cash Flow Statement'!$B$7:$B$80,0),MATCH('3Statement Model'!E$9,'Cash Flow Statement'!$C$6:$I$6,0))</f>
        <v>-346</v>
      </c>
      <c r="F127" s="344">
        <f>INDEX('Cash Flow Statement'!$C$7:$I$80,MATCH('3Statement Model'!$B127,'Cash Flow Statement'!$B$7:$B$80,0),MATCH('3Statement Model'!F$9,'Cash Flow Statement'!$C$6:$I$6,0))</f>
        <v>-198</v>
      </c>
      <c r="G127" s="344">
        <f>INDEX('Cash Flow Statement'!$C$7:$I$80,MATCH('3Statement Model'!$B127,'Cash Flow Statement'!$B$7:$B$80,0),MATCH('3Statement Model'!G$9,'Cash Flow Statement'!$C$6:$I$6,0))</f>
        <v>-411</v>
      </c>
      <c r="H127" s="344">
        <f>INDEX('Cash Flow Statement'!$C$7:$I$80,MATCH('3Statement Model'!$B127,'Cash Flow Statement'!$B$7:$B$80,0),MATCH('3Statement Model'!H$9,'Cash Flow Statement'!$C$6:$I$6,0))</f>
        <v>-546</v>
      </c>
      <c r="I127" s="344">
        <f>INDEX('Cash Flow Statement'!$C$7:$I$80,MATCH('3Statement Model'!$B127,'Cash Flow Statement'!$B$7:$B$80,0),MATCH('3Statement Model'!I$9,'Cash Flow Statement'!$C$6:$I$6,0))</f>
        <v>-755</v>
      </c>
      <c r="J127" s="78">
        <f>I127</f>
        <v>-755</v>
      </c>
      <c r="K127" s="78">
        <f>J127</f>
        <v>-755</v>
      </c>
      <c r="L127" s="78">
        <f t="shared" ref="L127:N127" si="115">K127</f>
        <v>-755</v>
      </c>
      <c r="M127" s="78">
        <f t="shared" si="115"/>
        <v>-755</v>
      </c>
      <c r="N127" s="78">
        <f t="shared" si="115"/>
        <v>-755</v>
      </c>
      <c r="O127" s="78">
        <f t="shared" ref="O127" si="116">N127</f>
        <v>-755</v>
      </c>
      <c r="P127" s="78">
        <f t="shared" ref="P127" si="117">O127</f>
        <v>-755</v>
      </c>
      <c r="Q127" s="78">
        <f t="shared" ref="Q127" si="118">P127</f>
        <v>-755</v>
      </c>
      <c r="R127" s="78">
        <f t="shared" ref="R127" si="119">Q127</f>
        <v>-755</v>
      </c>
      <c r="S127" s="78">
        <f t="shared" ref="S127" si="120">R127</f>
        <v>-755</v>
      </c>
    </row>
    <row r="128" spans="1:19">
      <c r="B128" s="63" t="s">
        <v>242</v>
      </c>
      <c r="C128" s="20"/>
      <c r="D128" s="344">
        <f>INDEX('Cash Flow Statement'!$C$7:$I$80,MATCH('3Statement Model'!$B128,'Cash Flow Statement'!$B$7:$B$80,0),MATCH('3Statement Model'!D$9,'Cash Flow Statement'!$C$6:$I$6,0))</f>
        <v>-1</v>
      </c>
      <c r="E128" s="344">
        <f>INDEX('Cash Flow Statement'!$C$7:$I$80,MATCH('3Statement Model'!$B128,'Cash Flow Statement'!$B$7:$B$80,0),MATCH('3Statement Model'!E$9,'Cash Flow Statement'!$C$6:$I$6,0))</f>
        <v>-1</v>
      </c>
      <c r="F128" s="344">
        <f>INDEX('Cash Flow Statement'!$C$7:$I$80,MATCH('3Statement Model'!$B128,'Cash Flow Statement'!$B$7:$B$80,0),MATCH('3Statement Model'!F$9,'Cash Flow Statement'!$C$6:$I$6,0))</f>
        <v>-1</v>
      </c>
      <c r="G128" s="344">
        <f>INDEX('Cash Flow Statement'!$C$7:$I$80,MATCH('3Statement Model'!$B128,'Cash Flow Statement'!$B$7:$B$80,0),MATCH('3Statement Model'!G$9,'Cash Flow Statement'!$C$6:$I$6,0))</f>
        <v>-2</v>
      </c>
      <c r="H128" s="344">
        <f>INDEX('Cash Flow Statement'!$C$7:$I$80,MATCH('3Statement Model'!$B128,'Cash Flow Statement'!$B$7:$B$80,0),MATCH('3Statement Model'!H$9,'Cash Flow Statement'!$C$6:$I$6,0))</f>
        <v>-3</v>
      </c>
      <c r="I128" s="344" t="str">
        <f>INDEX('Cash Flow Statement'!$C$7:$I$80,MATCH('3Statement Model'!$B128,'Cash Flow Statement'!$B$7:$B$80,0),MATCH('3Statement Model'!I$9,'Cash Flow Statement'!$C$6:$I$6,0))</f>
        <v>-</v>
      </c>
      <c r="J128" s="373">
        <v>0</v>
      </c>
      <c r="K128" s="373">
        <v>0</v>
      </c>
      <c r="L128" s="373">
        <v>0</v>
      </c>
      <c r="M128" s="373">
        <v>0</v>
      </c>
      <c r="N128" s="373">
        <v>0</v>
      </c>
      <c r="O128" s="373">
        <v>0</v>
      </c>
      <c r="P128" s="373">
        <v>0</v>
      </c>
      <c r="Q128" s="373">
        <v>0</v>
      </c>
      <c r="R128" s="373">
        <v>0</v>
      </c>
      <c r="S128" s="373">
        <v>0</v>
      </c>
    </row>
    <row r="129" spans="2:19">
      <c r="B129" s="63" t="s">
        <v>243</v>
      </c>
      <c r="C129" s="63"/>
      <c r="D129" s="344">
        <f>INDEX('Cash Flow Statement'!$C$7:$I$80,MATCH('3Statement Model'!$B129,'Cash Flow Statement'!$B$7:$B$80,0),MATCH('3Statement Model'!D$9,'Cash Flow Statement'!$C$6:$I$6,0))</f>
        <v>118</v>
      </c>
      <c r="E129" s="344">
        <f>INDEX('Cash Flow Statement'!$C$7:$I$80,MATCH('3Statement Model'!$B129,'Cash Flow Statement'!$B$7:$B$80,0),MATCH('3Statement Model'!E$9,'Cash Flow Statement'!$C$6:$I$6,0))</f>
        <v>117</v>
      </c>
      <c r="F129" s="344">
        <f>INDEX('Cash Flow Statement'!$C$7:$I$80,MATCH('3Statement Model'!$B129,'Cash Flow Statement'!$B$7:$B$80,0),MATCH('3Statement Model'!F$9,'Cash Flow Statement'!$C$6:$I$6,0))</f>
        <v>106</v>
      </c>
      <c r="G129" s="344">
        <f>INDEX('Cash Flow Statement'!$C$7:$I$80,MATCH('3Statement Model'!$B129,'Cash Flow Statement'!$B$7:$B$80,0),MATCH('3Statement Model'!G$9,'Cash Flow Statement'!$C$6:$I$6,0))</f>
        <v>114</v>
      </c>
      <c r="H129" s="344">
        <f>INDEX('Cash Flow Statement'!$C$7:$I$80,MATCH('3Statement Model'!$B129,'Cash Flow Statement'!$B$7:$B$80,0),MATCH('3Statement Model'!H$9,'Cash Flow Statement'!$C$6:$I$6,0))</f>
        <v>317</v>
      </c>
      <c r="I129" s="344">
        <f>INDEX('Cash Flow Statement'!$C$7:$I$80,MATCH('3Statement Model'!$B129,'Cash Flow Statement'!$B$7:$B$80,0),MATCH('3Statement Model'!I$9,'Cash Flow Statement'!$C$6:$I$6,0))</f>
        <v>372</v>
      </c>
      <c r="J129" s="78">
        <f t="shared" ref="J129:S129" si="121">-J32</f>
        <v>266.84209150348255</v>
      </c>
      <c r="K129" s="78">
        <f t="shared" si="121"/>
        <v>290.28203385054121</v>
      </c>
      <c r="L129" s="78">
        <f t="shared" si="121"/>
        <v>316.03313786152967</v>
      </c>
      <c r="M129" s="78">
        <f t="shared" si="121"/>
        <v>344.34155156342263</v>
      </c>
      <c r="N129" s="78">
        <f t="shared" si="121"/>
        <v>375.48098002923871</v>
      </c>
      <c r="O129" s="78">
        <f t="shared" si="121"/>
        <v>409.75586965033176</v>
      </c>
      <c r="P129" s="78">
        <f t="shared" si="121"/>
        <v>446.66120682492846</v>
      </c>
      <c r="Q129" s="78">
        <f t="shared" si="121"/>
        <v>484.58523897393252</v>
      </c>
      <c r="R129" s="78">
        <f t="shared" si="121"/>
        <v>523.25020438104548</v>
      </c>
      <c r="S129" s="78">
        <f t="shared" si="121"/>
        <v>562.38546408002355</v>
      </c>
    </row>
    <row r="130" spans="2:19">
      <c r="B130" s="63" t="s">
        <v>713</v>
      </c>
      <c r="C130" s="63"/>
      <c r="D130" s="374">
        <v>-221</v>
      </c>
      <c r="E130" s="374">
        <v>-40</v>
      </c>
      <c r="F130" s="374">
        <v>-211</v>
      </c>
      <c r="G130" s="374">
        <v>-296</v>
      </c>
      <c r="H130" s="374">
        <v>-540</v>
      </c>
      <c r="I130" s="374">
        <v>-642</v>
      </c>
      <c r="J130" s="373">
        <v>0</v>
      </c>
      <c r="K130" s="373">
        <v>0</v>
      </c>
      <c r="L130" s="373">
        <v>0</v>
      </c>
      <c r="M130" s="373">
        <v>0</v>
      </c>
      <c r="N130" s="373">
        <v>0</v>
      </c>
      <c r="O130" s="373">
        <v>0</v>
      </c>
      <c r="P130" s="373">
        <v>0</v>
      </c>
      <c r="Q130" s="373">
        <v>0</v>
      </c>
      <c r="R130" s="373">
        <v>0</v>
      </c>
      <c r="S130" s="373">
        <v>0</v>
      </c>
    </row>
    <row r="131" spans="2:19">
      <c r="B131" s="63" t="s">
        <v>255</v>
      </c>
      <c r="C131" s="63"/>
      <c r="D131" s="344">
        <f>INDEX('Cash Flow Statement'!$C$7:$I$80,MATCH('3Statement Model'!$B131,'Cash Flow Statement'!$B$7:$B$80,0),MATCH('3Statement Model'!D$9,'Cash Flow Statement'!$C$6:$I$6,0))</f>
        <v>138</v>
      </c>
      <c r="E131" s="344">
        <f>INDEX('Cash Flow Statement'!$C$7:$I$80,MATCH('3Statement Model'!$B131,'Cash Flow Statement'!$B$7:$B$80,0),MATCH('3Statement Model'!E$9,'Cash Flow Statement'!$C$6:$I$6,0))</f>
        <v>201</v>
      </c>
      <c r="F131" s="344">
        <f>INDEX('Cash Flow Statement'!$C$7:$I$80,MATCH('3Statement Model'!$B131,'Cash Flow Statement'!$B$7:$B$80,0),MATCH('3Statement Model'!F$9,'Cash Flow Statement'!$C$6:$I$6,0))</f>
        <v>156</v>
      </c>
      <c r="G131" s="344">
        <f>INDEX('Cash Flow Statement'!$C$7:$I$80,MATCH('3Statement Model'!$B131,'Cash Flow Statement'!$B$7:$B$80,0),MATCH('3Statement Model'!G$9,'Cash Flow Statement'!$C$6:$I$6,0))</f>
        <v>184</v>
      </c>
      <c r="H131" s="344">
        <f>INDEX('Cash Flow Statement'!$C$7:$I$80,MATCH('3Statement Model'!$B131,'Cash Flow Statement'!$B$7:$B$80,0),MATCH('3Statement Model'!H$9,'Cash Flow Statement'!$C$6:$I$6,0))</f>
        <v>167</v>
      </c>
      <c r="I131" s="344">
        <f>INDEX('Cash Flow Statement'!$C$7:$I$80,MATCH('3Statement Model'!$B131,'Cash Flow Statement'!$B$7:$B$80,0),MATCH('3Statement Model'!I$9,'Cash Flow Statement'!$C$6:$I$6,0))</f>
        <v>189</v>
      </c>
      <c r="J131" s="78">
        <v>0</v>
      </c>
      <c r="K131" s="78">
        <f>J131</f>
        <v>0</v>
      </c>
      <c r="L131" s="78">
        <f t="shared" ref="L131:N131" si="122">K131</f>
        <v>0</v>
      </c>
      <c r="M131" s="78">
        <f t="shared" si="122"/>
        <v>0</v>
      </c>
      <c r="N131" s="78">
        <f t="shared" si="122"/>
        <v>0</v>
      </c>
      <c r="O131" s="78">
        <f t="shared" ref="O131" si="123">N131</f>
        <v>0</v>
      </c>
      <c r="P131" s="78">
        <f t="shared" ref="P131" si="124">O131</f>
        <v>0</v>
      </c>
      <c r="Q131" s="78">
        <f t="shared" ref="Q131" si="125">P131</f>
        <v>0</v>
      </c>
      <c r="R131" s="78">
        <f t="shared" ref="R131" si="126">Q131</f>
        <v>0</v>
      </c>
      <c r="S131" s="78">
        <f t="shared" ref="S131" si="127">R131</f>
        <v>0</v>
      </c>
    </row>
    <row r="132" spans="2:19">
      <c r="B132" s="340" t="s">
        <v>714</v>
      </c>
      <c r="D132" s="344">
        <v>411</v>
      </c>
      <c r="E132" s="344">
        <v>-101</v>
      </c>
      <c r="F132" s="344">
        <v>-1000</v>
      </c>
      <c r="G132" s="344">
        <v>-958</v>
      </c>
      <c r="H132" s="344">
        <v>1313</v>
      </c>
      <c r="I132" s="344">
        <v>-788</v>
      </c>
      <c r="J132" s="344">
        <f>-Schedules!K270</f>
        <v>3853.7104612054809</v>
      </c>
      <c r="K132" s="344">
        <f>-Schedules!L270</f>
        <v>758.86218052197103</v>
      </c>
      <c r="L132" s="344">
        <f>-Schedules!M270</f>
        <v>417.30701149305514</v>
      </c>
      <c r="M132" s="344">
        <f>-Schedules!N270</f>
        <v>455.04194793552608</v>
      </c>
      <c r="N132" s="344">
        <f>-Schedules!O270</f>
        <v>496.45805864672229</v>
      </c>
      <c r="O132" s="344">
        <f>-Schedules!P270</f>
        <v>602.13485306488201</v>
      </c>
      <c r="P132" s="344">
        <f>-Schedules!Q270</f>
        <v>648.34606391438092</v>
      </c>
      <c r="Q132" s="344">
        <f>-Schedules!R270</f>
        <v>666.24230677654236</v>
      </c>
      <c r="R132" s="344">
        <f>-Schedules!S270</f>
        <v>679.25888373519388</v>
      </c>
      <c r="S132" s="344">
        <f>-Schedules!T270</f>
        <v>687.52092593167936</v>
      </c>
    </row>
    <row r="133" spans="2:19">
      <c r="B133" s="11" t="s">
        <v>715</v>
      </c>
      <c r="D133" s="344">
        <f>'Cash Flow Statement'!D39</f>
        <v>-2505</v>
      </c>
      <c r="E133" s="344">
        <f>'Cash Flow Statement'!E39</f>
        <v>-2407</v>
      </c>
      <c r="F133" s="344">
        <f>'Cash Flow Statement'!F39</f>
        <v>-2784</v>
      </c>
      <c r="G133" s="344">
        <f>'Cash Flow Statement'!G39</f>
        <v>-3138</v>
      </c>
      <c r="H133" s="344">
        <f>'Cash Flow Statement'!H39</f>
        <v>-381</v>
      </c>
      <c r="I133" s="344">
        <f>'Cash Flow Statement'!I39</f>
        <v>-2268</v>
      </c>
      <c r="J133" s="376">
        <f t="shared" ref="J133:S133" si="128">J39</f>
        <v>-4499.9194749489443</v>
      </c>
      <c r="K133" s="376">
        <f t="shared" si="128"/>
        <v>-4907.0637764972835</v>
      </c>
      <c r="L133" s="376">
        <f t="shared" si="128"/>
        <v>-5358.8023306358591</v>
      </c>
      <c r="M133" s="376">
        <f t="shared" si="128"/>
        <v>-5860.2950482122169</v>
      </c>
      <c r="N133" s="376">
        <f t="shared" si="128"/>
        <v>-6417.3225560819783</v>
      </c>
      <c r="O133" s="376">
        <f t="shared" si="128"/>
        <v>-6965.1655970399488</v>
      </c>
      <c r="P133" s="376">
        <f t="shared" si="128"/>
        <v>-7554.045792498724</v>
      </c>
      <c r="Q133" s="376">
        <f t="shared" si="128"/>
        <v>-8154.779420824585</v>
      </c>
      <c r="R133" s="376">
        <f t="shared" si="128"/>
        <v>-8762.2095509710762</v>
      </c>
      <c r="S133" s="376">
        <f t="shared" si="128"/>
        <v>-9371.3453378861414</v>
      </c>
    </row>
    <row r="134" spans="2:19" ht="15" thickBot="1">
      <c r="B134" s="92" t="s">
        <v>267</v>
      </c>
      <c r="C134" s="49"/>
      <c r="D134" s="345">
        <f>INDEX('Cash Flow Statement'!$C$7:$I$80,MATCH('3Statement Model'!$B134,'Cash Flow Statement'!$B$7:$B$80,0),MATCH('3Statement Model'!D$9,'Cash Flow Statement'!$C$6:$I$6,0))</f>
        <v>7623</v>
      </c>
      <c r="E134" s="345">
        <f>INDEX('Cash Flow Statement'!$C$7:$I$80,MATCH('3Statement Model'!$B134,'Cash Flow Statement'!$B$7:$B$80,0),MATCH('3Statement Model'!E$9,'Cash Flow Statement'!$C$6:$I$6,0))</f>
        <v>9163</v>
      </c>
      <c r="F134" s="345">
        <f>INDEX('Cash Flow Statement'!$C$7:$I$80,MATCH('3Statement Model'!$B134,'Cash Flow Statement'!$B$7:$B$80,0),MATCH('3Statement Model'!F$9,'Cash Flow Statement'!$C$6:$I$6,0))</f>
        <v>9048</v>
      </c>
      <c r="G134" s="345">
        <f>INDEX('Cash Flow Statement'!$C$7:$I$80,MATCH('3Statement Model'!$B134,'Cash Flow Statement'!$B$7:$B$80,0),MATCH('3Statement Model'!G$9,'Cash Flow Statement'!$C$6:$I$6,0))</f>
        <v>9991</v>
      </c>
      <c r="H134" s="345">
        <f>INDEX('Cash Flow Statement'!$C$7:$I$80,MATCH('3Statement Model'!$B134,'Cash Flow Statement'!$B$7:$B$80,0),MATCH('3Statement Model'!H$9,'Cash Flow Statement'!$C$6:$I$6,0))</f>
        <v>15469</v>
      </c>
      <c r="I134" s="345">
        <f>INDEX('Cash Flow Statement'!$C$7:$I$80,MATCH('3Statement Model'!$B134,'Cash Flow Statement'!$B$7:$B$80,0),MATCH('3Statement Model'!I$9,'Cash Flow Statement'!$C$6:$I$6,0))</f>
        <v>11886</v>
      </c>
      <c r="J134" s="93">
        <f>SUM(J124:J133)</f>
        <v>15396.224386256541</v>
      </c>
      <c r="K134" s="93">
        <f>SUM(K124:K133)</f>
        <v>13448.350904424688</v>
      </c>
      <c r="L134" s="93">
        <f>SUM(L124:L133)</f>
        <v>14375.648236221194</v>
      </c>
      <c r="M134" s="93">
        <f>SUM(M124:M133)</f>
        <v>15817.94847173844</v>
      </c>
      <c r="N134" s="93">
        <f>SUM(N124:N133)</f>
        <v>17415.120097707779</v>
      </c>
      <c r="O134" s="93">
        <f t="shared" ref="O134:S134" si="129">SUM(O124:O133)</f>
        <v>19079.207741992857</v>
      </c>
      <c r="P134" s="93">
        <f t="shared" si="129"/>
        <v>20804.438402736843</v>
      </c>
      <c r="Q134" s="93">
        <f t="shared" si="129"/>
        <v>22552.101309255144</v>
      </c>
      <c r="R134" s="93">
        <f t="shared" si="129"/>
        <v>24333.719735386185</v>
      </c>
      <c r="S134" s="93">
        <f t="shared" si="129"/>
        <v>26137.778403890818</v>
      </c>
    </row>
    <row r="135" spans="2:19">
      <c r="B135" s="11"/>
      <c r="D135" s="344"/>
      <c r="E135" s="344"/>
      <c r="F135" s="344"/>
      <c r="G135" s="344"/>
      <c r="H135" s="344"/>
      <c r="I135" s="344"/>
    </row>
    <row r="136" spans="2:19">
      <c r="B136" s="152" t="s">
        <v>268</v>
      </c>
      <c r="D136" s="344"/>
      <c r="E136" s="344"/>
      <c r="F136" s="344"/>
      <c r="G136" s="344"/>
      <c r="H136" s="344"/>
      <c r="I136" s="344"/>
    </row>
    <row r="137" spans="2:19">
      <c r="B137" s="152"/>
      <c r="D137" s="344"/>
      <c r="E137" s="344"/>
      <c r="F137" s="344"/>
      <c r="G137" s="344"/>
      <c r="H137" s="344"/>
      <c r="I137" s="344"/>
    </row>
    <row r="138" spans="2:19">
      <c r="B138" s="11" t="s">
        <v>716</v>
      </c>
      <c r="D138" s="344">
        <f>SUM('Cash Flow Statement'!D46:D47)</f>
        <v>-798</v>
      </c>
      <c r="E138" s="344">
        <f>SUM('Cash Flow Statement'!E46:E47)</f>
        <v>-644</v>
      </c>
      <c r="F138" s="344">
        <f>SUM('Cash Flow Statement'!F46:F47)</f>
        <v>-1079</v>
      </c>
      <c r="G138" s="344">
        <f>SUM('Cash Flow Statement'!G46:G47)</f>
        <v>-1053</v>
      </c>
      <c r="H138" s="344">
        <f>SUM('Cash Flow Statement'!H46:H47)</f>
        <v>-1448</v>
      </c>
      <c r="I138" s="344">
        <f>SUM('Cash Flow Statement'!I46:I47)</f>
        <v>-1241</v>
      </c>
      <c r="J138" s="344">
        <f>-Schedules!K74</f>
        <v>-1411.5824117793791</v>
      </c>
      <c r="K138" s="344">
        <f>-Schedules!L74</f>
        <v>-1535.578630531093</v>
      </c>
      <c r="L138" s="344">
        <f>-Schedules!M74</f>
        <v>-1671.8007883661073</v>
      </c>
      <c r="M138" s="344">
        <f>-Schedules!N74</f>
        <v>-1821.5509970450291</v>
      </c>
      <c r="N138" s="344">
        <f>-Schedules!O74</f>
        <v>-1986.2771438367338</v>
      </c>
      <c r="O138" s="344">
        <f>-Schedules!P74</f>
        <v>-2167.5897361725765</v>
      </c>
      <c r="P138" s="344">
        <f>-Schedules!Q74</f>
        <v>-2362.8172752872911</v>
      </c>
      <c r="Q138" s="344">
        <f>-Schedules!R74</f>
        <v>-2563.4336640424031</v>
      </c>
      <c r="R138" s="344">
        <f>-Schedules!S74</f>
        <v>-2767.9695557123518</v>
      </c>
      <c r="S138" s="344">
        <f>-Schedules!T74</f>
        <v>-2974.993282592317</v>
      </c>
    </row>
    <row r="139" spans="2:19">
      <c r="B139" s="11" t="s">
        <v>271</v>
      </c>
      <c r="D139" s="344">
        <f>INDEX('Cash Flow Statement'!$C$7:$I$80,MATCH('3Statement Model'!$B139,'Cash Flow Statement'!$B$7:$B$80,0),MATCH('3Statement Model'!D$9,'Cash Flow Statement'!$C$6:$I$6,0))</f>
        <v>-12</v>
      </c>
      <c r="E139" s="344">
        <f>INDEX('Cash Flow Statement'!$C$7:$I$80,MATCH('3Statement Model'!$B139,'Cash Flow Statement'!$B$7:$B$80,0),MATCH('3Statement Model'!E$9,'Cash Flow Statement'!$C$6:$I$6,0))</f>
        <v>-3422</v>
      </c>
      <c r="F139" s="344">
        <f>INDEX('Cash Flow Statement'!$C$7:$I$80,MATCH('3Statement Model'!$B139,'Cash Flow Statement'!$B$7:$B$80,0),MATCH('3Statement Model'!F$9,'Cash Flow Statement'!$C$6:$I$6,0))</f>
        <v>-3</v>
      </c>
      <c r="G139" s="344">
        <f>INDEX('Cash Flow Statement'!$C$7:$I$80,MATCH('3Statement Model'!$B139,'Cash Flow Statement'!$B$7:$B$80,0),MATCH('3Statement Model'!G$9,'Cash Flow Statement'!$C$6:$I$6,0))</f>
        <v>-18</v>
      </c>
      <c r="H139" s="344">
        <f>INDEX('Cash Flow Statement'!$C$7:$I$80,MATCH('3Statement Model'!$B139,'Cash Flow Statement'!$B$7:$B$80,0),MATCH('3Statement Model'!H$9,'Cash Flow Statement'!$C$6:$I$6,0))</f>
        <v>-9</v>
      </c>
      <c r="I139" s="344">
        <f>INDEX('Cash Flow Statement'!$C$7:$I$80,MATCH('3Statement Model'!$B139,'Cash Flow Statement'!$B$7:$B$80,0),MATCH('3Statement Model'!I$9,'Cash Flow Statement'!$C$6:$I$6,0))</f>
        <v>-21</v>
      </c>
      <c r="J139" s="344">
        <f>-Schedules!K110</f>
        <v>-53.418630221204637</v>
      </c>
      <c r="K139" s="344">
        <f>-Schedules!L110</f>
        <v>-58.111029406014495</v>
      </c>
      <c r="L139" s="344">
        <f>-Schedules!M110</f>
        <v>-63.266095817015071</v>
      </c>
      <c r="M139" s="344">
        <f>-Schedules!N110</f>
        <v>-68.933105377501136</v>
      </c>
      <c r="N139" s="344">
        <f>-Schedules!O110</f>
        <v>-75.166850605410104</v>
      </c>
      <c r="O139" s="344">
        <f>-Schedules!P110</f>
        <v>-86.101125538207498</v>
      </c>
      <c r="P139" s="344">
        <f>-Schedules!Q110</f>
        <v>-98.62597354068987</v>
      </c>
      <c r="Q139" s="344">
        <f>-Schedules!R110</f>
        <v>-112.97277005435251</v>
      </c>
      <c r="R139" s="344">
        <f>-Schedules!S110</f>
        <v>-129.40654794639954</v>
      </c>
      <c r="S139" s="344">
        <f>-Schedules!T110</f>
        <v>-148.23089354494073</v>
      </c>
    </row>
    <row r="140" spans="2:19">
      <c r="B140" s="11" t="s">
        <v>713</v>
      </c>
      <c r="D140" s="344">
        <f>SUM('Cash Flow Statement'!D49,'Cash Flow Statement'!D50,'Cash Flow Statement'!D51,'Cash Flow Statement'!D52,'Cash Flow Statement'!D53,'Cash Flow Statement'!D56,'Cash Flow Statement'!D62)</f>
        <v>-30</v>
      </c>
      <c r="E140" s="344">
        <f>SUM('Cash Flow Statement'!E49,'Cash Flow Statement'!E50,'Cash Flow Statement'!E51,'Cash Flow Statement'!E52,'Cash Flow Statement'!E53,'Cash Flow Statement'!E56,'Cash Flow Statement'!E62)</f>
        <v>-77</v>
      </c>
      <c r="F140" s="344">
        <f>SUM('Cash Flow Statement'!F49,'Cash Flow Statement'!F50,'Cash Flow Statement'!F51,'Cash Flow Statement'!F52,'Cash Flow Statement'!F53,'Cash Flow Statement'!F56,'Cash Flow Statement'!F62)</f>
        <v>-16</v>
      </c>
      <c r="G140" s="344">
        <f>SUM('Cash Flow Statement'!G49,'Cash Flow Statement'!G50,'Cash Flow Statement'!G51,'Cash Flow Statement'!G52,'Cash Flow Statement'!G53,'Cash Flow Statement'!G56,'Cash Flow Statement'!G62)</f>
        <v>-317</v>
      </c>
      <c r="H140" s="344">
        <f>SUM('Cash Flow Statement'!H49,'Cash Flow Statement'!H50,'Cash Flow Statement'!H51,'Cash Flow Statement'!H52,'Cash Flow Statement'!H53,'Cash Flow Statement'!H56,'Cash Flow Statement'!H62)</f>
        <v>-3</v>
      </c>
      <c r="I140" s="344">
        <f>SUM('Cash Flow Statement'!I49,'Cash Flow Statement'!I50,'Cash Flow Statement'!I51,'Cash Flow Statement'!I52,'Cash Flow Statement'!I53,'Cash Flow Statement'!I56,'Cash Flow Statement'!I62)</f>
        <v>595</v>
      </c>
      <c r="J140" s="376">
        <v>0</v>
      </c>
      <c r="K140" s="376">
        <v>0</v>
      </c>
      <c r="L140" s="376">
        <v>0</v>
      </c>
      <c r="M140" s="376">
        <v>0</v>
      </c>
      <c r="N140" s="376">
        <v>0</v>
      </c>
      <c r="O140" s="376">
        <v>0</v>
      </c>
      <c r="P140" s="376">
        <v>0</v>
      </c>
      <c r="Q140" s="376">
        <v>0</v>
      </c>
      <c r="R140" s="376">
        <v>0</v>
      </c>
      <c r="S140" s="376">
        <v>0</v>
      </c>
    </row>
    <row r="141" spans="2:19">
      <c r="B141" s="11" t="s">
        <v>730</v>
      </c>
      <c r="D141" s="376">
        <v>0</v>
      </c>
      <c r="E141" s="376">
        <v>0</v>
      </c>
      <c r="F141" s="376">
        <v>0</v>
      </c>
      <c r="G141" s="376">
        <v>0</v>
      </c>
      <c r="H141" s="376">
        <v>0</v>
      </c>
      <c r="I141" s="376">
        <v>0</v>
      </c>
      <c r="J141" s="373">
        <f>-((J89+J90+J91)-(I89+I90+I91))</f>
        <v>-13.634999999999991</v>
      </c>
      <c r="K141" s="373">
        <f>-((SUM(K89:K91))-SUM(J89:J91))</f>
        <v>-13.839525000000094</v>
      </c>
      <c r="L141" s="373">
        <f t="shared" ref="L141:S141" si="130">-((L89+L90+L91)-(K89+K90+K91))</f>
        <v>-14.047117874999913</v>
      </c>
      <c r="M141" s="373">
        <f t="shared" si="130"/>
        <v>-14.257824643124877</v>
      </c>
      <c r="N141" s="373">
        <f t="shared" si="130"/>
        <v>-14.471692012771882</v>
      </c>
      <c r="O141" s="373">
        <f t="shared" si="130"/>
        <v>-14.688767392963427</v>
      </c>
      <c r="P141" s="373">
        <f t="shared" si="130"/>
        <v>-14.909098903857966</v>
      </c>
      <c r="Q141" s="373">
        <f t="shared" si="130"/>
        <v>-15.132735387415778</v>
      </c>
      <c r="R141" s="373">
        <f t="shared" si="130"/>
        <v>-15.359726418226956</v>
      </c>
      <c r="S141" s="373">
        <f t="shared" si="130"/>
        <v>-15.590122314500377</v>
      </c>
    </row>
    <row r="142" spans="2:19">
      <c r="B142" s="11" t="s">
        <v>731</v>
      </c>
      <c r="D142" s="376">
        <v>0</v>
      </c>
      <c r="E142" s="376">
        <v>0</v>
      </c>
      <c r="F142" s="376">
        <v>0</v>
      </c>
      <c r="G142" s="376">
        <v>0</v>
      </c>
      <c r="H142" s="376">
        <v>0</v>
      </c>
      <c r="I142" s="376">
        <v>0</v>
      </c>
      <c r="J142" s="376">
        <f t="shared" ref="J142:S142" si="131">((J94-I94)*-1)-(J85-I85)</f>
        <v>-50.83552405845461</v>
      </c>
      <c r="K142" s="376">
        <f t="shared" si="131"/>
        <v>-7.2701368706022436</v>
      </c>
      <c r="L142" s="376">
        <f t="shared" si="131"/>
        <v>-7.7900418832783203</v>
      </c>
      <c r="M142" s="376">
        <f t="shared" si="131"/>
        <v>-8.3835469503297873</v>
      </c>
      <c r="N142" s="376">
        <f t="shared" si="131"/>
        <v>-9.0599821949812167</v>
      </c>
      <c r="O142" s="376">
        <f t="shared" si="131"/>
        <v>-9.905851105842487</v>
      </c>
      <c r="P142" s="376">
        <f t="shared" si="131"/>
        <v>-10.78485064170934</v>
      </c>
      <c r="Q142" s="376">
        <f t="shared" si="131"/>
        <v>-11.521472064750697</v>
      </c>
      <c r="R142" s="376">
        <f t="shared" si="131"/>
        <v>-12.083620546093584</v>
      </c>
      <c r="S142" s="376">
        <f t="shared" si="131"/>
        <v>-12.442230015374037</v>
      </c>
    </row>
    <row r="143" spans="2:19">
      <c r="B143" s="11" t="s">
        <v>717</v>
      </c>
      <c r="D143" s="344">
        <f>SUM('Cash Flow Statement'!D54:D55)</f>
        <v>1600</v>
      </c>
      <c r="E143" s="344">
        <f>SUM('Cash Flow Statement'!E54:E55)</f>
        <v>-1390</v>
      </c>
      <c r="F143" s="344">
        <f>SUM('Cash Flow Statement'!F54:F55)</f>
        <v>-736</v>
      </c>
      <c r="G143" s="344">
        <f>SUM('Cash Flow Statement'!G54:G55)</f>
        <v>813</v>
      </c>
      <c r="H143" s="344">
        <f>SUM('Cash Flow Statement'!H54:H55)</f>
        <v>-1491</v>
      </c>
      <c r="I143" s="344">
        <f>SUM('Cash Flow Statement'!I54:I55)</f>
        <v>1030</v>
      </c>
      <c r="J143" s="327">
        <f>(Schedules!K234-Schedules!J234)*-1</f>
        <v>0</v>
      </c>
      <c r="K143" s="327">
        <f>(Schedules!L234-Schedules!K234)*-1</f>
        <v>0</v>
      </c>
      <c r="L143" s="327">
        <f>(Schedules!M234-Schedules!L234)*-1</f>
        <v>0</v>
      </c>
      <c r="M143" s="327">
        <f>(Schedules!N234-Schedules!M234)*-1</f>
        <v>0</v>
      </c>
      <c r="N143" s="327">
        <f>(Schedules!O234-Schedules!N234)*-1</f>
        <v>0</v>
      </c>
      <c r="O143" s="327">
        <f>(Schedules!P234-Schedules!O234)*-1</f>
        <v>0</v>
      </c>
      <c r="P143" s="327">
        <f>(Schedules!Q234-Schedules!P234)*-1</f>
        <v>0</v>
      </c>
      <c r="Q143" s="327">
        <f>(Schedules!R234-Schedules!Q234)*-1</f>
        <v>0</v>
      </c>
      <c r="R143" s="327">
        <f>(Schedules!S234-Schedules!R234)*-1</f>
        <v>0</v>
      </c>
      <c r="S143" s="327">
        <f>(Schedules!T234-Schedules!S234)*-1</f>
        <v>0</v>
      </c>
    </row>
    <row r="144" spans="2:19">
      <c r="B144" s="11" t="s">
        <v>718</v>
      </c>
      <c r="D144" s="344">
        <f>SUM('Cash Flow Statement'!D57:D58)</f>
        <v>679</v>
      </c>
      <c r="E144" s="344">
        <f>SUM('Cash Flow Statement'!E57:E58)</f>
        <v>3727</v>
      </c>
      <c r="F144" s="344">
        <f>SUM('Cash Flow Statement'!F57:F58)</f>
        <v>-55</v>
      </c>
      <c r="G144" s="344">
        <f>SUM('Cash Flow Statement'!G57:G58)</f>
        <v>-1180</v>
      </c>
      <c r="H144" s="344">
        <f>SUM('Cash Flow Statement'!H57:H58)</f>
        <v>-2801</v>
      </c>
      <c r="I144" s="344">
        <f>SUM('Cash Flow Statement'!I57:I58)</f>
        <v>5275</v>
      </c>
      <c r="J144" s="376">
        <v>0</v>
      </c>
      <c r="K144" s="376">
        <v>0</v>
      </c>
      <c r="L144" s="376">
        <v>0</v>
      </c>
      <c r="M144" s="376">
        <v>0</v>
      </c>
      <c r="N144" s="376">
        <v>0</v>
      </c>
      <c r="O144" s="376">
        <v>0</v>
      </c>
      <c r="P144" s="376">
        <v>0</v>
      </c>
      <c r="Q144" s="376">
        <v>0</v>
      </c>
      <c r="R144" s="376">
        <v>0</v>
      </c>
      <c r="S144" s="376">
        <v>0</v>
      </c>
    </row>
    <row r="145" spans="2:19">
      <c r="B145" s="11" t="s">
        <v>293</v>
      </c>
      <c r="D145" s="344" t="str">
        <f>INDEX('Cash Flow Statement'!$C$7:$I$80,MATCH('3Statement Model'!$B145,'Cash Flow Statement'!$B$7:$B$80,0),MATCH('3Statement Model'!D$9,'Cash Flow Statement'!$C$6:$I$6,0))</f>
        <v>-</v>
      </c>
      <c r="E145" s="344" t="str">
        <f>INDEX('Cash Flow Statement'!$C$7:$I$80,MATCH('3Statement Model'!$B145,'Cash Flow Statement'!$B$7:$B$80,0),MATCH('3Statement Model'!E$9,'Cash Flow Statement'!$C$6:$I$6,0))</f>
        <v>-</v>
      </c>
      <c r="F145" s="344">
        <f>INDEX('Cash Flow Statement'!$C$7:$I$80,MATCH('3Statement Model'!$B145,'Cash Flow Statement'!$B$7:$B$80,0),MATCH('3Statement Model'!F$9,'Cash Flow Statement'!$C$6:$I$6,0))</f>
        <v>-1</v>
      </c>
      <c r="G145" s="344" t="str">
        <f>INDEX('Cash Flow Statement'!$C$7:$I$80,MATCH('3Statement Model'!$B145,'Cash Flow Statement'!$B$7:$B$80,0),MATCH('3Statement Model'!G$9,'Cash Flow Statement'!$C$6:$I$6,0))</f>
        <v>-</v>
      </c>
      <c r="H145" s="344">
        <f>INDEX('Cash Flow Statement'!$C$7:$I$80,MATCH('3Statement Model'!$B145,'Cash Flow Statement'!$B$7:$B$80,0),MATCH('3Statement Model'!H$9,'Cash Flow Statement'!$C$6:$I$6,0))</f>
        <v>0</v>
      </c>
      <c r="I145" s="344">
        <f>INDEX('Cash Flow Statement'!$C$7:$I$80,MATCH('3Statement Model'!$B145,'Cash Flow Statement'!$B$7:$B$80,0),MATCH('3Statement Model'!I$9,'Cash Flow Statement'!$C$6:$I$6,0))</f>
        <v>0</v>
      </c>
      <c r="J145" s="376">
        <v>0</v>
      </c>
      <c r="K145" s="376">
        <v>0</v>
      </c>
      <c r="L145" s="376">
        <v>0</v>
      </c>
      <c r="M145" s="376">
        <v>0</v>
      </c>
      <c r="N145" s="376">
        <v>0</v>
      </c>
      <c r="O145" s="376">
        <v>0</v>
      </c>
      <c r="P145" s="376">
        <v>0</v>
      </c>
      <c r="Q145" s="376">
        <v>0</v>
      </c>
      <c r="R145" s="376">
        <v>0</v>
      </c>
      <c r="S145" s="376">
        <v>0</v>
      </c>
    </row>
    <row r="146" spans="2:19">
      <c r="B146" s="11" t="s">
        <v>278</v>
      </c>
      <c r="D146" s="344">
        <f>INDEX('Cash Flow Statement'!$C$7:$I$80,MATCH('3Statement Model'!$B146,'Cash Flow Statement'!$B$7:$B$80,0),MATCH('3Statement Model'!D$9,'Cash Flow Statement'!$C$6:$I$6,0))</f>
        <v>351</v>
      </c>
      <c r="E146" s="344">
        <f>INDEX('Cash Flow Statement'!$C$7:$I$80,MATCH('3Statement Model'!$B146,'Cash Flow Statement'!$B$7:$B$80,0),MATCH('3Statement Model'!E$9,'Cash Flow Statement'!$C$6:$I$6,0))</f>
        <v>277</v>
      </c>
      <c r="F146" s="344">
        <f>INDEX('Cash Flow Statement'!$C$7:$I$80,MATCH('3Statement Model'!$B146,'Cash Flow Statement'!$B$7:$B$80,0),MATCH('3Statement Model'!F$9,'Cash Flow Statement'!$C$6:$I$6,0))</f>
        <v>161</v>
      </c>
      <c r="G146" s="344">
        <f>INDEX('Cash Flow Statement'!$C$7:$I$80,MATCH('3Statement Model'!$B146,'Cash Flow Statement'!$B$7:$B$80,0),MATCH('3Statement Model'!G$9,'Cash Flow Statement'!$C$6:$I$6,0))</f>
        <v>259</v>
      </c>
      <c r="H146" s="344">
        <f>INDEX('Cash Flow Statement'!$C$7:$I$80,MATCH('3Statement Model'!$B146,'Cash Flow Statement'!$B$7:$B$80,0),MATCH('3Statement Model'!H$9,'Cash Flow Statement'!$C$6:$I$6,0))</f>
        <v>425</v>
      </c>
      <c r="I146" s="344">
        <f>INDEX('Cash Flow Statement'!$C$7:$I$80,MATCH('3Statement Model'!$B146,'Cash Flow Statement'!$B$7:$B$80,0),MATCH('3Statement Model'!I$9,'Cash Flow Statement'!$C$6:$I$6,0))</f>
        <v>835</v>
      </c>
      <c r="J146" s="64">
        <f>-J127</f>
        <v>755</v>
      </c>
      <c r="K146" s="64">
        <f t="shared" ref="K146:N146" si="132">-K127</f>
        <v>755</v>
      </c>
      <c r="L146" s="64">
        <f t="shared" si="132"/>
        <v>755</v>
      </c>
      <c r="M146" s="64">
        <f t="shared" si="132"/>
        <v>755</v>
      </c>
      <c r="N146" s="64">
        <f t="shared" si="132"/>
        <v>755</v>
      </c>
      <c r="O146" s="64">
        <f t="shared" ref="O146:S146" si="133">-O127</f>
        <v>755</v>
      </c>
      <c r="P146" s="64">
        <f t="shared" si="133"/>
        <v>755</v>
      </c>
      <c r="Q146" s="64">
        <f t="shared" si="133"/>
        <v>755</v>
      </c>
      <c r="R146" s="64">
        <f t="shared" si="133"/>
        <v>755</v>
      </c>
      <c r="S146" s="64">
        <f t="shared" si="133"/>
        <v>755</v>
      </c>
    </row>
    <row r="147" spans="2:19">
      <c r="B147" s="11" t="s">
        <v>279</v>
      </c>
      <c r="D147" s="344">
        <f>INDEX('Cash Flow Statement'!$C$7:$I$80,MATCH('3Statement Model'!$B147,'Cash Flow Statement'!$B$7:$B$80,0),MATCH('3Statement Model'!D$9,'Cash Flow Statement'!$C$6:$I$6,0))</f>
        <v>1</v>
      </c>
      <c r="E147" s="344">
        <f>INDEX('Cash Flow Statement'!$C$7:$I$80,MATCH('3Statement Model'!$B147,'Cash Flow Statement'!$B$7:$B$80,0),MATCH('3Statement Model'!E$9,'Cash Flow Statement'!$C$6:$I$6,0))</f>
        <v>1</v>
      </c>
      <c r="F147" s="344">
        <f>INDEX('Cash Flow Statement'!$C$7:$I$80,MATCH('3Statement Model'!$B147,'Cash Flow Statement'!$B$7:$B$80,0),MATCH('3Statement Model'!F$9,'Cash Flow Statement'!$C$6:$I$6,0))</f>
        <v>1</v>
      </c>
      <c r="G147" s="344">
        <f>INDEX('Cash Flow Statement'!$C$7:$I$80,MATCH('3Statement Model'!$B147,'Cash Flow Statement'!$B$7:$B$80,0),MATCH('3Statement Model'!G$9,'Cash Flow Statement'!$C$6:$I$6,0))</f>
        <v>2</v>
      </c>
      <c r="H147" s="344">
        <f>INDEX('Cash Flow Statement'!$C$7:$I$80,MATCH('3Statement Model'!$B147,'Cash Flow Statement'!$B$7:$B$80,0),MATCH('3Statement Model'!H$9,'Cash Flow Statement'!$C$6:$I$6,0))</f>
        <v>3</v>
      </c>
      <c r="I147" s="344" t="str">
        <f>INDEX('Cash Flow Statement'!$C$7:$I$80,MATCH('3Statement Model'!$B147,'Cash Flow Statement'!$B$7:$B$80,0),MATCH('3Statement Model'!I$9,'Cash Flow Statement'!$C$6:$I$6,0))</f>
        <v>-</v>
      </c>
      <c r="J147" s="376">
        <v>0</v>
      </c>
      <c r="K147" s="376">
        <v>0</v>
      </c>
      <c r="L147" s="376">
        <v>0</v>
      </c>
      <c r="M147" s="376">
        <v>0</v>
      </c>
      <c r="N147" s="376">
        <v>0</v>
      </c>
      <c r="O147" s="376">
        <v>0</v>
      </c>
      <c r="P147" s="376">
        <v>0</v>
      </c>
      <c r="Q147" s="376">
        <v>0</v>
      </c>
      <c r="R147" s="376">
        <v>0</v>
      </c>
      <c r="S147" s="376">
        <v>0</v>
      </c>
    </row>
    <row r="149" spans="2:19" ht="15" thickBot="1">
      <c r="B149" s="92" t="s">
        <v>280</v>
      </c>
      <c r="C149" s="49"/>
      <c r="D149" s="345">
        <f>INDEX('Cash Flow Statement'!$C$7:$I$80,MATCH('3Statement Model'!$B149,'Cash Flow Statement'!$B$7:$B$80,0),MATCH('3Statement Model'!D$9,'Cash Flow Statement'!$C$6:$I$6,0))</f>
        <v>1791</v>
      </c>
      <c r="E149" s="345">
        <f>INDEX('Cash Flow Statement'!$C$7:$I$80,MATCH('3Statement Model'!$B149,'Cash Flow Statement'!$B$7:$B$80,0),MATCH('3Statement Model'!E$9,'Cash Flow Statement'!$C$6:$I$6,0))</f>
        <v>-1528</v>
      </c>
      <c r="F149" s="345">
        <f>INDEX('Cash Flow Statement'!$C$7:$I$80,MATCH('3Statement Model'!$B149,'Cash Flow Statement'!$B$7:$B$80,0),MATCH('3Statement Model'!F$9,'Cash Flow Statement'!$C$6:$I$6,0))</f>
        <v>-1728</v>
      </c>
      <c r="G149" s="345">
        <f>INDEX('Cash Flow Statement'!$C$7:$I$80,MATCH('3Statement Model'!$B149,'Cash Flow Statement'!$B$7:$B$80,0),MATCH('3Statement Model'!G$9,'Cash Flow Statement'!$C$6:$I$6,0))</f>
        <v>-1494</v>
      </c>
      <c r="H149" s="345">
        <f>INDEX('Cash Flow Statement'!$C$7:$I$80,MATCH('3Statement Model'!$B149,'Cash Flow Statement'!$B$7:$B$80,0),MATCH('3Statement Model'!H$9,'Cash Flow Statement'!$C$6:$I$6,0))</f>
        <v>-5324</v>
      </c>
      <c r="I149" s="345">
        <f>INDEX('Cash Flow Statement'!$C$7:$I$80,MATCH('3Statement Model'!$B149,'Cash Flow Statement'!$B$7:$B$80,0),MATCH('3Statement Model'!I$9,'Cash Flow Statement'!$C$6:$I$6,0))</f>
        <v>6473</v>
      </c>
      <c r="J149" s="375">
        <f>SUM(J138:J147)</f>
        <v>-774.47156605903842</v>
      </c>
      <c r="K149" s="375">
        <f>SUM(K138:K147)</f>
        <v>-859.79932180770993</v>
      </c>
      <c r="L149" s="375">
        <f>SUM(L138:L147)</f>
        <v>-1001.9040439414007</v>
      </c>
      <c r="M149" s="375">
        <f>SUM(M138:M147)</f>
        <v>-1158.1254740159848</v>
      </c>
      <c r="N149" s="375">
        <f>SUM(N138:N147)</f>
        <v>-1329.9756686498972</v>
      </c>
      <c r="O149" s="375">
        <f t="shared" ref="O149:S149" si="134">SUM(O138:O147)</f>
        <v>-1523.2854802095894</v>
      </c>
      <c r="P149" s="375">
        <f t="shared" si="134"/>
        <v>-1732.137198373548</v>
      </c>
      <c r="Q149" s="375">
        <f t="shared" si="134"/>
        <v>-1948.0606415489219</v>
      </c>
      <c r="R149" s="375">
        <f t="shared" si="134"/>
        <v>-2169.819450623072</v>
      </c>
      <c r="S149" s="375">
        <f t="shared" si="134"/>
        <v>-2396.2565284671323</v>
      </c>
    </row>
    <row r="150" spans="2:19">
      <c r="B150" s="11"/>
      <c r="D150" s="344"/>
      <c r="E150" s="344"/>
      <c r="F150" s="344"/>
      <c r="G150" s="344"/>
      <c r="H150" s="344"/>
      <c r="I150" s="344"/>
    </row>
    <row r="151" spans="2:19">
      <c r="B151" s="152" t="s">
        <v>281</v>
      </c>
      <c r="D151" s="344"/>
      <c r="E151" s="344"/>
      <c r="F151" s="344"/>
      <c r="G151" s="344"/>
      <c r="H151" s="344"/>
      <c r="I151" s="344"/>
    </row>
    <row r="152" spans="2:19">
      <c r="B152" s="152"/>
      <c r="D152" s="344"/>
      <c r="E152" s="344"/>
      <c r="F152" s="344"/>
      <c r="G152" s="344"/>
      <c r="H152" s="344"/>
      <c r="I152" s="344"/>
    </row>
    <row r="153" spans="2:19">
      <c r="B153" s="11" t="s">
        <v>244</v>
      </c>
      <c r="D153" s="344">
        <f>INDEX('Cash Flow Statement'!$C$7:$I$80,MATCH('3Statement Model'!$B153,'Cash Flow Statement'!$B$7:$B$80,0),MATCH('3Statement Model'!D$9,'Cash Flow Statement'!$C$6:$I$6,0))</f>
        <v>-5196</v>
      </c>
      <c r="E153" s="344">
        <f>INDEX('Cash Flow Statement'!$C$7:$I$80,MATCH('3Statement Model'!$B153,'Cash Flow Statement'!$B$7:$B$80,0),MATCH('3Statement Model'!E$9,'Cash Flow Statement'!$C$6:$I$6,0))</f>
        <v>-8811</v>
      </c>
      <c r="F153" s="344">
        <f>INDEX('Cash Flow Statement'!$C$7:$I$80,MATCH('3Statement Model'!$B153,'Cash Flow Statement'!$B$7:$B$80,0),MATCH('3Statement Model'!F$9,'Cash Flow Statement'!$C$6:$I$6,0))</f>
        <v>-7526</v>
      </c>
      <c r="G153" s="344">
        <f>INDEX('Cash Flow Statement'!$C$7:$I$80,MATCH('3Statement Model'!$B153,'Cash Flow Statement'!$B$7:$B$80,0),MATCH('3Statement Model'!G$9,'Cash Flow Statement'!$C$6:$I$6,0))</f>
        <v>-8473</v>
      </c>
      <c r="H153" s="344">
        <f>INDEX('Cash Flow Statement'!$C$7:$I$80,MATCH('3Statement Model'!$B153,'Cash Flow Statement'!$B$7:$B$80,0),MATCH('3Statement Model'!H$9,'Cash Flow Statement'!$C$6:$I$6,0))</f>
        <v>-9416</v>
      </c>
      <c r="I153" s="344">
        <f>INDEX('Cash Flow Statement'!$C$7:$I$80,MATCH('3Statement Model'!$B153,'Cash Flow Statement'!$B$7:$B$80,0),MATCH('3Statement Model'!I$9,'Cash Flow Statement'!$C$6:$I$6,0))</f>
        <v>-12473</v>
      </c>
      <c r="J153" s="344">
        <f>Schedules!K208</f>
        <v>-9449.8308973927833</v>
      </c>
      <c r="K153" s="344">
        <f>Schedules!L208</f>
        <v>-10533.830240214171</v>
      </c>
      <c r="L153" s="344">
        <f>Schedules!M208</f>
        <v>-11753.639778527984</v>
      </c>
      <c r="M153" s="344">
        <f>Schedules!N208</f>
        <v>-13127.060907995365</v>
      </c>
      <c r="N153" s="344">
        <f>Schedules!O208</f>
        <v>-14674.277578240792</v>
      </c>
      <c r="O153" s="344">
        <f>Schedules!P208</f>
        <v>-16252.053059759881</v>
      </c>
      <c r="P153" s="344">
        <f>Schedules!Q208</f>
        <v>-17978.628986146963</v>
      </c>
      <c r="Q153" s="344">
        <f>Schedules!R208</f>
        <v>-19788.931394534327</v>
      </c>
      <c r="R153" s="344">
        <f>Schedules!S208</f>
        <v>-21671.864956068464</v>
      </c>
      <c r="S153" s="344">
        <f>Schedules!T208</f>
        <v>-23615.790251473078</v>
      </c>
    </row>
    <row r="154" spans="2:19">
      <c r="B154" s="11" t="s">
        <v>298</v>
      </c>
      <c r="D154" s="344">
        <f>INDEX('Cash Flow Statement'!$C$7:$I$80,MATCH('3Statement Model'!$B154,'Cash Flow Statement'!$B$7:$B$80,0),MATCH('3Statement Model'!D$9,'Cash Flow Statement'!$C$6:$I$6,0))</f>
        <v>-1061</v>
      </c>
      <c r="E154" s="344" t="str">
        <f>INDEX('Cash Flow Statement'!$C$7:$I$80,MATCH('3Statement Model'!$B154,'Cash Flow Statement'!$B$7:$B$80,0),MATCH('3Statement Model'!E$9,'Cash Flow Statement'!$C$6:$I$6,0))</f>
        <v>-</v>
      </c>
      <c r="F154" s="344" t="str">
        <f>INDEX('Cash Flow Statement'!$C$7:$I$80,MATCH('3Statement Model'!$B154,'Cash Flow Statement'!$B$7:$B$80,0),MATCH('3Statement Model'!F$9,'Cash Flow Statement'!$C$6:$I$6,0))</f>
        <v>-</v>
      </c>
      <c r="G154" s="344" t="str">
        <f>INDEX('Cash Flow Statement'!$C$7:$I$80,MATCH('3Statement Model'!$B154,'Cash Flow Statement'!$B$7:$B$80,0),MATCH('3Statement Model'!G$9,'Cash Flow Statement'!$C$6:$I$6,0))</f>
        <v>-</v>
      </c>
      <c r="H154" s="344">
        <f>INDEX('Cash Flow Statement'!$C$7:$I$80,MATCH('3Statement Model'!$B154,'Cash Flow Statement'!$B$7:$B$80,0),MATCH('3Statement Model'!H$9,'Cash Flow Statement'!$C$6:$I$6,0))</f>
        <v>0</v>
      </c>
      <c r="I154" s="344">
        <f>INDEX('Cash Flow Statement'!$C$7:$I$80,MATCH('3Statement Model'!$B154,'Cash Flow Statement'!$B$7:$B$80,0),MATCH('3Statement Model'!I$9,'Cash Flow Statement'!$C$6:$I$6,0))</f>
        <v>0</v>
      </c>
      <c r="J154" s="376">
        <v>0</v>
      </c>
      <c r="K154" s="376">
        <v>0</v>
      </c>
      <c r="L154" s="376">
        <v>0</v>
      </c>
      <c r="M154" s="376">
        <v>0</v>
      </c>
      <c r="N154" s="376">
        <v>0</v>
      </c>
      <c r="O154" s="376">
        <v>0</v>
      </c>
      <c r="P154" s="376">
        <v>0</v>
      </c>
      <c r="Q154" s="376">
        <v>0</v>
      </c>
      <c r="R154" s="376">
        <v>0</v>
      </c>
      <c r="S154" s="376">
        <v>0</v>
      </c>
    </row>
    <row r="155" spans="2:19">
      <c r="B155" s="11" t="s">
        <v>299</v>
      </c>
      <c r="D155" s="344" t="str">
        <f>INDEX('Cash Flow Statement'!$C$7:$I$80,MATCH('3Statement Model'!$B155,'Cash Flow Statement'!$B$7:$B$80,0),MATCH('3Statement Model'!D$9,'Cash Flow Statement'!$C$6:$I$6,0))</f>
        <v>-</v>
      </c>
      <c r="E155" s="344">
        <f>INDEX('Cash Flow Statement'!$C$7:$I$80,MATCH('3Statement Model'!$B155,'Cash Flow Statement'!$B$7:$B$80,0),MATCH('3Statement Model'!E$9,'Cash Flow Statement'!$C$6:$I$6,0))</f>
        <v>188</v>
      </c>
      <c r="F155" s="344" t="str">
        <f>INDEX('Cash Flow Statement'!$C$7:$I$80,MATCH('3Statement Model'!$B155,'Cash Flow Statement'!$B$7:$B$80,0),MATCH('3Statement Model'!F$9,'Cash Flow Statement'!$C$6:$I$6,0))</f>
        <v>-</v>
      </c>
      <c r="G155" s="344">
        <f>INDEX('Cash Flow Statement'!$C$7:$I$80,MATCH('3Statement Model'!$B155,'Cash Flow Statement'!$B$7:$B$80,0),MATCH('3Statement Model'!G$9,'Cash Flow Statement'!$C$6:$I$6,0))</f>
        <v>98</v>
      </c>
      <c r="H155" s="344">
        <f>INDEX('Cash Flow Statement'!$C$7:$I$80,MATCH('3Statement Model'!$B155,'Cash Flow Statement'!$B$7:$B$80,0),MATCH('3Statement Model'!H$9,'Cash Flow Statement'!$C$6:$I$6,0))</f>
        <v>0</v>
      </c>
      <c r="I155" s="344">
        <f>INDEX('Cash Flow Statement'!$C$7:$I$80,MATCH('3Statement Model'!$B155,'Cash Flow Statement'!$B$7:$B$80,0),MATCH('3Statement Model'!I$9,'Cash Flow Statement'!$C$6:$I$6,0))</f>
        <v>0</v>
      </c>
      <c r="J155" s="376">
        <v>0</v>
      </c>
      <c r="K155" s="376">
        <v>0</v>
      </c>
      <c r="L155" s="376">
        <v>0</v>
      </c>
      <c r="M155" s="376">
        <v>0</v>
      </c>
      <c r="N155" s="376">
        <v>0</v>
      </c>
      <c r="O155" s="376">
        <v>0</v>
      </c>
      <c r="P155" s="376">
        <v>0</v>
      </c>
      <c r="Q155" s="376">
        <v>0</v>
      </c>
      <c r="R155" s="376">
        <v>0</v>
      </c>
      <c r="S155" s="376">
        <v>0</v>
      </c>
    </row>
    <row r="156" spans="2:19">
      <c r="B156" s="11" t="s">
        <v>282</v>
      </c>
      <c r="D156" s="344">
        <f>INDEX('Cash Flow Statement'!$C$7:$I$80,MATCH('3Statement Model'!$B156,'Cash Flow Statement'!$B$7:$B$80,0),MATCH('3Statement Model'!D$9,'Cash Flow Statement'!$C$6:$I$6,0))</f>
        <v>-99</v>
      </c>
      <c r="E156" s="344">
        <f>INDEX('Cash Flow Statement'!$C$7:$I$80,MATCH('3Statement Model'!$B156,'Cash Flow Statement'!$B$7:$B$80,0),MATCH('3Statement Model'!E$9,'Cash Flow Statement'!$C$6:$I$6,0))</f>
        <v>-188</v>
      </c>
      <c r="F156" s="344" t="str">
        <f>INDEX('Cash Flow Statement'!$C$7:$I$80,MATCH('3Statement Model'!$B156,'Cash Flow Statement'!$B$7:$B$80,0),MATCH('3Statement Model'!F$9,'Cash Flow Statement'!$C$6:$I$6,0))</f>
        <v>-</v>
      </c>
      <c r="G156" s="344" t="str">
        <f>INDEX('Cash Flow Statement'!$C$7:$I$80,MATCH('3Statement Model'!$B156,'Cash Flow Statement'!$B$7:$B$80,0),MATCH('3Statement Model'!G$9,'Cash Flow Statement'!$C$6:$I$6,0))</f>
        <v>-</v>
      </c>
      <c r="H156" s="344">
        <f>INDEX('Cash Flow Statement'!$C$7:$I$80,MATCH('3Statement Model'!$B156,'Cash Flow Statement'!$B$7:$B$80,0),MATCH('3Statement Model'!H$9,'Cash Flow Statement'!$C$6:$I$6,0))</f>
        <v>-85</v>
      </c>
      <c r="I156" s="344" t="str">
        <f>INDEX('Cash Flow Statement'!$C$7:$I$80,MATCH('3Statement Model'!$B156,'Cash Flow Statement'!$B$7:$B$80,0),MATCH('3Statement Model'!I$9,'Cash Flow Statement'!$C$6:$I$6,0))</f>
        <v>-</v>
      </c>
      <c r="J156" s="344">
        <f>Schedules!K248-Schedules!J248</f>
        <v>-1</v>
      </c>
      <c r="K156" s="376">
        <v>0</v>
      </c>
      <c r="L156" s="376">
        <v>0</v>
      </c>
      <c r="M156" s="376">
        <v>0</v>
      </c>
      <c r="N156" s="376">
        <v>0</v>
      </c>
      <c r="O156" s="376">
        <v>0</v>
      </c>
      <c r="P156" s="376">
        <v>0</v>
      </c>
      <c r="Q156" s="376">
        <v>0</v>
      </c>
      <c r="R156" s="376">
        <v>0</v>
      </c>
      <c r="S156" s="376">
        <v>0</v>
      </c>
    </row>
    <row r="157" spans="2:19">
      <c r="B157" s="11" t="s">
        <v>719</v>
      </c>
      <c r="D157" s="344">
        <f>SUM('Cash Flow Statement'!D71,'Cash Flow Statement'!D72)</f>
        <v>-453</v>
      </c>
      <c r="E157" s="344">
        <f>SUM('Cash Flow Statement'!E71,'Cash Flow Statement'!E72)</f>
        <v>-492</v>
      </c>
      <c r="F157" s="344">
        <f>SUM('Cash Flow Statement'!F71,'Cash Flow Statement'!F72)</f>
        <v>-510</v>
      </c>
      <c r="G157" s="344">
        <f>SUM('Cash Flow Statement'!G71,'Cash Flow Statement'!G72)</f>
        <v>-541</v>
      </c>
      <c r="H157" s="344">
        <f>SUM('Cash Flow Statement'!H71,'Cash Flow Statement'!H72)</f>
        <v>-529</v>
      </c>
      <c r="I157" s="344">
        <f>SUM('Cash Flow Statement'!I71,'Cash Flow Statement'!I72)</f>
        <v>-625</v>
      </c>
      <c r="J157" s="344">
        <f>-Schedules!K194</f>
        <v>-761.57743800000014</v>
      </c>
      <c r="K157" s="344">
        <f>-Schedules!L194</f>
        <v>-828.47592144000009</v>
      </c>
      <c r="L157" s="344">
        <f>-Schedules!M194</f>
        <v>-901.97054782320015</v>
      </c>
      <c r="M157" s="344">
        <f>-Schedules!N194</f>
        <v>-982.76383294347647</v>
      </c>
      <c r="N157" s="344">
        <f>-Schedules!O194</f>
        <v>-1071.6369414480655</v>
      </c>
      <c r="O157" s="344">
        <f>-Schedules!P194</f>
        <v>-1169.4587748713138</v>
      </c>
      <c r="P157" s="344">
        <f>-Schedules!Q194</f>
        <v>-1274.788005262197</v>
      </c>
      <c r="Q157" s="344">
        <f>-Schedules!R194</f>
        <v>-1383.0246297015287</v>
      </c>
      <c r="R157" s="344">
        <f>-Schedules!S194</f>
        <v>-1493.3759057284724</v>
      </c>
      <c r="S157" s="344">
        <f>-Schedules!T194</f>
        <v>-1605.0694194806808</v>
      </c>
    </row>
    <row r="158" spans="2:19">
      <c r="B158" s="11" t="s">
        <v>284</v>
      </c>
      <c r="D158" s="344">
        <f>INDEX('Cash Flow Statement'!$C$7:$I$80,MATCH('3Statement Model'!$B158,'Cash Flow Statement'!$B$7:$B$80,0),MATCH('3Statement Model'!D$9,'Cash Flow Statement'!$C$6:$I$6,0))</f>
        <v>-10</v>
      </c>
      <c r="E158" s="344">
        <f>INDEX('Cash Flow Statement'!$C$7:$I$80,MATCH('3Statement Model'!$B158,'Cash Flow Statement'!$B$7:$B$80,0),MATCH('3Statement Model'!E$9,'Cash Flow Statement'!$C$6:$I$6,0))</f>
        <v>-6</v>
      </c>
      <c r="F158" s="344">
        <f>INDEX('Cash Flow Statement'!$C$7:$I$80,MATCH('3Statement Model'!$B158,'Cash Flow Statement'!$B$7:$B$80,0),MATCH('3Statement Model'!F$9,'Cash Flow Statement'!$C$6:$I$6,0))</f>
        <v>-1</v>
      </c>
      <c r="G158" s="344">
        <f>INDEX('Cash Flow Statement'!$C$7:$I$80,MATCH('3Statement Model'!$B158,'Cash Flow Statement'!$B$7:$B$80,0),MATCH('3Statement Model'!G$9,'Cash Flow Statement'!$C$6:$I$6,0))</f>
        <v>-14</v>
      </c>
      <c r="H158" s="344">
        <f>INDEX('Cash Flow Statement'!$C$7:$I$80,MATCH('3Statement Model'!$B158,'Cash Flow Statement'!$B$7:$B$80,0),MATCH('3Statement Model'!H$9,'Cash Flow Statement'!$C$6:$I$6,0))</f>
        <v>-4</v>
      </c>
      <c r="I158" s="344">
        <f>INDEX('Cash Flow Statement'!$C$7:$I$80,MATCH('3Statement Model'!$B158,'Cash Flow Statement'!$B$7:$B$80,0),MATCH('3Statement Model'!I$9,'Cash Flow Statement'!$C$6:$I$6,0))</f>
        <v>-3</v>
      </c>
      <c r="J158" s="376">
        <f t="shared" ref="J158:S158" si="135">J32</f>
        <v>-266.84209150348255</v>
      </c>
      <c r="K158" s="376">
        <f t="shared" si="135"/>
        <v>-290.28203385054121</v>
      </c>
      <c r="L158" s="376">
        <f t="shared" si="135"/>
        <v>-316.03313786152967</v>
      </c>
      <c r="M158" s="376">
        <f t="shared" si="135"/>
        <v>-344.34155156342263</v>
      </c>
      <c r="N158" s="376">
        <f t="shared" si="135"/>
        <v>-375.48098002923871</v>
      </c>
      <c r="O158" s="376">
        <f t="shared" si="135"/>
        <v>-409.75586965033176</v>
      </c>
      <c r="P158" s="376">
        <f t="shared" si="135"/>
        <v>-446.66120682492846</v>
      </c>
      <c r="Q158" s="376">
        <f t="shared" si="135"/>
        <v>-484.58523897393252</v>
      </c>
      <c r="R158" s="376">
        <f t="shared" si="135"/>
        <v>-523.25020438104548</v>
      </c>
      <c r="S158" s="376">
        <f t="shared" si="135"/>
        <v>-562.38546408002355</v>
      </c>
    </row>
    <row r="159" spans="2:19">
      <c r="B159" s="11" t="s">
        <v>300</v>
      </c>
      <c r="D159" s="344">
        <f>INDEX('Cash Flow Statement'!$C$7:$I$80,MATCH('3Statement Model'!$B159,'Cash Flow Statement'!$B$7:$B$80,0),MATCH('3Statement Model'!D$9,'Cash Flow Statement'!$C$6:$I$6,0))</f>
        <v>0</v>
      </c>
      <c r="E159" s="344">
        <f>INDEX('Cash Flow Statement'!$C$7:$I$80,MATCH('3Statement Model'!$B159,'Cash Flow Statement'!$B$7:$B$80,0),MATCH('3Statement Model'!E$9,'Cash Flow Statement'!$C$6:$I$6,0))</f>
        <v>0</v>
      </c>
      <c r="F159" s="344">
        <f>INDEX('Cash Flow Statement'!$C$7:$I$80,MATCH('3Statement Model'!$B159,'Cash Flow Statement'!$B$7:$B$80,0),MATCH('3Statement Model'!F$9,'Cash Flow Statement'!$C$6:$I$6,0))</f>
        <v>143</v>
      </c>
      <c r="G159" s="344" t="str">
        <f>INDEX('Cash Flow Statement'!$C$7:$I$80,MATCH('3Statement Model'!$B159,'Cash Flow Statement'!$B$7:$B$80,0),MATCH('3Statement Model'!G$9,'Cash Flow Statement'!$C$6:$I$6,0))</f>
        <v>-</v>
      </c>
      <c r="H159" s="344">
        <f>INDEX('Cash Flow Statement'!$C$7:$I$80,MATCH('3Statement Model'!$B159,'Cash Flow Statement'!$B$7:$B$80,0),MATCH('3Statement Model'!H$9,'Cash Flow Statement'!$C$6:$I$6,0))</f>
        <v>0</v>
      </c>
      <c r="I159" s="344">
        <f>INDEX('Cash Flow Statement'!$C$7:$I$80,MATCH('3Statement Model'!$B159,'Cash Flow Statement'!$B$7:$B$80,0),MATCH('3Statement Model'!I$9,'Cash Flow Statement'!$C$6:$I$6,0))</f>
        <v>0</v>
      </c>
      <c r="J159" s="376">
        <v>0</v>
      </c>
      <c r="K159" s="376">
        <v>0</v>
      </c>
      <c r="L159" s="376">
        <v>0</v>
      </c>
      <c r="M159" s="376">
        <v>0</v>
      </c>
      <c r="N159" s="376">
        <v>0</v>
      </c>
      <c r="O159" s="376">
        <v>0</v>
      </c>
      <c r="P159" s="376">
        <v>0</v>
      </c>
      <c r="Q159" s="376">
        <v>0</v>
      </c>
      <c r="R159" s="376">
        <v>0</v>
      </c>
      <c r="S159" s="376">
        <v>0</v>
      </c>
    </row>
    <row r="160" spans="2:19" ht="15" thickBot="1">
      <c r="B160" s="92" t="s">
        <v>285</v>
      </c>
      <c r="C160" s="49"/>
      <c r="D160" s="345">
        <f>INDEX('Cash Flow Statement'!$C$7:$I$80,MATCH('3Statement Model'!$B160,'Cash Flow Statement'!$B$7:$B$80,0),MATCH('3Statement Model'!D$9,'Cash Flow Statement'!$C$6:$I$6,0))</f>
        <v>-6819</v>
      </c>
      <c r="E160" s="345">
        <f>INDEX('Cash Flow Statement'!$C$7:$I$80,MATCH('3Statement Model'!$B160,'Cash Flow Statement'!$B$7:$B$80,0),MATCH('3Statement Model'!E$9,'Cash Flow Statement'!$C$6:$I$6,0))</f>
        <v>-9309</v>
      </c>
      <c r="F160" s="345">
        <f>INDEX('Cash Flow Statement'!$C$7:$I$80,MATCH('3Statement Model'!$B160,'Cash Flow Statement'!$B$7:$B$80,0),MATCH('3Statement Model'!F$9,'Cash Flow Statement'!$C$6:$I$6,0))</f>
        <v>-7894</v>
      </c>
      <c r="G160" s="345">
        <f>INDEX('Cash Flow Statement'!$C$7:$I$80,MATCH('3Statement Model'!$B160,'Cash Flow Statement'!$B$7:$B$80,0),MATCH('3Statement Model'!G$9,'Cash Flow Statement'!$C$6:$I$6,0))</f>
        <v>-8930</v>
      </c>
      <c r="H160" s="345">
        <f>INDEX('Cash Flow Statement'!$C$7:$I$80,MATCH('3Statement Model'!$B160,'Cash Flow Statement'!$B$7:$B$80,0),MATCH('3Statement Model'!H$9,'Cash Flow Statement'!$C$6:$I$6,0))</f>
        <v>-10034</v>
      </c>
      <c r="I160" s="345">
        <f>INDEX('Cash Flow Statement'!$C$7:$I$80,MATCH('3Statement Model'!$B160,'Cash Flow Statement'!$B$7:$B$80,0),MATCH('3Statement Model'!I$9,'Cash Flow Statement'!$C$6:$I$6,0))</f>
        <v>-13101</v>
      </c>
      <c r="J160" s="375">
        <f>SUM(J153:J159)</f>
        <v>-10479.250426896266</v>
      </c>
      <c r="K160" s="375">
        <f>SUM(K153:K159)</f>
        <v>-11652.588195504712</v>
      </c>
      <c r="L160" s="375">
        <f>SUM(L153:L159)</f>
        <v>-12971.643464212715</v>
      </c>
      <c r="M160" s="375">
        <f>SUM(M153:M159)</f>
        <v>-14454.166292502263</v>
      </c>
      <c r="N160" s="375">
        <f>SUM(N153:N159)</f>
        <v>-16121.395499718095</v>
      </c>
      <c r="O160" s="375">
        <f t="shared" ref="O160:S160" si="136">SUM(O153:O159)</f>
        <v>-17831.267704281527</v>
      </c>
      <c r="P160" s="375">
        <f t="shared" si="136"/>
        <v>-19700.078198234089</v>
      </c>
      <c r="Q160" s="375">
        <f t="shared" si="136"/>
        <v>-21656.54126320979</v>
      </c>
      <c r="R160" s="375">
        <f t="shared" si="136"/>
        <v>-23688.491066177983</v>
      </c>
      <c r="S160" s="375">
        <f t="shared" si="136"/>
        <v>-25783.245135033783</v>
      </c>
    </row>
    <row r="161" spans="2:19">
      <c r="B161" s="11"/>
      <c r="D161" s="344"/>
      <c r="E161" s="344"/>
      <c r="F161" s="344"/>
      <c r="G161" s="344"/>
      <c r="H161" s="344"/>
      <c r="I161" s="344"/>
    </row>
    <row r="162" spans="2:19">
      <c r="B162" s="153" t="s">
        <v>286</v>
      </c>
      <c r="C162" s="341"/>
      <c r="D162" s="346">
        <f>INDEX('Cash Flow Statement'!$C$7:$I$80,MATCH('3Statement Model'!$B162,'Cash Flow Statement'!$B$7:$B$80,0),MATCH('3Statement Model'!D$9,'Cash Flow Statement'!$C$6:$I$6,0))</f>
        <v>2595</v>
      </c>
      <c r="E162" s="346">
        <f>INDEX('Cash Flow Statement'!$C$7:$I$80,MATCH('3Statement Model'!$B162,'Cash Flow Statement'!$B$7:$B$80,0),MATCH('3Statement Model'!E$9,'Cash Flow Statement'!$C$6:$I$6,0))</f>
        <v>-1674</v>
      </c>
      <c r="F162" s="346">
        <f>INDEX('Cash Flow Statement'!$C$7:$I$80,MATCH('3Statement Model'!$B162,'Cash Flow Statement'!$B$7:$B$80,0),MATCH('3Statement Model'!F$9,'Cash Flow Statement'!$C$6:$I$6,0))</f>
        <v>-574</v>
      </c>
      <c r="G162" s="346">
        <f>INDEX('Cash Flow Statement'!$C$7:$I$80,MATCH('3Statement Model'!$B162,'Cash Flow Statement'!$B$7:$B$80,0),MATCH('3Statement Model'!G$9,'Cash Flow Statement'!$C$6:$I$6,0))</f>
        <v>-433</v>
      </c>
      <c r="H162" s="346">
        <f>INDEX('Cash Flow Statement'!$C$7:$I$80,MATCH('3Statement Model'!$B162,'Cash Flow Statement'!$B$7:$B$80,0),MATCH('3Statement Model'!H$9,'Cash Flow Statement'!$C$6:$I$6,0))</f>
        <v>111</v>
      </c>
      <c r="I162" s="346">
        <f>INDEX('Cash Flow Statement'!$C$7:$I$80,MATCH('3Statement Model'!$B162,'Cash Flow Statement'!$B$7:$B$80,0),MATCH('3Statement Model'!I$9,'Cash Flow Statement'!$C$6:$I$6,0))</f>
        <v>5258</v>
      </c>
      <c r="J162" s="379">
        <f>SUM(J160,J149,J134)</f>
        <v>4142.5023933012362</v>
      </c>
      <c r="K162" s="379">
        <f>SUM(K160,K149,K134)</f>
        <v>935.96338711226599</v>
      </c>
      <c r="L162" s="379">
        <f>SUM(L160,L149,L134)</f>
        <v>402.10072806707831</v>
      </c>
      <c r="M162" s="379">
        <f>SUM(M160,M149,M134)</f>
        <v>205.65670522019354</v>
      </c>
      <c r="N162" s="379">
        <f>SUM(N160,N149,N134)</f>
        <v>-36.251070660215191</v>
      </c>
      <c r="O162" s="379">
        <f t="shared" ref="O162:S162" si="137">SUM(O160,O149,O134)</f>
        <v>-275.34544249825922</v>
      </c>
      <c r="P162" s="379">
        <f t="shared" si="137"/>
        <v>-627.77699387079338</v>
      </c>
      <c r="Q162" s="379">
        <f t="shared" si="137"/>
        <v>-1052.5005955035667</v>
      </c>
      <c r="R162" s="379">
        <f t="shared" si="137"/>
        <v>-1524.5907814148704</v>
      </c>
      <c r="S162" s="379">
        <f t="shared" si="137"/>
        <v>-2041.7232596100985</v>
      </c>
    </row>
    <row r="163" spans="2:19">
      <c r="B163" s="11" t="s">
        <v>287</v>
      </c>
      <c r="D163" s="344">
        <f>INDEX('Cash Flow Statement'!$C$7:$I$80,MATCH('3Statement Model'!$B163,'Cash Flow Statement'!$B$7:$B$80,0),MATCH('3Statement Model'!D$9,'Cash Flow Statement'!$C$6:$I$6,0))</f>
        <v>621</v>
      </c>
      <c r="E163" s="344">
        <f>INDEX('Cash Flow Statement'!$C$7:$I$80,MATCH('3Statement Model'!$B163,'Cash Flow Statement'!$B$7:$B$80,0),MATCH('3Statement Model'!E$9,'Cash Flow Statement'!$C$6:$I$6,0))</f>
        <v>3216</v>
      </c>
      <c r="F163" s="344">
        <f>INDEX('Cash Flow Statement'!$C$7:$I$80,MATCH('3Statement Model'!$B163,'Cash Flow Statement'!$B$7:$B$80,0),MATCH('3Statement Model'!F$9,'Cash Flow Statement'!$C$6:$I$6,0))</f>
        <v>1721</v>
      </c>
      <c r="G163" s="344">
        <f>INDEX('Cash Flow Statement'!$C$7:$I$80,MATCH('3Statement Model'!$B163,'Cash Flow Statement'!$B$7:$B$80,0),MATCH('3Statement Model'!G$9,'Cash Flow Statement'!$C$6:$I$6,0))</f>
        <v>1147</v>
      </c>
      <c r="H163" s="344">
        <f>INDEX('Cash Flow Statement'!$C$7:$I$80,MATCH('3Statement Model'!$B163,'Cash Flow Statement'!$B$7:$B$80,0),MATCH('3Statement Model'!H$9,'Cash Flow Statement'!$C$6:$I$6,0))</f>
        <v>701</v>
      </c>
      <c r="I163" s="344">
        <f>INDEX('Cash Flow Statement'!$C$7:$I$80,MATCH('3Statement Model'!$B163,'Cash Flow Statement'!$B$7:$B$80,0),MATCH('3Statement Model'!I$9,'Cash Flow Statement'!$C$6:$I$6,0))</f>
        <v>812</v>
      </c>
      <c r="J163" s="64">
        <f>I165</f>
        <v>6070</v>
      </c>
      <c r="K163" s="64">
        <f>J165</f>
        <v>10212.502393301236</v>
      </c>
      <c r="L163" s="64">
        <f t="shared" ref="L163:N163" si="138">K165</f>
        <v>11148.465780413502</v>
      </c>
      <c r="M163" s="64">
        <f t="shared" si="138"/>
        <v>11550.566508480581</v>
      </c>
      <c r="N163" s="64">
        <f t="shared" si="138"/>
        <v>11756.223213700774</v>
      </c>
      <c r="O163" s="64">
        <f t="shared" ref="O163" si="139">N165</f>
        <v>11719.972143040559</v>
      </c>
      <c r="P163" s="64">
        <f t="shared" ref="P163" si="140">O165</f>
        <v>11444.6267005423</v>
      </c>
      <c r="Q163" s="64">
        <f t="shared" ref="Q163" si="141">P165</f>
        <v>10816.849706671506</v>
      </c>
      <c r="R163" s="64">
        <f t="shared" ref="R163" si="142">Q165</f>
        <v>9764.3491111679396</v>
      </c>
      <c r="S163" s="64">
        <f t="shared" ref="S163" si="143">R165</f>
        <v>8239.7583297530691</v>
      </c>
    </row>
    <row r="164" spans="2:19">
      <c r="B164" s="11" t="s">
        <v>648</v>
      </c>
      <c r="D164" s="344" t="str">
        <f>INDEX('Cash Flow Statement'!$C$7:$I$80,MATCH('3Statement Model'!$B164,'Cash Flow Statement'!$B$7:$B$80,0),MATCH('3Statement Model'!D$9,'Cash Flow Statement'!$C$6:$I$6,0))</f>
        <v>-</v>
      </c>
      <c r="E164" s="344">
        <f>INDEX('Cash Flow Statement'!$C$7:$I$80,MATCH('3Statement Model'!$B164,'Cash Flow Statement'!$B$7:$B$80,0),MATCH('3Statement Model'!E$9,'Cash Flow Statement'!$C$6:$I$6,0))</f>
        <v>300</v>
      </c>
      <c r="F164" s="344" t="str">
        <f>INDEX('Cash Flow Statement'!$C$7:$I$80,MATCH('3Statement Model'!$B164,'Cash Flow Statement'!$B$7:$B$80,0),MATCH('3Statement Model'!F$9,'Cash Flow Statement'!$C$6:$I$6,0))</f>
        <v>-</v>
      </c>
      <c r="G164" s="344">
        <f>INDEX('Cash Flow Statement'!$C$7:$I$80,MATCH('3Statement Model'!$B164,'Cash Flow Statement'!$B$7:$B$80,0),MATCH('3Statement Model'!G$9,'Cash Flow Statement'!$C$6:$I$6,0))</f>
        <v>0</v>
      </c>
      <c r="H164" s="344">
        <f>INDEX('Cash Flow Statement'!$C$7:$I$80,MATCH('3Statement Model'!$B164,'Cash Flow Statement'!$B$7:$B$80,0),MATCH('3Statement Model'!H$9,'Cash Flow Statement'!$C$6:$I$6,0))</f>
        <v>0</v>
      </c>
      <c r="I164" s="344">
        <f>INDEX('Cash Flow Statement'!$C$7:$I$80,MATCH('3Statement Model'!$B164,'Cash Flow Statement'!$B$7:$B$80,0),MATCH('3Statement Model'!I$9,'Cash Flow Statement'!$C$6:$I$6,0))</f>
        <v>0</v>
      </c>
      <c r="J164" s="64">
        <f>I164</f>
        <v>0</v>
      </c>
      <c r="K164" s="64">
        <f>J164</f>
        <v>0</v>
      </c>
      <c r="L164" s="64">
        <f t="shared" ref="L164:N164" si="144">K164</f>
        <v>0</v>
      </c>
      <c r="M164" s="64">
        <f t="shared" si="144"/>
        <v>0</v>
      </c>
      <c r="N164" s="64">
        <f t="shared" si="144"/>
        <v>0</v>
      </c>
      <c r="O164" s="64">
        <f t="shared" ref="O164" si="145">N164</f>
        <v>0</v>
      </c>
      <c r="P164" s="64">
        <f t="shared" ref="P164" si="146">O164</f>
        <v>0</v>
      </c>
      <c r="Q164" s="64">
        <f t="shared" ref="Q164" si="147">P164</f>
        <v>0</v>
      </c>
      <c r="R164" s="64">
        <f t="shared" ref="R164" si="148">Q164</f>
        <v>0</v>
      </c>
      <c r="S164" s="64">
        <f t="shared" ref="S164" si="149">R164</f>
        <v>0</v>
      </c>
    </row>
    <row r="165" spans="2:19" ht="15" thickBot="1">
      <c r="B165" s="92" t="s">
        <v>288</v>
      </c>
      <c r="C165" s="49"/>
      <c r="D165" s="345">
        <f>INDEX('Cash Flow Statement'!$C$7:$I$80,MATCH('3Statement Model'!$B165,'Cash Flow Statement'!$B$7:$B$80,0),MATCH('3Statement Model'!D$9,'Cash Flow Statement'!$C$6:$I$6,0))</f>
        <v>3216</v>
      </c>
      <c r="E165" s="345">
        <f>INDEX('Cash Flow Statement'!$C$7:$I$80,MATCH('3Statement Model'!$B165,'Cash Flow Statement'!$B$7:$B$80,0),MATCH('3Statement Model'!E$9,'Cash Flow Statement'!$C$6:$I$6,0))</f>
        <v>1842</v>
      </c>
      <c r="F165" s="345">
        <f>INDEX('Cash Flow Statement'!$C$7:$I$80,MATCH('3Statement Model'!$B165,'Cash Flow Statement'!$B$7:$B$80,0),MATCH('3Statement Model'!F$9,'Cash Flow Statement'!$C$6:$I$6,0))</f>
        <v>1147</v>
      </c>
      <c r="G165" s="345">
        <f>INDEX('Cash Flow Statement'!$C$7:$I$80,MATCH('3Statement Model'!$B165,'Cash Flow Statement'!$B$7:$B$80,0),MATCH('3Statement Model'!G$9,'Cash Flow Statement'!$C$6:$I$6,0))</f>
        <v>714</v>
      </c>
      <c r="H165" s="345">
        <f>INDEX('Cash Flow Statement'!$C$7:$I$80,MATCH('3Statement Model'!$B165,'Cash Flow Statement'!$B$7:$B$80,0),MATCH('3Statement Model'!H$9,'Cash Flow Statement'!$C$6:$I$6,0))</f>
        <v>812</v>
      </c>
      <c r="I165" s="345">
        <f>INDEX('Cash Flow Statement'!$C$7:$I$80,MATCH('3Statement Model'!$B165,'Cash Flow Statement'!$B$7:$B$80,0),MATCH('3Statement Model'!I$9,'Cash Flow Statement'!$C$6:$I$6,0))</f>
        <v>6070</v>
      </c>
      <c r="J165" s="375">
        <f>J162+J163</f>
        <v>10212.502393301236</v>
      </c>
      <c r="K165" s="375">
        <f t="shared" ref="K165:N165" si="150">K162+K163</f>
        <v>11148.465780413502</v>
      </c>
      <c r="L165" s="375">
        <f t="shared" si="150"/>
        <v>11550.566508480581</v>
      </c>
      <c r="M165" s="375">
        <f t="shared" si="150"/>
        <v>11756.223213700774</v>
      </c>
      <c r="N165" s="375">
        <f t="shared" si="150"/>
        <v>11719.972143040559</v>
      </c>
      <c r="O165" s="375">
        <f t="shared" ref="O165:S165" si="151">O162+O163</f>
        <v>11444.6267005423</v>
      </c>
      <c r="P165" s="375">
        <f t="shared" si="151"/>
        <v>10816.849706671506</v>
      </c>
      <c r="Q165" s="375">
        <f t="shared" si="151"/>
        <v>9764.3491111679396</v>
      </c>
      <c r="R165" s="375">
        <f t="shared" si="151"/>
        <v>8239.7583297530691</v>
      </c>
      <c r="S165" s="375">
        <f t="shared" si="151"/>
        <v>6198.0350701429707</v>
      </c>
    </row>
  </sheetData>
  <mergeCells count="3">
    <mergeCell ref="J8:N8"/>
    <mergeCell ref="D8:I8"/>
    <mergeCell ref="O8:S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9</xdr:col>
                    <xdr:colOff>30480</xdr:colOff>
                    <xdr:row>2</xdr:row>
                    <xdr:rowOff>220980</xdr:rowOff>
                  </from>
                  <to>
                    <xdr:col>10</xdr:col>
                    <xdr:colOff>510540</xdr:colOff>
                    <xdr:row>4</xdr:row>
                    <xdr:rowOff>15240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AF08-B561-4C98-ABD7-3690BE310312}">
  <dimension ref="A2:T100"/>
  <sheetViews>
    <sheetView showGridLines="0" zoomScale="90" zoomScaleNormal="90" workbookViewId="0">
      <pane xSplit="1" ySplit="9" topLeftCell="B76" activePane="bottomRight" state="frozen"/>
      <selection pane="topRight" activeCell="B1" sqref="B1"/>
      <selection pane="bottomLeft" activeCell="A10" sqref="A10"/>
      <selection pane="bottomRight" activeCell="B9" sqref="B9"/>
    </sheetView>
  </sheetViews>
  <sheetFormatPr defaultRowHeight="14.4"/>
  <cols>
    <col min="1" max="1" width="1.88671875" customWidth="1"/>
    <col min="2" max="2" width="38.21875" customWidth="1"/>
    <col min="3" max="3" width="12.109375" customWidth="1"/>
    <col min="4" max="19" width="10.77734375" customWidth="1"/>
    <col min="20" max="20" width="3.77734375" customWidth="1"/>
    <col min="23" max="23" width="20.6640625" bestFit="1" customWidth="1"/>
  </cols>
  <sheetData>
    <row r="2" spans="1:20" ht="21">
      <c r="B2" s="13" t="str">
        <f>'Input Sheet'!C6</f>
        <v>Hindustan Unilever Ltd.</v>
      </c>
      <c r="C2" s="13"/>
      <c r="D2" s="13"/>
      <c r="E2" s="13"/>
    </row>
    <row r="3" spans="1:20" ht="18">
      <c r="B3" s="15" t="s">
        <v>45</v>
      </c>
      <c r="C3" s="15"/>
      <c r="D3" s="15"/>
      <c r="E3" s="15"/>
    </row>
    <row r="4" spans="1:20">
      <c r="I4" t="s">
        <v>39</v>
      </c>
    </row>
    <row r="8" spans="1:20">
      <c r="D8" s="708" t="s">
        <v>24</v>
      </c>
      <c r="E8" s="708"/>
      <c r="F8" s="708"/>
      <c r="G8" s="708"/>
      <c r="H8" s="708"/>
      <c r="I8" s="708"/>
      <c r="J8" s="707" t="s">
        <v>25</v>
      </c>
      <c r="K8" s="707"/>
      <c r="L8" s="707"/>
      <c r="M8" s="707"/>
      <c r="N8" s="707"/>
      <c r="O8" s="708" t="s">
        <v>1056</v>
      </c>
      <c r="P8" s="708"/>
      <c r="Q8" s="708"/>
      <c r="R8" s="708"/>
      <c r="S8" s="708"/>
      <c r="T8" s="20"/>
    </row>
    <row r="9" spans="1:20">
      <c r="B9" s="16" t="s">
        <v>1300</v>
      </c>
      <c r="C9" s="16"/>
      <c r="D9" s="19">
        <v>2020</v>
      </c>
      <c r="E9" s="19">
        <f>D9+1</f>
        <v>2021</v>
      </c>
      <c r="F9" s="19">
        <f t="shared" ref="F9:I9" si="0">E9+1</f>
        <v>2022</v>
      </c>
      <c r="G9" s="19">
        <f t="shared" si="0"/>
        <v>2023</v>
      </c>
      <c r="H9" s="19">
        <f t="shared" si="0"/>
        <v>2024</v>
      </c>
      <c r="I9" s="19">
        <f t="shared" si="0"/>
        <v>2025</v>
      </c>
      <c r="J9" s="19">
        <f>I9+1</f>
        <v>2026</v>
      </c>
      <c r="K9" s="19">
        <f>J9+1</f>
        <v>2027</v>
      </c>
      <c r="L9" s="19">
        <f t="shared" ref="L9:S9" si="1">K9+1</f>
        <v>2028</v>
      </c>
      <c r="M9" s="19">
        <f t="shared" si="1"/>
        <v>2029</v>
      </c>
      <c r="N9" s="19">
        <f t="shared" si="1"/>
        <v>2030</v>
      </c>
      <c r="O9" s="19">
        <f t="shared" si="1"/>
        <v>2031</v>
      </c>
      <c r="P9" s="19">
        <f t="shared" si="1"/>
        <v>2032</v>
      </c>
      <c r="Q9" s="19">
        <f t="shared" si="1"/>
        <v>2033</v>
      </c>
      <c r="R9" s="19">
        <f t="shared" si="1"/>
        <v>2034</v>
      </c>
      <c r="S9" s="19">
        <f t="shared" si="1"/>
        <v>2035</v>
      </c>
    </row>
    <row r="11" spans="1:20" ht="18">
      <c r="A11" t="s">
        <v>27</v>
      </c>
      <c r="B11" s="68" t="s">
        <v>58</v>
      </c>
      <c r="C11" s="68"/>
      <c r="D11" s="68"/>
      <c r="E11" s="68"/>
      <c r="F11" s="69"/>
      <c r="G11" s="70"/>
      <c r="H11" s="70"/>
      <c r="I11" s="70"/>
      <c r="J11" s="70"/>
      <c r="K11" s="70"/>
      <c r="L11" s="70"/>
      <c r="M11" s="70"/>
      <c r="N11" s="70"/>
      <c r="O11" s="70"/>
      <c r="P11" s="70"/>
      <c r="Q11" s="70"/>
      <c r="R11" s="70"/>
      <c r="S11" s="70"/>
    </row>
    <row r="13" spans="1:20">
      <c r="B13" s="71" t="s">
        <v>642</v>
      </c>
      <c r="C13" s="71"/>
      <c r="D13" s="337">
        <f>'3Statement Model'!D13/'3Statement Model'!D$13</f>
        <v>1</v>
      </c>
      <c r="E13" s="337">
        <f>'3Statement Model'!E13/'3Statement Model'!E$13</f>
        <v>1</v>
      </c>
      <c r="F13" s="337">
        <f>'3Statement Model'!F13/'3Statement Model'!F$13</f>
        <v>1</v>
      </c>
      <c r="G13" s="337">
        <f>'3Statement Model'!G13/'3Statement Model'!G$13</f>
        <v>1</v>
      </c>
      <c r="H13" s="337">
        <f>'3Statement Model'!H13/'3Statement Model'!H$13</f>
        <v>1</v>
      </c>
      <c r="I13" s="337">
        <f>'3Statement Model'!I13/'3Statement Model'!I$13</f>
        <v>1</v>
      </c>
      <c r="J13" s="337">
        <f>'3Statement Model'!J13/'3Statement Model'!J$13</f>
        <v>1</v>
      </c>
      <c r="K13" s="337">
        <f>'3Statement Model'!K13/'3Statement Model'!K$13</f>
        <v>1</v>
      </c>
      <c r="L13" s="337">
        <f>'3Statement Model'!L13/'3Statement Model'!L$13</f>
        <v>1</v>
      </c>
      <c r="M13" s="337">
        <f>'3Statement Model'!M13/'3Statement Model'!M$13</f>
        <v>1</v>
      </c>
      <c r="N13" s="337">
        <f>'3Statement Model'!N13/'3Statement Model'!N$13</f>
        <v>1</v>
      </c>
      <c r="O13" s="337">
        <f>'3Statement Model'!O13/'3Statement Model'!O$13</f>
        <v>1</v>
      </c>
      <c r="P13" s="337">
        <f>'3Statement Model'!P13/'3Statement Model'!P$13</f>
        <v>1</v>
      </c>
      <c r="Q13" s="337">
        <f>'3Statement Model'!Q13/'3Statement Model'!Q$13</f>
        <v>1</v>
      </c>
      <c r="R13" s="337">
        <f>'3Statement Model'!R13/'3Statement Model'!R$13</f>
        <v>1</v>
      </c>
      <c r="S13" s="337">
        <f>'3Statement Model'!S13/'3Statement Model'!S$13</f>
        <v>1</v>
      </c>
    </row>
    <row r="14" spans="1:20">
      <c r="B14" s="74" t="s">
        <v>4</v>
      </c>
      <c r="C14" s="74"/>
      <c r="D14" s="337">
        <f>'3Statement Model'!D14/'3Statement Model'!D$13</f>
        <v>-0.45896488449840384</v>
      </c>
      <c r="E14" s="337">
        <f>'3Statement Model'!E14/'3Statement Model'!E$13</f>
        <v>-0.47095347452581443</v>
      </c>
      <c r="F14" s="337">
        <f>'3Statement Model'!F14/'3Statement Model'!F$13</f>
        <v>-0.49069519124432748</v>
      </c>
      <c r="G14" s="337">
        <f>'3Statement Model'!G14/'3Statement Model'!G$13</f>
        <v>-0.52345271496946688</v>
      </c>
      <c r="H14" s="337">
        <f>'3Statement Model'!H14/'3Statement Model'!H$13</f>
        <v>-0.48127304482825539</v>
      </c>
      <c r="I14" s="337">
        <f>'3Statement Model'!I14/'3Statement Model'!I$13</f>
        <v>-0.48443465724560764</v>
      </c>
      <c r="J14" s="337">
        <f>'3Statement Model'!J14/'3Statement Model'!J$13</f>
        <v>-0.49000000000000005</v>
      </c>
      <c r="K14" s="337">
        <f>'3Statement Model'!K14/'3Statement Model'!K$13</f>
        <v>-0.48774999999999996</v>
      </c>
      <c r="L14" s="337">
        <f>'3Statement Model'!L14/'3Statement Model'!L$13</f>
        <v>-0.48550000000000004</v>
      </c>
      <c r="M14" s="337">
        <f>'3Statement Model'!M14/'3Statement Model'!M$13</f>
        <v>-0.48325000000000007</v>
      </c>
      <c r="N14" s="337">
        <f>'3Statement Model'!N14/'3Statement Model'!N$13</f>
        <v>-0.48099999999999998</v>
      </c>
      <c r="O14" s="337">
        <f>'3Statement Model'!O14/'3Statement Model'!O$13</f>
        <v>-0.48099999999999998</v>
      </c>
      <c r="P14" s="337">
        <f>'3Statement Model'!P14/'3Statement Model'!P$13</f>
        <v>-0.48099999999999993</v>
      </c>
      <c r="Q14" s="337">
        <f>'3Statement Model'!Q14/'3Statement Model'!Q$13</f>
        <v>-0.48099999999999998</v>
      </c>
      <c r="R14" s="337">
        <f>'3Statement Model'!R14/'3Statement Model'!R$13</f>
        <v>-0.48099999999999998</v>
      </c>
      <c r="S14" s="337">
        <f>'3Statement Model'!S14/'3Statement Model'!S$13</f>
        <v>-0.48100000000000004</v>
      </c>
    </row>
    <row r="15" spans="1:20">
      <c r="B15" s="79" t="s">
        <v>3</v>
      </c>
      <c r="C15" s="82"/>
      <c r="D15" s="549">
        <f>'3Statement Model'!D15/'3Statement Model'!D$13</f>
        <v>0.54103511550159611</v>
      </c>
      <c r="E15" s="549">
        <f>'3Statement Model'!E15/'3Statement Model'!E$13</f>
        <v>0.52904652547418562</v>
      </c>
      <c r="F15" s="549">
        <f>'3Statement Model'!F15/'3Statement Model'!F$13</f>
        <v>0.50930480875567252</v>
      </c>
      <c r="G15" s="549">
        <f>'3Statement Model'!G15/'3Statement Model'!G$13</f>
        <v>0.47654728503053312</v>
      </c>
      <c r="H15" s="549">
        <f>'3Statement Model'!H15/'3Statement Model'!H$13</f>
        <v>0.51872695517174461</v>
      </c>
      <c r="I15" s="549">
        <f>'3Statement Model'!I15/'3Statement Model'!I$13</f>
        <v>0.51556534275439236</v>
      </c>
      <c r="J15" s="549">
        <f>'3Statement Model'!J15/'3Statement Model'!J$13</f>
        <v>0.51</v>
      </c>
      <c r="K15" s="549">
        <f>'3Statement Model'!K15/'3Statement Model'!K$13</f>
        <v>0.51224999999999998</v>
      </c>
      <c r="L15" s="549">
        <f>'3Statement Model'!L15/'3Statement Model'!L$13</f>
        <v>0.51449999999999996</v>
      </c>
      <c r="M15" s="549">
        <f>'3Statement Model'!M15/'3Statement Model'!M$13</f>
        <v>0.51674999999999993</v>
      </c>
      <c r="N15" s="549">
        <f>'3Statement Model'!N15/'3Statement Model'!N$13</f>
        <v>0.51900000000000002</v>
      </c>
      <c r="O15" s="549">
        <f>'3Statement Model'!O15/'3Statement Model'!O$13</f>
        <v>0.51900000000000002</v>
      </c>
      <c r="P15" s="549">
        <f>'3Statement Model'!P15/'3Statement Model'!P$13</f>
        <v>0.51900000000000002</v>
      </c>
      <c r="Q15" s="549">
        <f>'3Statement Model'!Q15/'3Statement Model'!Q$13</f>
        <v>0.51900000000000002</v>
      </c>
      <c r="R15" s="549">
        <f>'3Statement Model'!R15/'3Statement Model'!R$13</f>
        <v>0.51900000000000002</v>
      </c>
      <c r="S15" s="549">
        <f>'3Statement Model'!S15/'3Statement Model'!S$13</f>
        <v>0.51900000000000002</v>
      </c>
    </row>
    <row r="16" spans="1:20">
      <c r="B16" s="72"/>
      <c r="C16" s="72"/>
      <c r="D16" s="80"/>
      <c r="E16" s="80"/>
      <c r="F16" s="80"/>
      <c r="G16" s="80"/>
      <c r="H16" s="80"/>
      <c r="I16" s="80"/>
      <c r="J16" s="369"/>
      <c r="K16" s="369"/>
      <c r="L16" s="369"/>
      <c r="M16" s="369"/>
      <c r="N16" s="369"/>
      <c r="O16" s="369"/>
      <c r="P16" s="369"/>
      <c r="Q16" s="369"/>
      <c r="R16" s="369"/>
      <c r="S16" s="369"/>
    </row>
    <row r="17" spans="2:19">
      <c r="B17" s="73" t="s">
        <v>511</v>
      </c>
      <c r="C17" s="73"/>
      <c r="D17" s="80"/>
      <c r="E17" s="80"/>
      <c r="F17" s="80"/>
      <c r="G17" s="80"/>
      <c r="H17" s="80"/>
      <c r="I17" s="80"/>
      <c r="J17" s="369"/>
      <c r="K17" s="369"/>
      <c r="L17" s="369"/>
      <c r="M17" s="369"/>
      <c r="N17" s="369"/>
      <c r="O17" s="369"/>
      <c r="P17" s="369"/>
      <c r="Q17" s="369"/>
      <c r="R17" s="369"/>
      <c r="S17" s="369"/>
    </row>
    <row r="18" spans="2:19">
      <c r="B18" s="74" t="s">
        <v>210</v>
      </c>
      <c r="C18" s="74"/>
      <c r="D18" s="337">
        <f>'3Statement Model'!D18/'3Statement Model'!D$13</f>
        <v>-4.574818389764472E-2</v>
      </c>
      <c r="E18" s="337">
        <f>'3Statement Model'!E18/'3Statement Model'!E$13</f>
        <v>-5.0140341923960191E-2</v>
      </c>
      <c r="F18" s="337">
        <f>'3Statement Model'!F18/'3Statement Model'!F$13</f>
        <v>-4.8526103039316627E-2</v>
      </c>
      <c r="G18" s="337">
        <f>'3Statement Model'!G18/'3Statement Model'!G$13</f>
        <v>-4.7103482422842055E-2</v>
      </c>
      <c r="H18" s="337">
        <f>'3Statement Model'!H18/'3Statement Model'!H$13</f>
        <v>-4.8660974189792351E-2</v>
      </c>
      <c r="I18" s="337">
        <f>'3Statement Model'!I18/'3Statement Model'!I$13</f>
        <v>-4.8747643415028276E-2</v>
      </c>
      <c r="J18" s="337">
        <f>'3Statement Model'!J18/'3Statement Model'!J$13</f>
        <v>-4.8000000000000001E-2</v>
      </c>
      <c r="K18" s="337">
        <f>'3Statement Model'!K18/'3Statement Model'!K$13</f>
        <v>-4.8000000000000001E-2</v>
      </c>
      <c r="L18" s="337">
        <f>'3Statement Model'!L18/'3Statement Model'!L$13</f>
        <v>-4.8000000000000001E-2</v>
      </c>
      <c r="M18" s="337">
        <f>'3Statement Model'!M18/'3Statement Model'!M$13</f>
        <v>-4.8000000000000001E-2</v>
      </c>
      <c r="N18" s="337">
        <f>'3Statement Model'!N18/'3Statement Model'!N$13</f>
        <v>-4.8000000000000001E-2</v>
      </c>
      <c r="O18" s="337">
        <f>'3Statement Model'!O18/'3Statement Model'!O$13</f>
        <v>-4.7999999999999994E-2</v>
      </c>
      <c r="P18" s="337">
        <f>'3Statement Model'!P18/'3Statement Model'!P$13</f>
        <v>-4.8000000000000001E-2</v>
      </c>
      <c r="Q18" s="337">
        <f>'3Statement Model'!Q18/'3Statement Model'!Q$13</f>
        <v>-4.8000000000000001E-2</v>
      </c>
      <c r="R18" s="337">
        <f>'3Statement Model'!R18/'3Statement Model'!R$13</f>
        <v>-4.8000000000000001E-2</v>
      </c>
      <c r="S18" s="337">
        <f>'3Statement Model'!S18/'3Statement Model'!S$13</f>
        <v>-4.8000000000000001E-2</v>
      </c>
    </row>
    <row r="19" spans="2:19">
      <c r="B19" s="74" t="s">
        <v>510</v>
      </c>
      <c r="C19" s="74"/>
      <c r="D19" s="337">
        <f>'3Statement Model'!D19/'3Statement Model'!D$13</f>
        <v>-0.24741723851896538</v>
      </c>
      <c r="E19" s="337">
        <f>'3Statement Model'!E19/'3Statement Model'!E$13</f>
        <v>-0.23169175810155651</v>
      </c>
      <c r="F19" s="337">
        <f>'3Statement Model'!F19/'3Statement Model'!F$13</f>
        <v>-0.21563131602028754</v>
      </c>
      <c r="G19" s="337">
        <f>'3Statement Model'!G19/'3Statement Model'!G$13</f>
        <v>-0.19575837596963194</v>
      </c>
      <c r="H19" s="337">
        <f>'3Statement Model'!H19/'3Statement Model'!H$13</f>
        <v>-0.23390904974448543</v>
      </c>
      <c r="I19" s="337">
        <f>'3Statement Model'!I19/'3Statement Model'!I$13</f>
        <v>-0.23153942428035043</v>
      </c>
      <c r="J19" s="337">
        <f>'3Statement Model'!J19/'3Statement Model'!J$13</f>
        <v>-0.23200000000000001</v>
      </c>
      <c r="K19" s="337">
        <f>'3Statement Model'!K19/'3Statement Model'!K$13</f>
        <v>-0.23200000000000004</v>
      </c>
      <c r="L19" s="337">
        <f>'3Statement Model'!L19/'3Statement Model'!L$13</f>
        <v>-0.23200000000000001</v>
      </c>
      <c r="M19" s="337">
        <f>'3Statement Model'!M19/'3Statement Model'!M$13</f>
        <v>-0.23200000000000001</v>
      </c>
      <c r="N19" s="337">
        <f>'3Statement Model'!N19/'3Statement Model'!N$13</f>
        <v>-0.23200000000000001</v>
      </c>
      <c r="O19" s="337">
        <f>'3Statement Model'!O19/'3Statement Model'!O$13</f>
        <v>-0.23200000000000001</v>
      </c>
      <c r="P19" s="337">
        <f>'3Statement Model'!P19/'3Statement Model'!P$13</f>
        <v>-0.23200000000000001</v>
      </c>
      <c r="Q19" s="337">
        <f>'3Statement Model'!Q19/'3Statement Model'!Q$13</f>
        <v>-0.23200000000000001</v>
      </c>
      <c r="R19" s="337">
        <f>'3Statement Model'!R19/'3Statement Model'!R$13</f>
        <v>-0.23200000000000001</v>
      </c>
      <c r="S19" s="337">
        <f>'3Statement Model'!S19/'3Statement Model'!S$13</f>
        <v>-0.23200000000000001</v>
      </c>
    </row>
    <row r="20" spans="2:19">
      <c r="B20" s="77" t="s">
        <v>1</v>
      </c>
      <c r="C20" s="77"/>
      <c r="D20" s="549">
        <f>'3Statement Model'!D20/'3Statement Model'!D$13</f>
        <v>-0.29316542241661009</v>
      </c>
      <c r="E20" s="549">
        <f>'3Statement Model'!E20/'3Statement Model'!E$13</f>
        <v>-0.28183210002551673</v>
      </c>
      <c r="F20" s="549">
        <f>'3Statement Model'!F20/'3Statement Model'!F$13</f>
        <v>-0.26415741905960416</v>
      </c>
      <c r="G20" s="549">
        <f>'3Statement Model'!G20/'3Statement Model'!G$13</f>
        <v>-0.24286185839247401</v>
      </c>
      <c r="H20" s="549">
        <f>'3Statement Model'!H20/'3Statement Model'!H$13</f>
        <v>-0.28257002393427777</v>
      </c>
      <c r="I20" s="549">
        <f>'3Statement Model'!I20/'3Statement Model'!I$13</f>
        <v>-0.2802870676953787</v>
      </c>
      <c r="J20" s="549">
        <f>'3Statement Model'!J20/'3Statement Model'!J$13</f>
        <v>-0.27999999999999997</v>
      </c>
      <c r="K20" s="549">
        <f>'3Statement Model'!K20/'3Statement Model'!K$13</f>
        <v>-0.28000000000000003</v>
      </c>
      <c r="L20" s="549">
        <f>'3Statement Model'!L20/'3Statement Model'!L$13</f>
        <v>-0.28000000000000003</v>
      </c>
      <c r="M20" s="549">
        <f>'3Statement Model'!M20/'3Statement Model'!M$13</f>
        <v>-0.28000000000000003</v>
      </c>
      <c r="N20" s="549">
        <f>'3Statement Model'!N20/'3Statement Model'!N$13</f>
        <v>-0.28000000000000003</v>
      </c>
      <c r="O20" s="549">
        <f>'3Statement Model'!O20/'3Statement Model'!O$13</f>
        <v>-0.28000000000000003</v>
      </c>
      <c r="P20" s="549">
        <f>'3Statement Model'!P20/'3Statement Model'!P$13</f>
        <v>-0.28000000000000003</v>
      </c>
      <c r="Q20" s="549">
        <f>'3Statement Model'!Q20/'3Statement Model'!Q$13</f>
        <v>-0.28000000000000003</v>
      </c>
      <c r="R20" s="549">
        <f>'3Statement Model'!R20/'3Statement Model'!R$13</f>
        <v>-0.27999999999999997</v>
      </c>
      <c r="S20" s="549">
        <f>'3Statement Model'!S20/'3Statement Model'!S$13</f>
        <v>-0.28000000000000003</v>
      </c>
    </row>
    <row r="21" spans="2:19">
      <c r="B21" s="85"/>
      <c r="C21" s="85"/>
      <c r="D21" s="83"/>
      <c r="E21" s="83"/>
      <c r="F21" s="83"/>
      <c r="G21" s="83"/>
      <c r="H21" s="83"/>
      <c r="I21" s="83"/>
      <c r="J21" s="83"/>
      <c r="K21" s="83"/>
      <c r="L21" s="83"/>
      <c r="M21" s="83"/>
      <c r="N21" s="83"/>
      <c r="O21" s="83"/>
      <c r="P21" s="83"/>
      <c r="Q21" s="83"/>
      <c r="R21" s="83"/>
      <c r="S21" s="83"/>
    </row>
    <row r="22" spans="2:19">
      <c r="B22" s="77" t="s">
        <v>63</v>
      </c>
      <c r="C22" s="77"/>
      <c r="D22" s="549">
        <f>'3Statement Model'!D22/'3Statement Model'!D$13</f>
        <v>0.24786969308498605</v>
      </c>
      <c r="E22" s="549">
        <f>'3Statement Model'!E22/'3Statement Model'!E$13</f>
        <v>0.24721442544866887</v>
      </c>
      <c r="F22" s="549">
        <f>'3Statement Model'!F22/'3Statement Model'!F$13</f>
        <v>0.24514738969606834</v>
      </c>
      <c r="G22" s="549">
        <f>'3Statement Model'!G22/'3Statement Model'!G$13</f>
        <v>0.23368542663805908</v>
      </c>
      <c r="H22" s="549">
        <f>'3Statement Model'!H22/'3Statement Model'!H$13</f>
        <v>0.23615693123746684</v>
      </c>
      <c r="I22" s="549">
        <f>'3Statement Model'!I22/'3Statement Model'!I$13</f>
        <v>0.23527827505901364</v>
      </c>
      <c r="J22" s="549">
        <f>'3Statement Model'!J22/'3Statement Model'!J$13</f>
        <v>0.22999999999999998</v>
      </c>
      <c r="K22" s="549">
        <f>'3Statement Model'!K22/'3Statement Model'!K$13</f>
        <v>0.23224999999999998</v>
      </c>
      <c r="L22" s="549">
        <f>'3Statement Model'!L22/'3Statement Model'!L$13</f>
        <v>0.23449999999999993</v>
      </c>
      <c r="M22" s="549">
        <f>'3Statement Model'!M22/'3Statement Model'!M$13</f>
        <v>0.23674999999999993</v>
      </c>
      <c r="N22" s="549">
        <f>'3Statement Model'!N22/'3Statement Model'!N$13</f>
        <v>0.23900000000000002</v>
      </c>
      <c r="O22" s="549">
        <f>'3Statement Model'!O22/'3Statement Model'!O$13</f>
        <v>0.23899999999999996</v>
      </c>
      <c r="P22" s="549">
        <f>'3Statement Model'!P22/'3Statement Model'!P$13</f>
        <v>0.23900000000000002</v>
      </c>
      <c r="Q22" s="549">
        <f>'3Statement Model'!Q22/'3Statement Model'!Q$13</f>
        <v>0.23900000000000002</v>
      </c>
      <c r="R22" s="549">
        <f>'3Statement Model'!R22/'3Statement Model'!R$13</f>
        <v>0.23900000000000005</v>
      </c>
      <c r="S22" s="549">
        <f>'3Statement Model'!S22/'3Statement Model'!S$13</f>
        <v>0.23899999999999996</v>
      </c>
    </row>
    <row r="23" spans="2:19">
      <c r="B23" s="85"/>
      <c r="C23" s="85"/>
      <c r="D23" s="83"/>
      <c r="E23" s="83"/>
      <c r="F23" s="83"/>
      <c r="G23" s="83"/>
      <c r="H23" s="83"/>
      <c r="I23" s="83"/>
      <c r="J23" s="83"/>
      <c r="K23" s="83"/>
      <c r="L23" s="83"/>
      <c r="M23" s="83"/>
      <c r="N23" s="83"/>
      <c r="O23" s="83"/>
      <c r="P23" s="83"/>
      <c r="Q23" s="83"/>
      <c r="R23" s="83"/>
      <c r="S23" s="83"/>
    </row>
    <row r="24" spans="2:19">
      <c r="B24" s="85"/>
      <c r="C24" s="85"/>
      <c r="D24" s="83"/>
      <c r="E24" s="83"/>
      <c r="F24" s="83"/>
      <c r="G24" s="83"/>
      <c r="H24" s="83"/>
      <c r="I24" s="83"/>
      <c r="J24" s="83"/>
      <c r="K24" s="83"/>
      <c r="L24" s="83"/>
      <c r="M24" s="83"/>
      <c r="N24" s="83"/>
      <c r="O24" s="83"/>
      <c r="P24" s="83"/>
      <c r="Q24" s="83"/>
      <c r="R24" s="83"/>
      <c r="S24" s="83"/>
    </row>
    <row r="25" spans="2:19">
      <c r="B25" s="85" t="s">
        <v>55</v>
      </c>
      <c r="C25" s="74"/>
      <c r="D25" s="337">
        <f>'3Statement Model'!D27/'3Statement Model'!D$13</f>
        <v>-2.5186637508483524E-2</v>
      </c>
      <c r="E25" s="337">
        <f>'3Statement Model'!E27/'3Statement Model'!E$13</f>
        <v>-2.2837458535340648E-2</v>
      </c>
      <c r="F25" s="337">
        <f>'3Statement Model'!F27/'3Statement Model'!F$13</f>
        <v>-2.0802349082866187E-2</v>
      </c>
      <c r="G25" s="337">
        <f>'3Statement Model'!G27/'3Statement Model'!G$13</f>
        <v>-1.8765472850305331E-2</v>
      </c>
      <c r="H25" s="337">
        <f>'3Statement Model'!H27/'3Statement Model'!H$13</f>
        <v>-1.9664920111262047E-2</v>
      </c>
      <c r="I25" s="337">
        <f>'3Statement Model'!I27/'3Statement Model'!I$13</f>
        <v>-2.1466706801223048E-2</v>
      </c>
      <c r="J25" s="337">
        <f>'3Statement Model'!J27/'3Statement Model'!J$13</f>
        <v>-2.2312298268479469E-2</v>
      </c>
      <c r="K25" s="337">
        <f>'3Statement Model'!K27/'3Statement Model'!K$13</f>
        <v>-2.2835597219791535E-2</v>
      </c>
      <c r="L25" s="337">
        <f>'3Statement Model'!L27/'3Statement Model'!L$13</f>
        <v>-2.3301358843116293E-2</v>
      </c>
      <c r="M25" s="337">
        <f>'3Statement Model'!M27/'3Statement Model'!M$13</f>
        <v>-2.3713662084370122E-2</v>
      </c>
      <c r="N25" s="337">
        <f>'3Statement Model'!N27/'3Statement Model'!N$13</f>
        <v>-2.4076396170017906E-2</v>
      </c>
      <c r="O25" s="337">
        <f>'3Statement Model'!O27/'3Statement Model'!O$13</f>
        <v>-2.4395840677484817E-2</v>
      </c>
      <c r="P25" s="337">
        <f>'3Statement Model'!P27/'3Statement Model'!P$13</f>
        <v>-2.4714226529748098E-2</v>
      </c>
      <c r="Q25" s="337">
        <f>'3Statement Model'!Q27/'3Statement Model'!Q$13</f>
        <v>-2.5108628602687467E-2</v>
      </c>
      <c r="R25" s="337">
        <f>'3Statement Model'!R27/'3Statement Model'!R$13</f>
        <v>-2.5576755770619936E-2</v>
      </c>
      <c r="S25" s="337">
        <f>'3Statement Model'!S27/'3Statement Model'!S$13</f>
        <v>-2.6116026256590024E-2</v>
      </c>
    </row>
    <row r="26" spans="2:19">
      <c r="B26" s="79" t="s">
        <v>64</v>
      </c>
      <c r="C26" s="79"/>
      <c r="D26" s="549">
        <f>'3Statement Model'!D28/'3Statement Model'!D$13</f>
        <v>0.22268305557650253</v>
      </c>
      <c r="E26" s="549">
        <f>'3Statement Model'!E28/'3Statement Model'!E$13</f>
        <v>0.22437696691332823</v>
      </c>
      <c r="F26" s="549">
        <f>'3Statement Model'!F28/'3Statement Model'!F$13</f>
        <v>0.22434504061320215</v>
      </c>
      <c r="G26" s="549">
        <f>'3Statement Model'!G28/'3Statement Model'!G$13</f>
        <v>0.21491995378775375</v>
      </c>
      <c r="H26" s="549">
        <f>'3Statement Model'!H28/'3Statement Model'!H$13</f>
        <v>0.21649201112620481</v>
      </c>
      <c r="I26" s="549">
        <f>'3Statement Model'!I28/'3Statement Model'!I$13</f>
        <v>0.2138115682577906</v>
      </c>
      <c r="J26" s="549">
        <f>'3Statement Model'!J28/'3Statement Model'!J$13</f>
        <v>0.20768770173152051</v>
      </c>
      <c r="K26" s="549">
        <f>'3Statement Model'!K28/'3Statement Model'!K$13</f>
        <v>0.20941440278020845</v>
      </c>
      <c r="L26" s="549">
        <f>'3Statement Model'!L28/'3Statement Model'!L$13</f>
        <v>0.21119864115688361</v>
      </c>
      <c r="M26" s="549">
        <f>'3Statement Model'!M28/'3Statement Model'!M$13</f>
        <v>0.21303633791562981</v>
      </c>
      <c r="N26" s="549">
        <f>'3Statement Model'!N28/'3Statement Model'!N$13</f>
        <v>0.2149236038299821</v>
      </c>
      <c r="O26" s="549">
        <f>'3Statement Model'!O28/'3Statement Model'!O$13</f>
        <v>0.21460415932251514</v>
      </c>
      <c r="P26" s="549">
        <f>'3Statement Model'!P28/'3Statement Model'!P$13</f>
        <v>0.21428577347025191</v>
      </c>
      <c r="Q26" s="549">
        <f>'3Statement Model'!Q28/'3Statement Model'!Q$13</f>
        <v>0.21389137139731257</v>
      </c>
      <c r="R26" s="549">
        <f>'3Statement Model'!R28/'3Statement Model'!R$13</f>
        <v>0.21342324422938011</v>
      </c>
      <c r="S26" s="549">
        <f>'3Statement Model'!S28/'3Statement Model'!S$13</f>
        <v>0.21288397374340992</v>
      </c>
    </row>
    <row r="27" spans="2:19">
      <c r="B27" s="8"/>
      <c r="C27" s="8"/>
      <c r="D27" s="83"/>
      <c r="E27" s="83"/>
      <c r="F27" s="83"/>
      <c r="G27" s="83"/>
      <c r="H27" s="83"/>
      <c r="I27" s="83"/>
      <c r="J27" s="83"/>
      <c r="K27" s="83"/>
      <c r="L27" s="83"/>
      <c r="M27" s="83"/>
      <c r="N27" s="83"/>
      <c r="O27" s="83"/>
      <c r="P27" s="83"/>
      <c r="Q27" s="83"/>
      <c r="R27" s="83"/>
      <c r="S27" s="83"/>
    </row>
    <row r="28" spans="2:19">
      <c r="B28" s="63" t="s">
        <v>231</v>
      </c>
      <c r="C28" s="74"/>
      <c r="D28" s="337">
        <f>'3Statement Model'!D32/'3Statement Model'!D$13</f>
        <v>-2.9660910439132291E-3</v>
      </c>
      <c r="E28" s="337">
        <f>'3Statement Model'!E32/'3Statement Model'!E$13</f>
        <v>-2.4878795611125285E-3</v>
      </c>
      <c r="F28" s="337">
        <f>'3Statement Model'!F32/'3Statement Model'!F$13</f>
        <v>-2.0211264920108303E-3</v>
      </c>
      <c r="G28" s="337">
        <f>'3Statement Model'!G32/'3Statement Model'!G$13</f>
        <v>-1.8814985971282389E-3</v>
      </c>
      <c r="H28" s="337">
        <f>'3Statement Model'!H32/'3Statement Model'!H$13</f>
        <v>-5.4013843068762531E-3</v>
      </c>
      <c r="I28" s="337">
        <f>'3Statement Model'!I32/'3Statement Model'!I$13</f>
        <v>-6.2578222778473091E-3</v>
      </c>
      <c r="J28" s="337">
        <f>'3Statement Model'!J32/'3Statement Model'!J$13</f>
        <v>-3.8892265814322292E-3</v>
      </c>
      <c r="K28" s="337">
        <f>'3Statement Model'!K32/'3Statement Model'!K$13</f>
        <v>-3.8892265814322292E-3</v>
      </c>
      <c r="L28" s="337">
        <f>'3Statement Model'!L32/'3Statement Model'!L$13</f>
        <v>-3.8892265814322292E-3</v>
      </c>
      <c r="M28" s="337">
        <f>'3Statement Model'!M32/'3Statement Model'!M$13</f>
        <v>-3.8892265814322292E-3</v>
      </c>
      <c r="N28" s="337">
        <f>'3Statement Model'!N32/'3Statement Model'!N$13</f>
        <v>-3.8892265814322292E-3</v>
      </c>
      <c r="O28" s="337">
        <f>'3Statement Model'!O32/'3Statement Model'!O$13</f>
        <v>-3.8892265814322292E-3</v>
      </c>
      <c r="P28" s="337">
        <f>'3Statement Model'!P32/'3Statement Model'!P$13</f>
        <v>-3.8892265814322292E-3</v>
      </c>
      <c r="Q28" s="337">
        <f>'3Statement Model'!Q32/'3Statement Model'!Q$13</f>
        <v>-3.8892265814322292E-3</v>
      </c>
      <c r="R28" s="337">
        <f>'3Statement Model'!R32/'3Statement Model'!R$13</f>
        <v>-3.8892265814322287E-3</v>
      </c>
      <c r="S28" s="337">
        <f>'3Statement Model'!S32/'3Statement Model'!S$13</f>
        <v>-3.8892265814322296E-3</v>
      </c>
    </row>
    <row r="29" spans="2:19">
      <c r="B29" s="63" t="s">
        <v>233</v>
      </c>
      <c r="C29" s="74"/>
      <c r="D29" s="337">
        <f>'3Statement Model'!D33/'3Statement Model'!D$13</f>
        <v>1.5886182540281023E-2</v>
      </c>
      <c r="E29" s="337">
        <f>'3Statement Model'!E33/'3Statement Model'!E$13</f>
        <v>8.7182104278302284E-3</v>
      </c>
      <c r="F29" s="337">
        <f>'3Statement Model'!F33/'3Statement Model'!F$13</f>
        <v>4.9193456126301336E-3</v>
      </c>
      <c r="G29" s="337">
        <f>'3Statement Model'!G33/'3Statement Model'!G$13</f>
        <v>8.4502393134180554E-3</v>
      </c>
      <c r="H29" s="337">
        <f>'3Statement Model'!H33/'3Statement Model'!H$13</f>
        <v>1.3115337343942041E-2</v>
      </c>
      <c r="I29" s="337">
        <f>'3Statement Model'!I33/'3Statement Model'!I$13</f>
        <v>1.6111912041951174E-2</v>
      </c>
      <c r="J29" s="337">
        <f>'3Statement Model'!J33/'3Statement Model'!J$13</f>
        <v>1.4822786806349688E-2</v>
      </c>
      <c r="K29" s="337">
        <f>'3Statement Model'!K33/'3Statement Model'!K$13</f>
        <v>1.3625863718982629E-2</v>
      </c>
      <c r="L29" s="337">
        <f>'3Statement Model'!L33/'3Statement Model'!L$13</f>
        <v>1.2515597130354146E-2</v>
      </c>
      <c r="M29" s="337">
        <f>'3Statement Model'!M33/'3Statement Model'!M$13</f>
        <v>1.1486686446518091E-2</v>
      </c>
      <c r="N29" s="337">
        <f>'3Statement Model'!N33/'3Statement Model'!N$13</f>
        <v>1.0534071347658075E-2</v>
      </c>
      <c r="O29" s="337">
        <f>'3Statement Model'!O33/'3Statement Model'!O$13</f>
        <v>9.6529268432247201E-3</v>
      </c>
      <c r="P29" s="337">
        <f>'3Statement Model'!P33/'3Statement Model'!P$13</f>
        <v>8.8553547361611314E-3</v>
      </c>
      <c r="Q29" s="337">
        <f>'3Statement Model'!Q33/'3Statement Model'!Q$13</f>
        <v>8.1623275230002373E-3</v>
      </c>
      <c r="R29" s="337">
        <f>'3Statement Model'!R33/'3Statement Model'!R$13</f>
        <v>7.5591818220030445E-3</v>
      </c>
      <c r="S29" s="337">
        <f>'3Statement Model'!S33/'3Statement Model'!S$13</f>
        <v>7.0331537458687933E-3</v>
      </c>
    </row>
    <row r="30" spans="2:19">
      <c r="B30" s="63" t="s">
        <v>643</v>
      </c>
      <c r="C30" s="74"/>
      <c r="D30" s="337">
        <f>'3Statement Model'!D34/'3Statement Model'!D$13</f>
        <v>0</v>
      </c>
      <c r="E30" s="337">
        <f>'3Statement Model'!E34/'3Statement Model'!E$13</f>
        <v>0</v>
      </c>
      <c r="F30" s="337">
        <f>'3Statement Model'!F34/'3Statement Model'!F$13</f>
        <v>0</v>
      </c>
      <c r="G30" s="337">
        <f>'3Statement Model'!G34/'3Statement Model'!G$13</f>
        <v>-1.6504373659019639E-5</v>
      </c>
      <c r="H30" s="337">
        <f>'3Statement Model'!H34/'3Statement Model'!H$13</f>
        <v>-6.4687237208098838E-5</v>
      </c>
      <c r="I30" s="337">
        <f>'3Statement Model'!I34/'3Statement Model'!I$13</f>
        <v>-1.267407043614645E-4</v>
      </c>
      <c r="J30" s="337">
        <f>'3Statement Model'!J34/'3Statement Model'!J$13</f>
        <v>0</v>
      </c>
      <c r="K30" s="337">
        <f>'3Statement Model'!K34/'3Statement Model'!K$13</f>
        <v>0</v>
      </c>
      <c r="L30" s="337">
        <f>'3Statement Model'!L34/'3Statement Model'!L$13</f>
        <v>0</v>
      </c>
      <c r="M30" s="337">
        <f>'3Statement Model'!M34/'3Statement Model'!M$13</f>
        <v>0</v>
      </c>
      <c r="N30" s="337">
        <f>'3Statement Model'!N34/'3Statement Model'!N$13</f>
        <v>0</v>
      </c>
      <c r="O30" s="337">
        <f>'3Statement Model'!O34/'3Statement Model'!O$13</f>
        <v>0</v>
      </c>
      <c r="P30" s="337">
        <f>'3Statement Model'!P34/'3Statement Model'!P$13</f>
        <v>0</v>
      </c>
      <c r="Q30" s="337">
        <f>'3Statement Model'!Q34/'3Statement Model'!Q$13</f>
        <v>0</v>
      </c>
      <c r="R30" s="337">
        <f>'3Statement Model'!R34/'3Statement Model'!R$13</f>
        <v>0</v>
      </c>
      <c r="S30" s="337">
        <f>'3Statement Model'!S34/'3Statement Model'!S$13</f>
        <v>0</v>
      </c>
    </row>
    <row r="31" spans="2:19">
      <c r="B31" s="63" t="s">
        <v>644</v>
      </c>
      <c r="C31" s="74"/>
      <c r="D31" s="337">
        <f>'3Statement Model'!D35/'3Statement Model'!D$13</f>
        <v>-5.0272729557851344E-3</v>
      </c>
      <c r="E31" s="337">
        <f>'3Statement Model'!E35/'3Statement Model'!E$13</f>
        <v>-5.0820787615888409E-3</v>
      </c>
      <c r="F31" s="337">
        <f>'3Statement Model'!F35/'3Statement Model'!F$13</f>
        <v>-8.3895816649506155E-4</v>
      </c>
      <c r="G31" s="337">
        <f>'3Statement Model'!G35/'3Statement Model'!G$13</f>
        <v>-1.0562799141772569E-3</v>
      </c>
      <c r="H31" s="337">
        <f>'3Statement Model'!H35/'3Statement Model'!H$13</f>
        <v>9.7030855812148264E-5</v>
      </c>
      <c r="I31" s="337">
        <f>'3Statement Model'!I35/'3Statement Model'!I$13</f>
        <v>4.8319893537808337E-3</v>
      </c>
      <c r="J31" s="337">
        <f>'3Statement Model'!J35/'3Statement Model'!J$13</f>
        <v>0</v>
      </c>
      <c r="K31" s="337">
        <f>'3Statement Model'!K35/'3Statement Model'!K$13</f>
        <v>0</v>
      </c>
      <c r="L31" s="337">
        <f>'3Statement Model'!L35/'3Statement Model'!L$13</f>
        <v>0</v>
      </c>
      <c r="M31" s="337">
        <f>'3Statement Model'!M35/'3Statement Model'!M$13</f>
        <v>0</v>
      </c>
      <c r="N31" s="337">
        <f>'3Statement Model'!N35/'3Statement Model'!N$13</f>
        <v>0</v>
      </c>
      <c r="O31" s="337">
        <f>'3Statement Model'!O35/'3Statement Model'!O$13</f>
        <v>0</v>
      </c>
      <c r="P31" s="337">
        <f>'3Statement Model'!P35/'3Statement Model'!P$13</f>
        <v>0</v>
      </c>
      <c r="Q31" s="337">
        <f>'3Statement Model'!Q35/'3Statement Model'!Q$13</f>
        <v>0</v>
      </c>
      <c r="R31" s="337">
        <f>'3Statement Model'!R35/'3Statement Model'!R$13</f>
        <v>0</v>
      </c>
      <c r="S31" s="337">
        <f>'3Statement Model'!S35/'3Statement Model'!S$13</f>
        <v>0</v>
      </c>
    </row>
    <row r="32" spans="2:19">
      <c r="B32" s="63"/>
      <c r="C32" s="74"/>
      <c r="D32" s="80"/>
      <c r="E32" s="80"/>
      <c r="F32" s="80"/>
      <c r="G32" s="80"/>
      <c r="H32" s="80"/>
      <c r="I32" s="80"/>
      <c r="J32" s="80"/>
      <c r="K32" s="80"/>
      <c r="L32" s="80"/>
      <c r="M32" s="80"/>
      <c r="N32" s="80"/>
      <c r="O32" s="80"/>
      <c r="P32" s="80"/>
      <c r="Q32" s="80"/>
      <c r="R32" s="80"/>
      <c r="S32" s="80"/>
    </row>
    <row r="33" spans="1:19">
      <c r="B33" s="79" t="s">
        <v>56</v>
      </c>
      <c r="C33" s="79"/>
      <c r="D33" s="549">
        <f>'3Statement Model'!D37/'3Statement Model'!D$13</f>
        <v>0.23057587411708519</v>
      </c>
      <c r="E33" s="549">
        <f>'3Statement Model'!E37/'3Statement Model'!E$13</f>
        <v>0.2255252190184571</v>
      </c>
      <c r="F33" s="549">
        <f>'3Statement Model'!F37/'3Statement Model'!F$13</f>
        <v>0.22640430156732638</v>
      </c>
      <c r="G33" s="549">
        <f>'3Statement Model'!G37/'3Statement Model'!G$13</f>
        <v>0.22041591021620729</v>
      </c>
      <c r="H33" s="549">
        <f>'3Statement Model'!H37/'3Statement Model'!H$13</f>
        <v>0.22423830778187465</v>
      </c>
      <c r="I33" s="549">
        <f>'3Statement Model'!I37/'3Statement Model'!I$13</f>
        <v>0.22837090667131382</v>
      </c>
      <c r="J33" s="549">
        <f>'3Statement Model'!J37/'3Statement Model'!J$13</f>
        <v>0.21862126195643797</v>
      </c>
      <c r="K33" s="549">
        <f>'3Statement Model'!K37/'3Statement Model'!K$13</f>
        <v>0.21915103991775886</v>
      </c>
      <c r="L33" s="549">
        <f>'3Statement Model'!L37/'3Statement Model'!L$13</f>
        <v>0.21982501170580554</v>
      </c>
      <c r="M33" s="549">
        <f>'3Statement Model'!M37/'3Statement Model'!M$13</f>
        <v>0.22063379778071568</v>
      </c>
      <c r="N33" s="549">
        <f>'3Statement Model'!N37/'3Statement Model'!N$13</f>
        <v>0.22156844859620795</v>
      </c>
      <c r="O33" s="549">
        <f>'3Statement Model'!O37/'3Statement Model'!O$13</f>
        <v>0.22036785958430763</v>
      </c>
      <c r="P33" s="549">
        <f>'3Statement Model'!P37/'3Statement Model'!P$13</f>
        <v>0.21925190162498084</v>
      </c>
      <c r="Q33" s="549">
        <f>'3Statement Model'!Q37/'3Statement Model'!Q$13</f>
        <v>0.21816447233888056</v>
      </c>
      <c r="R33" s="549">
        <f>'3Statement Model'!R37/'3Statement Model'!R$13</f>
        <v>0.21709319946995093</v>
      </c>
      <c r="S33" s="549">
        <f>'3Statement Model'!S37/'3Statement Model'!S$13</f>
        <v>0.21602790090784649</v>
      </c>
    </row>
    <row r="34" spans="1:19">
      <c r="B34" s="72"/>
      <c r="C34" s="72"/>
      <c r="D34" s="80"/>
      <c r="E34" s="80"/>
      <c r="F34" s="80"/>
      <c r="G34" s="80"/>
      <c r="H34" s="80"/>
      <c r="I34" s="80"/>
      <c r="J34" s="369"/>
      <c r="K34" s="369"/>
      <c r="L34" s="369"/>
      <c r="M34" s="369"/>
      <c r="N34" s="369"/>
      <c r="O34" s="369"/>
      <c r="P34" s="369"/>
      <c r="Q34" s="369"/>
      <c r="R34" s="369"/>
      <c r="S34" s="369"/>
    </row>
    <row r="35" spans="1:19">
      <c r="B35" s="74" t="s">
        <v>237</v>
      </c>
      <c r="C35" s="74"/>
      <c r="D35" s="337">
        <f>'3Statement Model'!D39/'3Statement Model'!D$13</f>
        <v>-6.0553502752431945E-2</v>
      </c>
      <c r="E35" s="337">
        <f>'3Statement Model'!E39/'3Statement Model'!E$13</f>
        <v>-5.5413796036403846E-2</v>
      </c>
      <c r="F35" s="337">
        <f>'3Statement Model'!F39/'3Statement Model'!F$13</f>
        <v>-5.6953819166380655E-2</v>
      </c>
      <c r="G35" s="337">
        <f>'3Statement Model'!G39/'3Statement Model'!G$13</f>
        <v>-5.2830500082521867E-2</v>
      </c>
      <c r="H35" s="337">
        <f>'3Statement Model'!H39/'3Statement Model'!H$13</f>
        <v>-5.8930073096578044E-2</v>
      </c>
      <c r="I35" s="337">
        <f>'3Statement Model'!I39/'3Statement Model'!I$13</f>
        <v>-5.9314649641165382E-2</v>
      </c>
      <c r="J35" s="337">
        <f>'3Statement Model'!J39/'3Statement Model'!J$13</f>
        <v>-6.5586378586931393E-2</v>
      </c>
      <c r="K35" s="337">
        <f>'3Statement Model'!K39/'3Statement Model'!K$13</f>
        <v>-6.5745311975327653E-2</v>
      </c>
      <c r="L35" s="337">
        <f>'3Statement Model'!L39/'3Statement Model'!L$13</f>
        <v>-6.5947503511741654E-2</v>
      </c>
      <c r="M35" s="337">
        <f>'3Statement Model'!M39/'3Statement Model'!M$13</f>
        <v>-6.6190139334214707E-2</v>
      </c>
      <c r="N35" s="337">
        <f>'3Statement Model'!N39/'3Statement Model'!N$13</f>
        <v>-6.6470534578862386E-2</v>
      </c>
      <c r="O35" s="337">
        <f>'3Statement Model'!O39/'3Statement Model'!O$13</f>
        <v>-6.6110357875292292E-2</v>
      </c>
      <c r="P35" s="337">
        <f>'3Statement Model'!P39/'3Statement Model'!P$13</f>
        <v>-6.5775570487494245E-2</v>
      </c>
      <c r="Q35" s="337">
        <f>'3Statement Model'!Q39/'3Statement Model'!Q$13</f>
        <v>-6.5449341701664165E-2</v>
      </c>
      <c r="R35" s="337">
        <f>'3Statement Model'!R39/'3Statement Model'!R$13</f>
        <v>-6.5127959840985267E-2</v>
      </c>
      <c r="S35" s="337">
        <f>'3Statement Model'!S39/'3Statement Model'!S$13</f>
        <v>-6.4808370272353949E-2</v>
      </c>
    </row>
    <row r="36" spans="1:19" ht="15" thickBot="1">
      <c r="B36" s="76" t="s">
        <v>0</v>
      </c>
      <c r="C36" s="76"/>
      <c r="D36" s="551">
        <f>'3Statement Model'!D40/'3Statement Model'!D$13</f>
        <v>0.17002237136465326</v>
      </c>
      <c r="E36" s="551">
        <f>'3Statement Model'!E40/'3Statement Model'!E$13</f>
        <v>0.17011142298205326</v>
      </c>
      <c r="F36" s="551">
        <f>'3Statement Model'!F40/'3Statement Model'!F$13</f>
        <v>0.16945048240094573</v>
      </c>
      <c r="G36" s="551">
        <f>'3Statement Model'!G40/'3Statement Model'!G$13</f>
        <v>0.16758541013368541</v>
      </c>
      <c r="H36" s="551">
        <f>'3Statement Model'!H40/'3Statement Model'!H$13</f>
        <v>0.1653082346852966</v>
      </c>
      <c r="I36" s="551">
        <f>'3Statement Model'!I40/'3Statement Model'!I$13</f>
        <v>0.16905625703014845</v>
      </c>
      <c r="J36" s="551">
        <f>'3Statement Model'!J40/'3Statement Model'!J$13</f>
        <v>0.15303488336950657</v>
      </c>
      <c r="K36" s="551">
        <f>'3Statement Model'!K40/'3Statement Model'!K$13</f>
        <v>0.15340572794243121</v>
      </c>
      <c r="L36" s="551">
        <f>'3Statement Model'!L40/'3Statement Model'!L$13</f>
        <v>0.15387750819406387</v>
      </c>
      <c r="M36" s="551">
        <f>'3Statement Model'!M40/'3Statement Model'!M$13</f>
        <v>0.15444365844650096</v>
      </c>
      <c r="N36" s="551">
        <f>'3Statement Model'!N40/'3Statement Model'!N$13</f>
        <v>0.15509791401734557</v>
      </c>
      <c r="O36" s="551">
        <f>'3Statement Model'!O40/'3Statement Model'!O$13</f>
        <v>0.15425750170901534</v>
      </c>
      <c r="P36" s="551">
        <f>'3Statement Model'!P40/'3Statement Model'!P$13</f>
        <v>0.1534763311374866</v>
      </c>
      <c r="Q36" s="551">
        <f>'3Statement Model'!Q40/'3Statement Model'!Q$13</f>
        <v>0.15271513063721637</v>
      </c>
      <c r="R36" s="551">
        <f>'3Statement Model'!R40/'3Statement Model'!R$13</f>
        <v>0.15196523962896563</v>
      </c>
      <c r="S36" s="551">
        <f>'3Statement Model'!S40/'3Statement Model'!S$13</f>
        <v>0.15121953063549254</v>
      </c>
    </row>
    <row r="37" spans="1:19">
      <c r="D37" s="369"/>
      <c r="E37" s="369"/>
      <c r="F37" s="369"/>
      <c r="G37" s="369"/>
      <c r="H37" s="369"/>
      <c r="I37" s="369"/>
      <c r="J37" s="369"/>
      <c r="K37" s="369"/>
      <c r="L37" s="369"/>
      <c r="M37" s="369"/>
      <c r="N37" s="369"/>
      <c r="O37" s="369"/>
      <c r="P37" s="369"/>
      <c r="Q37" s="369"/>
      <c r="R37" s="369"/>
      <c r="S37" s="369"/>
    </row>
    <row r="38" spans="1:19" ht="18">
      <c r="A38" t="s">
        <v>27</v>
      </c>
      <c r="B38" s="68" t="s">
        <v>71</v>
      </c>
      <c r="C38" s="68"/>
      <c r="D38" s="552"/>
      <c r="E38" s="552"/>
      <c r="F38" s="553"/>
      <c r="G38" s="554"/>
      <c r="H38" s="554"/>
      <c r="I38" s="554"/>
      <c r="J38" s="554"/>
      <c r="K38" s="554"/>
      <c r="L38" s="554"/>
      <c r="M38" s="554"/>
      <c r="N38" s="554"/>
      <c r="O38" s="554"/>
      <c r="P38" s="554"/>
      <c r="Q38" s="554"/>
      <c r="R38" s="554"/>
      <c r="S38" s="554"/>
    </row>
    <row r="39" spans="1:19">
      <c r="D39" s="369"/>
      <c r="E39" s="369"/>
      <c r="F39" s="369"/>
      <c r="G39" s="369"/>
      <c r="H39" s="369"/>
      <c r="I39" s="369"/>
      <c r="J39" s="369"/>
      <c r="K39" s="369"/>
      <c r="L39" s="369"/>
      <c r="M39" s="369"/>
      <c r="N39" s="369"/>
      <c r="O39" s="369"/>
      <c r="P39" s="369"/>
      <c r="Q39" s="369"/>
      <c r="R39" s="369"/>
      <c r="S39" s="369"/>
    </row>
    <row r="40" spans="1:19">
      <c r="B40" s="115" t="s">
        <v>163</v>
      </c>
      <c r="C40" s="12"/>
      <c r="D40" s="80"/>
      <c r="E40" s="80"/>
      <c r="F40" s="80"/>
      <c r="G40" s="80"/>
      <c r="H40" s="80"/>
      <c r="I40" s="80"/>
      <c r="J40" s="369"/>
      <c r="K40" s="369"/>
      <c r="L40" s="369"/>
      <c r="M40" s="369"/>
      <c r="N40" s="369"/>
      <c r="O40" s="369"/>
      <c r="P40" s="369"/>
      <c r="Q40" s="369"/>
      <c r="R40" s="369"/>
      <c r="S40" s="369"/>
    </row>
    <row r="41" spans="1:19">
      <c r="B41" s="115" t="s">
        <v>164</v>
      </c>
      <c r="C41" s="74"/>
      <c r="D41" s="80"/>
      <c r="E41" s="80"/>
      <c r="F41" s="80"/>
      <c r="G41" s="80"/>
      <c r="H41" s="80"/>
      <c r="I41" s="80"/>
      <c r="J41" s="80"/>
      <c r="K41" s="80"/>
      <c r="L41" s="80"/>
      <c r="M41" s="80"/>
      <c r="N41" s="80"/>
      <c r="O41" s="80"/>
      <c r="P41" s="80"/>
      <c r="Q41" s="80"/>
      <c r="R41" s="80"/>
      <c r="S41" s="80"/>
    </row>
    <row r="42" spans="1:19">
      <c r="B42" s="118" t="s">
        <v>165</v>
      </c>
      <c r="C42" s="74"/>
      <c r="D42" s="337">
        <f>'3Statement Model'!D53/'3Statement Model'!D$79</f>
        <v>1.0718007244578972E-2</v>
      </c>
      <c r="E42" s="337">
        <f>'3Statement Model'!E53/'3Statement Model'!E$79</f>
        <v>3.4178338205564525E-3</v>
      </c>
      <c r="F42" s="337">
        <f>'3Statement Model'!F53/'3Statement Model'!F$79</f>
        <v>3.3325297446005929E-3</v>
      </c>
      <c r="G42" s="337">
        <f>'3Statement Model'!G53/'3Statement Model'!G$79</f>
        <v>3.2153460943806695E-3</v>
      </c>
      <c r="H42" s="337">
        <f>'3Statement Model'!H53/'3Statement Model'!H$79</f>
        <v>2.9936687091555308E-3</v>
      </c>
      <c r="I42" s="337">
        <f>'3Statement Model'!I53/'3Statement Model'!I$79</f>
        <v>2.9419128693039557E-3</v>
      </c>
      <c r="J42" s="337">
        <f>'3Statement Model'!J53/'3Statement Model'!J$79</f>
        <v>2.7724532502945739E-3</v>
      </c>
      <c r="K42" s="337">
        <f>'3Statement Model'!K53/'3Statement Model'!K$79</f>
        <v>2.6986618424981166E-3</v>
      </c>
      <c r="L42" s="337">
        <f>'3Statement Model'!L53/'3Statement Model'!L$79</f>
        <v>2.6296775171648062E-3</v>
      </c>
      <c r="M42" s="337">
        <f>'3Statement Model'!M53/'3Statement Model'!M$79</f>
        <v>2.5657366884741461E-3</v>
      </c>
      <c r="N42" s="337">
        <f>'3Statement Model'!N53/'3Statement Model'!N$79</f>
        <v>2.5071437774569797E-3</v>
      </c>
      <c r="O42" s="337">
        <f>'3Statement Model'!O53/'3Statement Model'!O$79</f>
        <v>2.4516270300378984E-3</v>
      </c>
      <c r="P42" s="337">
        <f>'3Statement Model'!P53/'3Statement Model'!P$79</f>
        <v>2.4031667798862948E-3</v>
      </c>
      <c r="Q42" s="337">
        <f>'3Statement Model'!Q53/'3Statement Model'!Q$79</f>
        <v>2.3647785177122265E-3</v>
      </c>
      <c r="R42" s="337">
        <f>'3Statement Model'!R53/'3Statement Model'!R$79</f>
        <v>2.3373138849199114E-3</v>
      </c>
      <c r="S42" s="337">
        <f>'3Statement Model'!S53/'3Statement Model'!S$79</f>
        <v>2.3217446456498753E-3</v>
      </c>
    </row>
    <row r="43" spans="1:19">
      <c r="B43" s="118" t="s">
        <v>193</v>
      </c>
      <c r="C43" s="74"/>
      <c r="D43" s="337">
        <f>'3Statement Model'!D54/'3Statement Model'!D$79</f>
        <v>0.39760829653153379</v>
      </c>
      <c r="E43" s="337">
        <f>'3Statement Model'!E54/'3Statement Model'!E$79</f>
        <v>0.68995156856756401</v>
      </c>
      <c r="F43" s="337">
        <f>'3Statement Model'!F54/'3Statement Model'!F$79</f>
        <v>0.692400414084547</v>
      </c>
      <c r="G43" s="337">
        <f>'3Statement Model'!G54/'3Statement Model'!G$79</f>
        <v>0.68506027063636488</v>
      </c>
      <c r="H43" s="337">
        <f>'3Statement Model'!H54/'3Statement Model'!H$79</f>
        <v>0.64947324169734644</v>
      </c>
      <c r="I43" s="337">
        <f>'3Statement Model'!I54/'3Statement Model'!I$79</f>
        <v>0.61551076614922384</v>
      </c>
      <c r="J43" s="337">
        <f>'3Statement Model'!J54/'3Statement Model'!J$79</f>
        <v>0.59244354373584418</v>
      </c>
      <c r="K43" s="337">
        <f>'3Statement Model'!K54/'3Statement Model'!K$79</f>
        <v>0.5871939806379789</v>
      </c>
      <c r="L43" s="337">
        <f>'3Statement Model'!L54/'3Statement Model'!L$79</f>
        <v>0.58057906952440641</v>
      </c>
      <c r="M43" s="337">
        <f>'3Statement Model'!M54/'3Statement Model'!M$79</f>
        <v>0.57243397526692086</v>
      </c>
      <c r="N43" s="337">
        <f>'3Statement Model'!N54/'3Statement Model'!N$79</f>
        <v>0.56255649158984089</v>
      </c>
      <c r="O43" s="337">
        <f>'3Statement Model'!O54/'3Statement Model'!O$79</f>
        <v>0.55009956473411981</v>
      </c>
      <c r="P43" s="337">
        <f>'3Statement Model'!P54/'3Statement Model'!P$79</f>
        <v>0.53562100823753545</v>
      </c>
      <c r="Q43" s="337">
        <f>'3Statement Model'!Q54/'3Statement Model'!Q$79</f>
        <v>0.51940598951360983</v>
      </c>
      <c r="R43" s="337">
        <f>'3Statement Model'!R54/'3Statement Model'!R$79</f>
        <v>0.50117271611952385</v>
      </c>
      <c r="S43" s="337">
        <f>'3Statement Model'!S54/'3Statement Model'!S$79</f>
        <v>0.48055147293883899</v>
      </c>
    </row>
    <row r="44" spans="1:19">
      <c r="B44" s="131" t="s">
        <v>194</v>
      </c>
      <c r="C44" s="306"/>
      <c r="D44" s="549">
        <f>'3Statement Model'!D55/'3Statement Model'!D$79</f>
        <v>0.40832630377611273</v>
      </c>
      <c r="E44" s="549">
        <f>'3Statement Model'!E55/'3Statement Model'!E$79</f>
        <v>0.6933694023881205</v>
      </c>
      <c r="F44" s="549">
        <f>'3Statement Model'!F55/'3Statement Model'!F$79</f>
        <v>0.69573294382914763</v>
      </c>
      <c r="G44" s="549">
        <f>'3Statement Model'!G55/'3Statement Model'!G$79</f>
        <v>0.68827561673074555</v>
      </c>
      <c r="H44" s="549">
        <f>'3Statement Model'!H55/'3Statement Model'!H$79</f>
        <v>0.65246691040650195</v>
      </c>
      <c r="I44" s="549">
        <f>'3Statement Model'!I55/'3Statement Model'!I$79</f>
        <v>0.61845267901852774</v>
      </c>
      <c r="J44" s="549">
        <f>'3Statement Model'!J55/'3Statement Model'!J$79</f>
        <v>0.59521599698613881</v>
      </c>
      <c r="K44" s="549">
        <f>'3Statement Model'!K55/'3Statement Model'!K$79</f>
        <v>0.58989264248047701</v>
      </c>
      <c r="L44" s="549">
        <f>'3Statement Model'!L55/'3Statement Model'!L$79</f>
        <v>0.58320874704157122</v>
      </c>
      <c r="M44" s="549">
        <f>'3Statement Model'!M55/'3Statement Model'!M$79</f>
        <v>0.57499971195539501</v>
      </c>
      <c r="N44" s="549">
        <f>'3Statement Model'!N55/'3Statement Model'!N$79</f>
        <v>0.56506363536729787</v>
      </c>
      <c r="O44" s="549">
        <f>'3Statement Model'!O55/'3Statement Model'!O$79</f>
        <v>0.55255119176415768</v>
      </c>
      <c r="P44" s="549">
        <f>'3Statement Model'!P55/'3Statement Model'!P$79</f>
        <v>0.53802417501742172</v>
      </c>
      <c r="Q44" s="549">
        <f>'3Statement Model'!Q55/'3Statement Model'!Q$79</f>
        <v>0.52177076803132205</v>
      </c>
      <c r="R44" s="549">
        <f>'3Statement Model'!R55/'3Statement Model'!R$79</f>
        <v>0.50351003000444383</v>
      </c>
      <c r="S44" s="549">
        <f>'3Statement Model'!S55/'3Statement Model'!S$79</f>
        <v>0.48287321758448881</v>
      </c>
    </row>
    <row r="45" spans="1:19">
      <c r="B45" s="118" t="s">
        <v>166</v>
      </c>
      <c r="C45" s="74"/>
      <c r="D45" s="337">
        <f>'3Statement Model'!D56/'3Statement Model'!D$79</f>
        <v>8.4354686647149311E-4</v>
      </c>
      <c r="E45" s="337">
        <f>'3Statement Model'!E56/'3Statement Model'!E$79</f>
        <v>2.9087947408991085E-4</v>
      </c>
      <c r="F45" s="337">
        <f>'3Statement Model'!F56/'3Statement Model'!F$79</f>
        <v>3.6870541855155495E-4</v>
      </c>
      <c r="G45" s="337">
        <f>'3Statement Model'!G56/'3Statement Model'!G$79</f>
        <v>2.9827465896807913E-3</v>
      </c>
      <c r="H45" s="337">
        <f>'3Statement Model'!H56/'3Statement Model'!H$79</f>
        <v>2.611498235646314E-3</v>
      </c>
      <c r="I45" s="337">
        <f>'3Statement Model'!I56/'3Statement Model'!I$79</f>
        <v>2.5913870806209315E-3</v>
      </c>
      <c r="J45" s="337">
        <f>'3Statement Model'!J56/'3Statement Model'!J$79</f>
        <v>2.442118394940327E-3</v>
      </c>
      <c r="K45" s="337">
        <f>'3Statement Model'!K56/'3Statement Model'!K$79</f>
        <v>2.37711915488132E-3</v>
      </c>
      <c r="L45" s="337">
        <f>'3Statement Model'!L56/'3Statement Model'!L$79</f>
        <v>2.316354238523893E-3</v>
      </c>
      <c r="M45" s="337">
        <f>'3Statement Model'!M56/'3Statement Model'!M$79</f>
        <v>2.2600318915495668E-3</v>
      </c>
      <c r="N45" s="337">
        <f>'3Statement Model'!N56/'3Statement Model'!N$79</f>
        <v>2.2084202635472118E-3</v>
      </c>
      <c r="O45" s="337">
        <f>'3Statement Model'!O56/'3Statement Model'!O$79</f>
        <v>2.1595182775227444E-3</v>
      </c>
      <c r="P45" s="337">
        <f>'3Statement Model'!P56/'3Statement Model'!P$79</f>
        <v>2.116832014623247E-3</v>
      </c>
      <c r="Q45" s="337">
        <f>'3Statement Model'!Q56/'3Statement Model'!Q$79</f>
        <v>2.0830176730486419E-3</v>
      </c>
      <c r="R45" s="337">
        <f>'3Statement Model'!R56/'3Statement Model'!R$79</f>
        <v>2.0588254220358366E-3</v>
      </c>
      <c r="S45" s="337">
        <f>'3Statement Model'!S56/'3Statement Model'!S$79</f>
        <v>2.0451112410618051E-3</v>
      </c>
    </row>
    <row r="46" spans="1:19">
      <c r="B46" s="120" t="s">
        <v>195</v>
      </c>
      <c r="C46" s="153"/>
      <c r="D46" s="550">
        <f>'3Statement Model'!D57/'3Statement Model'!D$79</f>
        <v>0.40916985064258421</v>
      </c>
      <c r="E46" s="550">
        <f>'3Statement Model'!E57/'3Statement Model'!E$79</f>
        <v>0.6936602818622104</v>
      </c>
      <c r="F46" s="550">
        <f>'3Statement Model'!F57/'3Statement Model'!F$79</f>
        <v>0.69610164924769913</v>
      </c>
      <c r="G46" s="550">
        <f>'3Statement Model'!G57/'3Statement Model'!G$79</f>
        <v>0.69125836332042634</v>
      </c>
      <c r="H46" s="550">
        <f>'3Statement Model'!H57/'3Statement Model'!H$79</f>
        <v>0.65507840864214828</v>
      </c>
      <c r="I46" s="550">
        <f>'3Statement Model'!I57/'3Statement Model'!I$79</f>
        <v>0.62104406609914875</v>
      </c>
      <c r="J46" s="550">
        <f>'3Statement Model'!J57/'3Statement Model'!J$79</f>
        <v>0.59765811538107916</v>
      </c>
      <c r="K46" s="550">
        <f>'3Statement Model'!K57/'3Statement Model'!K$79</f>
        <v>0.59226976163535838</v>
      </c>
      <c r="L46" s="550">
        <f>'3Statement Model'!L57/'3Statement Model'!L$79</f>
        <v>0.58552510128009516</v>
      </c>
      <c r="M46" s="550">
        <f>'3Statement Model'!M57/'3Statement Model'!M$79</f>
        <v>0.57725974384694456</v>
      </c>
      <c r="N46" s="550">
        <f>'3Statement Model'!N57/'3Statement Model'!N$79</f>
        <v>0.56727205563084515</v>
      </c>
      <c r="O46" s="550">
        <f>'3Statement Model'!O57/'3Statement Model'!O$79</f>
        <v>0.55471071004168049</v>
      </c>
      <c r="P46" s="550">
        <f>'3Statement Model'!P57/'3Statement Model'!P$79</f>
        <v>0.54014100703204504</v>
      </c>
      <c r="Q46" s="550">
        <f>'3Statement Model'!Q57/'3Statement Model'!Q$79</f>
        <v>0.52385378570437069</v>
      </c>
      <c r="R46" s="550">
        <f>'3Statement Model'!R57/'3Statement Model'!R$79</f>
        <v>0.50556885542647967</v>
      </c>
      <c r="S46" s="550">
        <f>'3Statement Model'!S57/'3Statement Model'!S$79</f>
        <v>0.48491832882555064</v>
      </c>
    </row>
    <row r="47" spans="1:19">
      <c r="B47" s="11"/>
      <c r="C47" s="72"/>
      <c r="D47" s="555"/>
      <c r="E47" s="555"/>
      <c r="F47" s="337"/>
      <c r="G47" s="337"/>
      <c r="H47" s="337"/>
      <c r="I47" s="337"/>
      <c r="J47" s="337"/>
      <c r="K47" s="337"/>
      <c r="L47" s="337"/>
      <c r="M47" s="337"/>
      <c r="N47" s="337"/>
      <c r="O47" s="337"/>
      <c r="P47" s="337"/>
      <c r="Q47" s="337"/>
      <c r="R47" s="337"/>
      <c r="S47" s="337"/>
    </row>
    <row r="48" spans="1:19">
      <c r="B48" s="115" t="s">
        <v>167</v>
      </c>
      <c r="C48" s="74"/>
      <c r="D48" s="556"/>
      <c r="E48" s="556"/>
      <c r="F48" s="337"/>
      <c r="G48" s="337"/>
      <c r="H48" s="337"/>
      <c r="I48" s="337"/>
      <c r="J48" s="337"/>
      <c r="K48" s="337"/>
      <c r="L48" s="337"/>
      <c r="M48" s="337"/>
      <c r="N48" s="337"/>
      <c r="O48" s="337"/>
      <c r="P48" s="337"/>
      <c r="Q48" s="337"/>
      <c r="R48" s="337"/>
      <c r="S48" s="337"/>
    </row>
    <row r="49" spans="2:19">
      <c r="B49" s="118" t="s">
        <v>196</v>
      </c>
      <c r="C49" s="74"/>
      <c r="D49" s="556"/>
      <c r="E49" s="556"/>
      <c r="F49" s="337"/>
      <c r="G49" s="337"/>
      <c r="H49" s="337"/>
      <c r="I49" s="337"/>
      <c r="J49" s="337"/>
      <c r="K49" s="337"/>
      <c r="L49" s="337"/>
      <c r="M49" s="337"/>
      <c r="N49" s="337"/>
      <c r="O49" s="337"/>
      <c r="P49" s="337"/>
      <c r="Q49" s="337"/>
      <c r="R49" s="337"/>
      <c r="S49" s="337"/>
    </row>
    <row r="50" spans="2:19">
      <c r="B50" s="121" t="s">
        <v>676</v>
      </c>
      <c r="C50" s="74"/>
      <c r="D50" s="337">
        <f>'3Statement Model'!D61/'3Statement Model'!D$79</f>
        <v>0</v>
      </c>
      <c r="E50" s="337">
        <f>'3Statement Model'!E61/'3Statement Model'!E$79</f>
        <v>0</v>
      </c>
      <c r="F50" s="337">
        <f>'3Statement Model'!F61/'3Statement Model'!F$79</f>
        <v>1.0508104428719316E-2</v>
      </c>
      <c r="G50" s="337">
        <f>'3Statement Model'!G61/'3Statement Model'!G$79</f>
        <v>1.1041635311341278E-2</v>
      </c>
      <c r="H50" s="337">
        <f>'3Statement Model'!H61/'3Statement Model'!H$79</f>
        <v>1.4089351456706456E-2</v>
      </c>
      <c r="I50" s="337">
        <f>'3Statement Model'!I61/'3Statement Model'!I$79</f>
        <v>1.556084126189284E-2</v>
      </c>
      <c r="J50" s="337">
        <f>'3Statement Model'!J61/'3Statement Model'!J$79</f>
        <v>1.6188904300050717E-2</v>
      </c>
      <c r="K50" s="337">
        <f>'3Statement Model'!K61/'3Statement Model'!K$79</f>
        <v>1.7142237735239377E-2</v>
      </c>
      <c r="L50" s="337">
        <f>'3Statement Model'!L61/'3Statement Model'!L$79</f>
        <v>1.8185866749131634E-2</v>
      </c>
      <c r="M50" s="337">
        <f>'3Statement Model'!M61/'3Statement Model'!M$79</f>
        <v>1.9333051349730145E-2</v>
      </c>
      <c r="N50" s="337">
        <f>'3Statement Model'!N61/'3Statement Model'!N$79</f>
        <v>2.0599945481652653E-2</v>
      </c>
      <c r="O50" s="337">
        <f>'3Statement Model'!O61/'3Statement Model'!O$79</f>
        <v>2.198257038903215E-2</v>
      </c>
      <c r="P50" s="337">
        <f>'3Statement Model'!P61/'3Statement Model'!P$79</f>
        <v>2.3488811084099118E-2</v>
      </c>
      <c r="Q50" s="337">
        <f>'3Statement Model'!Q61/'3Statement Model'!Q$79</f>
        <v>2.50760738645588E-2</v>
      </c>
      <c r="R50" s="337">
        <f>'3Statement Model'!R61/'3Statement Model'!R$79</f>
        <v>2.6762417020233905E-2</v>
      </c>
      <c r="S50" s="337">
        <f>'3Statement Model'!S61/'3Statement Model'!S$79</f>
        <v>2.8572446467898215E-2</v>
      </c>
    </row>
    <row r="51" spans="2:19">
      <c r="B51" s="121" t="s">
        <v>679</v>
      </c>
      <c r="C51" s="74"/>
      <c r="D51" s="337">
        <f>'3Statement Model'!D62/'3Statement Model'!D$79</f>
        <v>4.6593559271572473E-2</v>
      </c>
      <c r="E51" s="337">
        <f>'3Statement Model'!E62/'3Statement Model'!E$79</f>
        <v>1.4936660994516921E-2</v>
      </c>
      <c r="F51" s="337">
        <f>'3Statement Model'!F62/'3Statement Model'!F$79</f>
        <v>5.0626090162655809E-3</v>
      </c>
      <c r="G51" s="337">
        <f>'3Statement Model'!G62/'3Statement Model'!G$79</f>
        <v>1.1766798473052663E-2</v>
      </c>
      <c r="H51" s="337">
        <f>'3Statement Model'!H62/'3Statement Model'!H$79</f>
        <v>9.1083962853029977E-3</v>
      </c>
      <c r="I51" s="337">
        <f>'3Statement Model'!I62/'3Statement Model'!I$79</f>
        <v>8.5127691537305959E-3</v>
      </c>
      <c r="J51" s="337">
        <f>'3Statement Model'!J62/'3Statement Model'!J$79</f>
        <v>8.022417915746002E-3</v>
      </c>
      <c r="K51" s="337">
        <f>'3Statement Model'!K62/'3Statement Model'!K$79</f>
        <v>7.8088938421222104E-3</v>
      </c>
      <c r="L51" s="337">
        <f>'3Statement Model'!L62/'3Statement Model'!L$79</f>
        <v>7.6092796241364604E-3</v>
      </c>
      <c r="M51" s="337">
        <f>'3Statement Model'!M62/'3Statement Model'!M$79</f>
        <v>7.4242593538826349E-3</v>
      </c>
      <c r="N51" s="337">
        <f>'3Statement Model'!N62/'3Statement Model'!N$79</f>
        <v>7.2547139092372179E-3</v>
      </c>
      <c r="O51" s="337">
        <f>'3Statement Model'!O62/'3Statement Model'!O$79</f>
        <v>7.0940697039394507E-3</v>
      </c>
      <c r="P51" s="337">
        <f>'3Statement Model'!P62/'3Statement Model'!P$79</f>
        <v>6.9538442992454494E-3</v>
      </c>
      <c r="Q51" s="337">
        <f>'3Statement Model'!Q62/'3Statement Model'!Q$79</f>
        <v>6.8427633704013354E-3</v>
      </c>
      <c r="R51" s="337">
        <f>'3Statement Model'!R62/'3Statement Model'!R$79</f>
        <v>6.7632912414703813E-3</v>
      </c>
      <c r="S51" s="337">
        <f>'3Statement Model'!S62/'3Statement Model'!S$79</f>
        <v>6.7182398257102779E-3</v>
      </c>
    </row>
    <row r="52" spans="2:19">
      <c r="B52" s="118" t="s">
        <v>681</v>
      </c>
      <c r="C52" s="152"/>
      <c r="D52" s="337">
        <f>'3Statement Model'!D63/'3Statement Model'!D$79</f>
        <v>6.0884235597677763E-2</v>
      </c>
      <c r="E52" s="337">
        <f>'3Statement Model'!E63/'3Statement Model'!E$79</f>
        <v>2.2950390505693967E-2</v>
      </c>
      <c r="F52" s="337">
        <f>'3Statement Model'!F63/'3Statement Model'!F$79</f>
        <v>2.2405944665825264E-2</v>
      </c>
      <c r="G52" s="337">
        <f>'3Statement Model'!G63/'3Statement Model'!G$79</f>
        <v>1.8649007347407882E-2</v>
      </c>
      <c r="H52" s="337">
        <f>'3Statement Model'!H63/'3Statement Model'!H$79</f>
        <v>2.0076688875017516E-2</v>
      </c>
      <c r="I52" s="337">
        <f>'3Statement Model'!I63/'3Statement Model'!I$79</f>
        <v>1.9128693039559341E-2</v>
      </c>
      <c r="J52" s="337">
        <f>'3Statement Model'!J63/'3Statement Model'!J$79</f>
        <v>1.8026844963617485E-2</v>
      </c>
      <c r="K52" s="337">
        <f>'3Statement Model'!K63/'3Statement Model'!K$79</f>
        <v>1.7547043809945203E-2</v>
      </c>
      <c r="L52" s="337">
        <f>'3Statement Model'!L63/'3Statement Model'!L$79</f>
        <v>1.7098498920118398E-2</v>
      </c>
      <c r="M52" s="337">
        <f>'3Statement Model'!M63/'3Statement Model'!M$79</f>
        <v>1.6682747489312744E-2</v>
      </c>
      <c r="N52" s="337">
        <f>'3Statement Model'!N63/'3Statement Model'!N$79</f>
        <v>1.6301768901933043E-2</v>
      </c>
      <c r="O52" s="337">
        <f>'3Statement Model'!O63/'3Statement Model'!O$79</f>
        <v>1.5940791922969825E-2</v>
      </c>
      <c r="P52" s="337">
        <f>'3Statement Model'!P63/'3Statement Model'!P$79</f>
        <v>1.5625697190069187E-2</v>
      </c>
      <c r="Q52" s="337">
        <f>'3Statement Model'!Q63/'3Statement Model'!Q$79</f>
        <v>1.5376091808784178E-2</v>
      </c>
      <c r="R52" s="337">
        <f>'3Statement Model'!R63/'3Statement Model'!R$79</f>
        <v>1.519751326024521E-2</v>
      </c>
      <c r="S52" s="337">
        <f>'3Statement Model'!S63/'3Statement Model'!S$79</f>
        <v>1.5096280078948978E-2</v>
      </c>
    </row>
    <row r="53" spans="2:19">
      <c r="B53" s="118" t="s">
        <v>168</v>
      </c>
      <c r="C53" s="74"/>
      <c r="D53" s="337">
        <f>'3Statement Model'!D64/'3Statement Model'!D$79</f>
        <v>0</v>
      </c>
      <c r="E53" s="337">
        <f>'3Statement Model'!E64/'3Statement Model'!E$79</f>
        <v>8.7089314542519308E-2</v>
      </c>
      <c r="F53" s="337">
        <f>'3Statement Model'!F64/'3Statement Model'!F$79</f>
        <v>8.7085383666349964E-2</v>
      </c>
      <c r="G53" s="337">
        <f>'3Statement Model'!G64/'3Statement Model'!G$79</f>
        <v>8.7854201157524597E-2</v>
      </c>
      <c r="H53" s="337">
        <f>'3Statement Model'!H64/'3Statement Model'!H$79</f>
        <v>8.3529726493331125E-2</v>
      </c>
      <c r="I53" s="337">
        <f>'3Statement Model'!I64/'3Statement Model'!I$79</f>
        <v>8.3688032048072111E-2</v>
      </c>
      <c r="J53" s="337">
        <f>'3Statement Model'!J64/'3Statement Model'!J$79</f>
        <v>7.8867446715826503E-2</v>
      </c>
      <c r="K53" s="337">
        <f>'3Statement Model'!K64/'3Statement Model'!K$79</f>
        <v>7.676831666851025E-2</v>
      </c>
      <c r="L53" s="337">
        <f>'3Statement Model'!L64/'3Statement Model'!L$79</f>
        <v>7.4805932775518003E-2</v>
      </c>
      <c r="M53" s="337">
        <f>'3Statement Model'!M64/'3Statement Model'!M$79</f>
        <v>7.298702026574326E-2</v>
      </c>
      <c r="N53" s="337">
        <f>'3Statement Model'!N64/'3Statement Model'!N$79</f>
        <v>7.1320238945957057E-2</v>
      </c>
      <c r="O53" s="337">
        <f>'3Statement Model'!O64/'3Statement Model'!O$79</f>
        <v>6.9740964662992982E-2</v>
      </c>
      <c r="P53" s="337">
        <f>'3Statement Model'!P64/'3Statement Model'!P$79</f>
        <v>6.8362425206552682E-2</v>
      </c>
      <c r="Q53" s="337">
        <f>'3Statement Model'!Q64/'3Statement Model'!Q$79</f>
        <v>6.7270401663430776E-2</v>
      </c>
      <c r="R53" s="337">
        <f>'3Statement Model'!R64/'3Statement Model'!R$79</f>
        <v>6.6489120513572794E-2</v>
      </c>
      <c r="S53" s="337">
        <f>'3Statement Model'!S64/'3Statement Model'!S$79</f>
        <v>6.6046225345401777E-2</v>
      </c>
    </row>
    <row r="54" spans="2:19">
      <c r="B54" s="118" t="s">
        <v>197</v>
      </c>
      <c r="C54" s="152"/>
      <c r="D54" s="337">
        <f>'3Statement Model'!D65/'3Statement Model'!D$79</f>
        <v>2.103905125787724E-2</v>
      </c>
      <c r="E54" s="337">
        <f>'3Statement Model'!E65/'3Statement Model'!E$79</f>
        <v>1.9881612054045407E-2</v>
      </c>
      <c r="F54" s="337">
        <f>'3Statement Model'!F65/'3Statement Model'!F$79</f>
        <v>1.8874881234312295E-2</v>
      </c>
      <c r="G54" s="337">
        <f>'3Statement Model'!G65/'3Statement Model'!G$79</f>
        <v>1.4859003653180457E-2</v>
      </c>
      <c r="H54" s="337">
        <f>'3Statement Model'!H65/'3Statement Model'!H$79</f>
        <v>5.4051643969986879E-2</v>
      </c>
      <c r="I54" s="337">
        <f>'3Statement Model'!I65/'3Statement Model'!I$79</f>
        <v>4.504256384576865E-2</v>
      </c>
      <c r="J54" s="337">
        <f>'3Statement Model'!J65/'3Statement Model'!J$79</f>
        <v>4.2448028913020755E-2</v>
      </c>
      <c r="K54" s="337">
        <f>'3Statement Model'!K65/'3Statement Model'!K$79</f>
        <v>4.13182353587584E-2</v>
      </c>
      <c r="L54" s="337">
        <f>'3Statement Model'!L65/'3Statement Model'!L$79</f>
        <v>4.0262041305357335E-2</v>
      </c>
      <c r="M54" s="337">
        <f>'3Statement Model'!M65/'3Statement Model'!M$79</f>
        <v>3.9283066404808414E-2</v>
      </c>
      <c r="N54" s="337">
        <f>'3Statement Model'!N65/'3Statement Model'!N$79</f>
        <v>3.838597153740516E-2</v>
      </c>
      <c r="O54" s="337">
        <f>'3Statement Model'!O65/'3Statement Model'!O$79</f>
        <v>3.7535974698197271E-2</v>
      </c>
      <c r="P54" s="337">
        <f>'3Statement Model'!P65/'3Statement Model'!P$79</f>
        <v>3.6794017336301658E-2</v>
      </c>
      <c r="Q54" s="337">
        <f>'3Statement Model'!Q65/'3Statement Model'!Q$79</f>
        <v>3.62062685392706E-2</v>
      </c>
      <c r="R54" s="337">
        <f>'3Statement Model'!R65/'3Statement Model'!R$79</f>
        <v>3.5785767480603581E-2</v>
      </c>
      <c r="S54" s="337">
        <f>'3Statement Model'!S65/'3Statement Model'!S$79</f>
        <v>3.554739248956703E-2</v>
      </c>
    </row>
    <row r="55" spans="2:19">
      <c r="B55" s="120" t="s">
        <v>8</v>
      </c>
      <c r="C55" s="153"/>
      <c r="D55" s="550">
        <f>'3Statement Model'!D66/'3Statement Model'!D$79</f>
        <v>0.12851684612712747</v>
      </c>
      <c r="E55" s="550">
        <f>'3Statement Model'!E66/'3Statement Model'!E$79</f>
        <v>0.14485797809677561</v>
      </c>
      <c r="F55" s="550">
        <f>'3Statement Model'!F66/'3Statement Model'!F$79</f>
        <v>0.1439369230114724</v>
      </c>
      <c r="G55" s="550">
        <f>'3Statement Model'!G66/'3Statement Model'!G$79</f>
        <v>0.14417064594250686</v>
      </c>
      <c r="H55" s="550">
        <f>'3Statement Model'!H66/'3Statement Model'!H$79</f>
        <v>0.18085580708034496</v>
      </c>
      <c r="I55" s="550">
        <f>'3Statement Model'!I66/'3Statement Model'!I$79</f>
        <v>0.17193289934902353</v>
      </c>
      <c r="J55" s="550">
        <f>'3Statement Model'!J66/'3Statement Model'!J$79</f>
        <v>0.16355364280826146</v>
      </c>
      <c r="K55" s="550">
        <f>'3Statement Model'!K66/'3Statement Model'!K$79</f>
        <v>0.16058472741457544</v>
      </c>
      <c r="L55" s="550">
        <f>'3Statement Model'!L66/'3Statement Model'!L$79</f>
        <v>0.15796161937426181</v>
      </c>
      <c r="M55" s="550">
        <f>'3Statement Model'!M66/'3Statement Model'!M$79</f>
        <v>0.1557101448634772</v>
      </c>
      <c r="N55" s="550">
        <f>'3Statement Model'!N66/'3Statement Model'!N$79</f>
        <v>0.15386263877618514</v>
      </c>
      <c r="O55" s="550">
        <f>'3Statement Model'!O66/'3Statement Model'!O$79</f>
        <v>0.15229437137713167</v>
      </c>
      <c r="P55" s="550">
        <f>'3Statement Model'!P66/'3Statement Model'!P$79</f>
        <v>0.1512247951162681</v>
      </c>
      <c r="Q55" s="550">
        <f>'3Statement Model'!Q66/'3Statement Model'!Q$79</f>
        <v>0.15077159924644568</v>
      </c>
      <c r="R55" s="550">
        <f>'3Statement Model'!R66/'3Statement Model'!R$79</f>
        <v>0.15099810951612588</v>
      </c>
      <c r="S55" s="550">
        <f>'3Statement Model'!S66/'3Statement Model'!S$79</f>
        <v>0.15198058420752628</v>
      </c>
    </row>
    <row r="56" spans="2:19">
      <c r="B56" s="115"/>
      <c r="C56" s="11"/>
      <c r="D56" s="337"/>
      <c r="E56" s="337"/>
      <c r="F56" s="337"/>
      <c r="G56" s="337"/>
      <c r="H56" s="337"/>
      <c r="I56" s="337"/>
      <c r="J56" s="337"/>
      <c r="K56" s="337"/>
      <c r="L56" s="337"/>
      <c r="M56" s="337"/>
      <c r="N56" s="337"/>
      <c r="O56" s="337"/>
      <c r="P56" s="337"/>
      <c r="Q56" s="337"/>
      <c r="R56" s="337"/>
      <c r="S56" s="337"/>
    </row>
    <row r="57" spans="2:19">
      <c r="B57" s="115" t="s">
        <v>169</v>
      </c>
      <c r="C57" s="12"/>
      <c r="D57" s="337"/>
      <c r="E57" s="337"/>
      <c r="F57" s="337"/>
      <c r="G57" s="337"/>
      <c r="H57" s="337"/>
      <c r="I57" s="337"/>
      <c r="J57" s="337"/>
      <c r="K57" s="337"/>
      <c r="L57" s="337"/>
      <c r="M57" s="337"/>
      <c r="N57" s="337"/>
      <c r="O57" s="337"/>
      <c r="P57" s="337"/>
      <c r="Q57" s="337"/>
      <c r="R57" s="337"/>
      <c r="S57" s="337"/>
    </row>
    <row r="58" spans="2:19">
      <c r="B58" s="118" t="s">
        <v>196</v>
      </c>
      <c r="C58" s="75"/>
      <c r="D58" s="337"/>
      <c r="E58" s="337"/>
      <c r="F58" s="337"/>
      <c r="G58" s="337"/>
      <c r="H58" s="337"/>
      <c r="I58" s="337"/>
      <c r="J58" s="337"/>
      <c r="K58" s="337"/>
      <c r="L58" s="337"/>
      <c r="M58" s="337"/>
      <c r="N58" s="337"/>
      <c r="O58" s="337"/>
      <c r="P58" s="337"/>
      <c r="Q58" s="337"/>
      <c r="R58" s="337"/>
      <c r="S58" s="337"/>
    </row>
    <row r="59" spans="2:19">
      <c r="B59" s="121" t="s">
        <v>170</v>
      </c>
      <c r="C59" s="75"/>
      <c r="D59" s="337">
        <f>'3Statement Model'!D70/'3Statement Model'!D$79</f>
        <v>0</v>
      </c>
      <c r="E59" s="337">
        <f>'3Statement Model'!E70/'3Statement Model'!E$79</f>
        <v>0</v>
      </c>
      <c r="F59" s="337">
        <f>'3Statement Model'!F70/'3Statement Model'!F$79</f>
        <v>0</v>
      </c>
      <c r="G59" s="337">
        <f>'3Statement Model'!G70/'3Statement Model'!G$79</f>
        <v>1.3408677329757685E-3</v>
      </c>
      <c r="H59" s="337">
        <f>'3Statement Model'!H70/'3Statement Model'!H$79</f>
        <v>1.6560720518732721E-4</v>
      </c>
      <c r="I59" s="337">
        <f>'3Statement Model'!I70/'3Statement Model'!I$79</f>
        <v>1.2518778167250876E-5</v>
      </c>
      <c r="J59" s="337">
        <f>'3Statement Model'!J70/'3Statement Model'!J$79</f>
        <v>0</v>
      </c>
      <c r="K59" s="337">
        <f>'3Statement Model'!K70/'3Statement Model'!K$79</f>
        <v>0</v>
      </c>
      <c r="L59" s="337">
        <f>'3Statement Model'!L70/'3Statement Model'!L$79</f>
        <v>0</v>
      </c>
      <c r="M59" s="337">
        <f>'3Statement Model'!M70/'3Statement Model'!M$79</f>
        <v>0</v>
      </c>
      <c r="N59" s="337">
        <f>'3Statement Model'!N70/'3Statement Model'!N$79</f>
        <v>0</v>
      </c>
      <c r="O59" s="337">
        <f>'3Statement Model'!O70/'3Statement Model'!O$79</f>
        <v>0</v>
      </c>
      <c r="P59" s="337">
        <f>'3Statement Model'!P70/'3Statement Model'!P$79</f>
        <v>0</v>
      </c>
      <c r="Q59" s="337">
        <f>'3Statement Model'!Q70/'3Statement Model'!Q$79</f>
        <v>0</v>
      </c>
      <c r="R59" s="337">
        <f>'3Statement Model'!R70/'3Statement Model'!R$79</f>
        <v>0</v>
      </c>
      <c r="S59" s="337">
        <f>'3Statement Model'!S70/'3Statement Model'!S$79</f>
        <v>0</v>
      </c>
    </row>
    <row r="60" spans="2:19">
      <c r="B60" s="121" t="s">
        <v>677</v>
      </c>
      <c r="C60" s="75"/>
      <c r="D60" s="337">
        <f>'3Statement Model'!D71/'3Statement Model'!D$79</f>
        <v>0</v>
      </c>
      <c r="E60" s="337">
        <f>'3Statement Model'!E71/'3Statement Model'!E$79</f>
        <v>0</v>
      </c>
      <c r="F60" s="337">
        <f>'3Statement Model'!F71/'3Statement Model'!F$79</f>
        <v>4.2826552462526769E-3</v>
      </c>
      <c r="G60" s="337">
        <f>'3Statement Model'!G71/'3Statement Model'!G$79</f>
        <v>4.2962496750448094E-3</v>
      </c>
      <c r="H60" s="337">
        <f>'3Statement Model'!H71/'3Statement Model'!H$79</f>
        <v>4.6497407610288028E-3</v>
      </c>
      <c r="I60" s="337">
        <f>'3Statement Model'!I71/'3Statement Model'!I$79</f>
        <v>5.0575863795693544E-3</v>
      </c>
      <c r="J60" s="337">
        <f>'3Statement Model'!J71/'3Statement Model'!J$79</f>
        <v>8.0944521500253587E-3</v>
      </c>
      <c r="K60" s="337">
        <f>'3Statement Model'!K71/'3Statement Model'!K$79</f>
        <v>8.5711188676196887E-3</v>
      </c>
      <c r="L60" s="337">
        <f>'3Statement Model'!L71/'3Statement Model'!L$79</f>
        <v>9.0929333745658168E-3</v>
      </c>
      <c r="M60" s="337">
        <f>'3Statement Model'!M71/'3Statement Model'!M$79</f>
        <v>9.6665256748650723E-3</v>
      </c>
      <c r="N60" s="337">
        <f>'3Statement Model'!N71/'3Statement Model'!N$79</f>
        <v>1.0299972740826327E-2</v>
      </c>
      <c r="O60" s="337">
        <f>'3Statement Model'!O71/'3Statement Model'!O$79</f>
        <v>1.0991285194516075E-2</v>
      </c>
      <c r="P60" s="337">
        <f>'3Statement Model'!P71/'3Statement Model'!P$79</f>
        <v>1.1744405542049559E-2</v>
      </c>
      <c r="Q60" s="337">
        <f>'3Statement Model'!Q71/'3Statement Model'!Q$79</f>
        <v>1.25380369322794E-2</v>
      </c>
      <c r="R60" s="337">
        <f>'3Statement Model'!R71/'3Statement Model'!R$79</f>
        <v>1.3381208510116952E-2</v>
      </c>
      <c r="S60" s="337">
        <f>'3Statement Model'!S71/'3Statement Model'!S$79</f>
        <v>1.4286223233949107E-2</v>
      </c>
    </row>
    <row r="61" spans="2:19">
      <c r="B61" s="121" t="s">
        <v>171</v>
      </c>
      <c r="C61" s="8"/>
      <c r="D61" s="337">
        <f>'3Statement Model'!D72/'3Statement Model'!D$79</f>
        <v>0.3738897434625118</v>
      </c>
      <c r="E61" s="337">
        <f>'3Statement Model'!E72/'3Statement Model'!E$79</f>
        <v>0.12801605654696976</v>
      </c>
      <c r="F61" s="337">
        <f>'3Statement Model'!F72/'3Statement Model'!F$79</f>
        <v>0.12859310520867309</v>
      </c>
      <c r="G61" s="337">
        <f>'3Statement Model'!G72/'3Statement Model'!G$79</f>
        <v>0.13099456811744906</v>
      </c>
      <c r="H61" s="337">
        <f>'3Statement Model'!H72/'3Statement Model'!H$79</f>
        <v>0.13358131950725488</v>
      </c>
      <c r="I61" s="337">
        <f>'3Statement Model'!I72/'3Statement Model'!I$79</f>
        <v>0.14164997496244366</v>
      </c>
      <c r="J61" s="337">
        <f>'3Statement Model'!J72/'3Statement Model'!J$79</f>
        <v>0.17386439686629812</v>
      </c>
      <c r="K61" s="337">
        <f>'3Statement Model'!K72/'3Statement Model'!K$79</f>
        <v>0.18325756614494257</v>
      </c>
      <c r="L61" s="337">
        <f>'3Statement Model'!L72/'3Statement Model'!L$79</f>
        <v>0.19351755192774589</v>
      </c>
      <c r="M61" s="337">
        <f>'3Statement Model'!M72/'3Statement Model'!M$79</f>
        <v>0.20477144251522394</v>
      </c>
      <c r="N61" s="337">
        <f>'3Statement Model'!N72/'3Statement Model'!N$79</f>
        <v>0.21717421976273807</v>
      </c>
      <c r="O61" s="337">
        <f>'3Statement Model'!O72/'3Statement Model'!O$79</f>
        <v>0.2317504954986184</v>
      </c>
      <c r="P61" s="337">
        <f>'3Statement Model'!P72/'3Statement Model'!P$79</f>
        <v>0.24762998644277645</v>
      </c>
      <c r="Q61" s="337">
        <f>'3Statement Model'!Q72/'3Statement Model'!Q$79</f>
        <v>0.26436364994745826</v>
      </c>
      <c r="R61" s="337">
        <f>'3Statement Model'!R72/'3Statement Model'!R$79</f>
        <v>0.28214186491468507</v>
      </c>
      <c r="S61" s="337">
        <f>'3Statement Model'!S72/'3Statement Model'!S$79</f>
        <v>0.30122403837937622</v>
      </c>
    </row>
    <row r="62" spans="2:19">
      <c r="B62" s="121" t="s">
        <v>678</v>
      </c>
      <c r="C62" s="11"/>
      <c r="D62" s="337">
        <f>'3Statement Model'!D73/'3Statement Model'!D$79</f>
        <v>4.6246216444201856E-2</v>
      </c>
      <c r="E62" s="337">
        <f>'3Statement Model'!E73/'3Statement Model'!E$79</f>
        <v>1.7540032287621625E-2</v>
      </c>
      <c r="F62" s="337">
        <f>'3Statement Model'!F73/'3Statement Model'!F$79</f>
        <v>1.2748698895301842E-2</v>
      </c>
      <c r="G62" s="337">
        <f>'3Statement Model'!G73/'3Statement Model'!G$79</f>
        <v>1.2163585863423044E-2</v>
      </c>
      <c r="H62" s="337">
        <f>'3Statement Model'!H73/'3Statement Model'!H$79</f>
        <v>1.1057465700200003E-2</v>
      </c>
      <c r="I62" s="337">
        <f>'3Statement Model'!I73/'3Statement Model'!I$79</f>
        <v>1.602403605408112E-2</v>
      </c>
      <c r="J62" s="337">
        <f>'3Statement Model'!J73/'3Statement Model'!J$79</f>
        <v>1.5101021959051296E-2</v>
      </c>
      <c r="K62" s="337">
        <f>'3Statement Model'!K73/'3Statement Model'!K$79</f>
        <v>1.4699094291053571E-2</v>
      </c>
      <c r="L62" s="337">
        <f>'3Statement Model'!L73/'3Statement Model'!L$79</f>
        <v>1.4323349880727455E-2</v>
      </c>
      <c r="M62" s="337">
        <f>'3Statement Model'!M73/'3Statement Model'!M$79</f>
        <v>1.3975076430837901E-2</v>
      </c>
      <c r="N62" s="337">
        <f>'3Statement Model'!N73/'3Statement Model'!N$79</f>
        <v>1.3655932064446527E-2</v>
      </c>
      <c r="O62" s="337">
        <f>'3Statement Model'!O73/'3Statement Model'!O$79</f>
        <v>1.3353542972121319E-2</v>
      </c>
      <c r="P62" s="337">
        <f>'3Statement Model'!P73/'3Statement Model'!P$79</f>
        <v>1.3089589269167904E-2</v>
      </c>
      <c r="Q62" s="337">
        <f>'3Statement Model'!Q73/'3Statement Model'!Q$79</f>
        <v>1.2880495756049574E-2</v>
      </c>
      <c r="R62" s="337">
        <f>'3Statement Model'!R73/'3Statement Model'!R$79</f>
        <v>1.2730901160414835E-2</v>
      </c>
      <c r="S62" s="337">
        <f>'3Statement Model'!S73/'3Statement Model'!S$79</f>
        <v>1.2646098495454641E-2</v>
      </c>
    </row>
    <row r="63" spans="2:19">
      <c r="B63" s="118" t="s">
        <v>10</v>
      </c>
      <c r="C63" s="75"/>
      <c r="D63" s="337">
        <f>'3Statement Model'!D74/'3Statement Model'!D$79</f>
        <v>2.1237532873517592E-2</v>
      </c>
      <c r="E63" s="337">
        <f>'3Statement Model'!E74/'3Statement Model'!E$79</f>
        <v>8.5518565382433787E-3</v>
      </c>
      <c r="F63" s="337">
        <f>'3Statement Model'!F74/'3Statement Model'!F$79</f>
        <v>9.4303501283378478E-3</v>
      </c>
      <c r="G63" s="337">
        <f>'3Statement Model'!G74/'3Statement Model'!G$79</f>
        <v>1.0453295387688645E-2</v>
      </c>
      <c r="H63" s="337">
        <f>'3Statement Model'!H74/'3Statement Model'!H$79</f>
        <v>1.0280385737397929E-2</v>
      </c>
      <c r="I63" s="337">
        <f>'3Statement Model'!I74/'3Statement Model'!I$79</f>
        <v>1.2005508262393591E-2</v>
      </c>
      <c r="J63" s="337">
        <f>'3Statement Model'!J74/'3Statement Model'!J$79</f>
        <v>1.1313968795882964E-2</v>
      </c>
      <c r="K63" s="337">
        <f>'3Statement Model'!K74/'3Statement Model'!K$79</f>
        <v>1.1012837050875293E-2</v>
      </c>
      <c r="L63" s="337">
        <f>'3Statement Model'!L74/'3Statement Model'!L$79</f>
        <v>1.0731322293451273E-2</v>
      </c>
      <c r="M63" s="337">
        <f>'3Statement Model'!M74/'3Statement Model'!M$79</f>
        <v>1.0470389294666834E-2</v>
      </c>
      <c r="N63" s="337">
        <f>'3Statement Model'!N74/'3Statement Model'!N$79</f>
        <v>1.0231280351409546E-2</v>
      </c>
      <c r="O63" s="337">
        <f>'3Statement Model'!O74/'3Statement Model'!O$79</f>
        <v>1.000472477364402E-2</v>
      </c>
      <c r="P63" s="337">
        <f>'3Statement Model'!P74/'3Statement Model'!P$79</f>
        <v>9.8069657102593903E-3</v>
      </c>
      <c r="Q63" s="337">
        <f>'3Statement Model'!Q74/'3Statement Model'!Q$79</f>
        <v>9.6503089297277668E-3</v>
      </c>
      <c r="R63" s="337">
        <f>'3Statement Model'!R74/'3Statement Model'!R$79</f>
        <v>9.5382298537795528E-3</v>
      </c>
      <c r="S63" s="337">
        <f>'3Statement Model'!S74/'3Statement Model'!S$79</f>
        <v>9.4746941071414056E-3</v>
      </c>
    </row>
    <row r="64" spans="2:19">
      <c r="B64" s="118" t="s">
        <v>680</v>
      </c>
      <c r="C64" s="75"/>
      <c r="D64" s="337">
        <f>'3Statement Model'!D75/'3Statement Model'!D$79</f>
        <v>2.0939810450057064E-2</v>
      </c>
      <c r="E64" s="337">
        <f>'3Statement Model'!E75/'3Statement Model'!E$79</f>
        <v>7.3737946681792397E-3</v>
      </c>
      <c r="F64" s="337">
        <f>'3Statement Model'!F75/'3Statement Model'!F$79</f>
        <v>4.9066182622630001E-3</v>
      </c>
      <c r="G64" s="337">
        <f>'3Statement Model'!G75/'3Statement Model'!G$79</f>
        <v>5.3224239604854487E-3</v>
      </c>
      <c r="H64" s="337">
        <f>'3Statement Model'!H75/'3Statement Model'!H$79</f>
        <v>4.3312653664377889E-3</v>
      </c>
      <c r="I64" s="337">
        <f>'3Statement Model'!I75/'3Statement Model'!I$79</f>
        <v>8.4501752628943407E-3</v>
      </c>
      <c r="J64" s="337">
        <f>'3Statement Model'!J75/'3Statement Model'!J$79</f>
        <v>7.9634295487184571E-3</v>
      </c>
      <c r="K64" s="337">
        <f>'3Statement Model'!K75/'3Statement Model'!K$79</f>
        <v>7.7514755050477821E-3</v>
      </c>
      <c r="L64" s="337">
        <f>'3Statement Model'!L75/'3Statement Model'!L$79</f>
        <v>7.5533290386648692E-3</v>
      </c>
      <c r="M64" s="337">
        <f>'3Statement Model'!M75/'3Statement Model'!M$79</f>
        <v>7.3696692115746741E-3</v>
      </c>
      <c r="N64" s="337">
        <f>'3Statement Model'!N75/'3Statement Model'!N$79</f>
        <v>7.201370424610473E-3</v>
      </c>
      <c r="O64" s="337">
        <f>'3Statement Model'!O75/'3Statement Model'!O$79</f>
        <v>7.0419074267046014E-3</v>
      </c>
      <c r="P64" s="337">
        <f>'3Statement Model'!P75/'3Statement Model'!P$79</f>
        <v>6.9027130911627618E-3</v>
      </c>
      <c r="Q64" s="337">
        <f>'3Statement Model'!Q75/'3Statement Model'!Q$79</f>
        <v>6.7924489338542669E-3</v>
      </c>
      <c r="R64" s="337">
        <f>'3Statement Model'!R75/'3Statement Model'!R$79</f>
        <v>6.7135611588125116E-3</v>
      </c>
      <c r="S64" s="337">
        <f>'3Statement Model'!S75/'3Statement Model'!S$79</f>
        <v>6.6688410034624083E-3</v>
      </c>
    </row>
    <row r="65" spans="2:19">
      <c r="B65" s="11" t="s">
        <v>198</v>
      </c>
      <c r="C65" s="75"/>
      <c r="D65" s="337">
        <f>'3Statement Model'!D76/'3Statement Model'!D$79</f>
        <v>0</v>
      </c>
      <c r="E65" s="337">
        <f>'3Statement Model'!E76/'3Statement Model'!E$79</f>
        <v>0</v>
      </c>
      <c r="F65" s="337">
        <f>'3Statement Model'!F76/'3Statement Model'!F$79</f>
        <v>0</v>
      </c>
      <c r="G65" s="337">
        <f>'3Statement Model'!G76/'3Statement Model'!G$79</f>
        <v>0</v>
      </c>
      <c r="H65" s="337">
        <f>'3Statement Model'!H76/'3Statement Model'!H$79</f>
        <v>0</v>
      </c>
      <c r="I65" s="337">
        <f>'3Statement Model'!I76/'3Statement Model'!I$79</f>
        <v>2.3823234852278417E-2</v>
      </c>
      <c r="J65" s="337">
        <f>'3Statement Model'!J76/'3Statement Model'!J$79</f>
        <v>2.2450972490683296E-2</v>
      </c>
      <c r="K65" s="337">
        <f>'3Statement Model'!K76/'3Statement Model'!K$79</f>
        <v>2.1853419090527303E-2</v>
      </c>
      <c r="L65" s="337">
        <f>'3Statement Model'!L76/'3Statement Model'!L$79</f>
        <v>2.1294792830487772E-2</v>
      </c>
      <c r="M65" s="337">
        <f>'3Statement Model'!M76/'3Statement Model'!M$79</f>
        <v>2.0777008162409787E-2</v>
      </c>
      <c r="N65" s="337">
        <f>'3Statement Model'!N76/'3Statement Model'!N$79</f>
        <v>2.0302530248938862E-2</v>
      </c>
      <c r="O65" s="337">
        <f>'3Statement Model'!O76/'3Statement Model'!O$79</f>
        <v>1.9852962715583494E-2</v>
      </c>
      <c r="P65" s="337">
        <f>'3Statement Model'!P76/'3Statement Model'!P$79</f>
        <v>1.9460537796270719E-2</v>
      </c>
      <c r="Q65" s="337">
        <f>'3Statement Model'!Q76/'3Statement Model'!Q$79</f>
        <v>1.9149674549814328E-2</v>
      </c>
      <c r="R65" s="337">
        <f>'3Statement Model'!R76/'3Statement Model'!R$79</f>
        <v>1.8927269459585495E-2</v>
      </c>
      <c r="S65" s="337">
        <f>'3Statement Model'!S76/'3Statement Model'!S$79</f>
        <v>1.8801191747539202E-2</v>
      </c>
    </row>
    <row r="66" spans="2:19">
      <c r="B66" s="120" t="s">
        <v>9</v>
      </c>
      <c r="C66" s="153"/>
      <c r="D66" s="550">
        <f>'3Statement Model'!D77/'3Statement Model'!D$79</f>
        <v>0.4623133032302883</v>
      </c>
      <c r="E66" s="550">
        <f>'3Statement Model'!E77/'3Statement Model'!E$79</f>
        <v>0.16148174004101401</v>
      </c>
      <c r="F66" s="550">
        <f>'3Statement Model'!F77/'3Statement Model'!F$79</f>
        <v>0.15996142774082844</v>
      </c>
      <c r="G66" s="550">
        <f>'3Statement Model'!G77/'3Statement Model'!G$79</f>
        <v>0.1645709907370668</v>
      </c>
      <c r="H66" s="550">
        <f>'3Statement Model'!H77/'3Statement Model'!H$79</f>
        <v>0.16406578427750673</v>
      </c>
      <c r="I66" s="550">
        <f>'3Statement Model'!I77/'3Statement Model'!I$79</f>
        <v>0.20702303455182774</v>
      </c>
      <c r="J66" s="550">
        <f>'3Statement Model'!J77/'3Statement Model'!J$79</f>
        <v>0.2387882418106595</v>
      </c>
      <c r="K66" s="550">
        <f>'3Statement Model'!K77/'3Statement Model'!K$79</f>
        <v>0.24714551095006621</v>
      </c>
      <c r="L66" s="550">
        <f>'3Statement Model'!L77/'3Statement Model'!L$79</f>
        <v>0.25651327934564305</v>
      </c>
      <c r="M66" s="550">
        <f>'3Statement Model'!M77/'3Statement Model'!M$79</f>
        <v>0.26703011128957821</v>
      </c>
      <c r="N66" s="550">
        <f>'3Statement Model'!N77/'3Statement Model'!N$79</f>
        <v>0.27886530559296979</v>
      </c>
      <c r="O66" s="550">
        <f>'3Statement Model'!O77/'3Statement Model'!O$79</f>
        <v>0.29299491858118792</v>
      </c>
      <c r="P66" s="550">
        <f>'3Statement Model'!P77/'3Statement Model'!P$79</f>
        <v>0.30863419785168678</v>
      </c>
      <c r="Q66" s="550">
        <f>'3Statement Model'!Q77/'3Statement Model'!Q$79</f>
        <v>0.32537461504918358</v>
      </c>
      <c r="R66" s="550">
        <f>'3Statement Model'!R77/'3Statement Model'!R$79</f>
        <v>0.34343303505739442</v>
      </c>
      <c r="S66" s="550">
        <f>'3Statement Model'!S77/'3Statement Model'!S$79</f>
        <v>0.363101086966923</v>
      </c>
    </row>
    <row r="67" spans="2:19">
      <c r="B67" s="11"/>
      <c r="C67" s="11"/>
      <c r="D67" s="337"/>
      <c r="E67" s="337"/>
      <c r="F67" s="337"/>
      <c r="G67" s="337"/>
      <c r="H67" s="337"/>
      <c r="I67" s="337"/>
      <c r="J67" s="337"/>
      <c r="K67" s="337"/>
      <c r="L67" s="337"/>
      <c r="M67" s="337"/>
      <c r="N67" s="337"/>
      <c r="O67" s="337"/>
      <c r="P67" s="337"/>
      <c r="Q67" s="337"/>
      <c r="R67" s="337"/>
      <c r="S67" s="337"/>
    </row>
    <row r="68" spans="2:19" ht="15" thickBot="1">
      <c r="B68" s="122" t="s">
        <v>199</v>
      </c>
      <c r="C68" s="307"/>
      <c r="D68" s="551">
        <f>'3Statement Model'!D79/'3Statement Model'!D$79</f>
        <v>1</v>
      </c>
      <c r="E68" s="551">
        <f>'3Statement Model'!E79/'3Statement Model'!E$79</f>
        <v>1</v>
      </c>
      <c r="F68" s="551">
        <f>'3Statement Model'!F79/'3Statement Model'!F$79</f>
        <v>1</v>
      </c>
      <c r="G68" s="551">
        <f>'3Statement Model'!G79/'3Statement Model'!G$79</f>
        <v>1</v>
      </c>
      <c r="H68" s="551">
        <f>'3Statement Model'!H79/'3Statement Model'!H$79</f>
        <v>1</v>
      </c>
      <c r="I68" s="551">
        <f>'3Statement Model'!I79/'3Statement Model'!I$79</f>
        <v>1</v>
      </c>
      <c r="J68" s="551">
        <f>'3Statement Model'!J79/'3Statement Model'!J$79</f>
        <v>1</v>
      </c>
      <c r="K68" s="551">
        <f>'3Statement Model'!K79/'3Statement Model'!K$79</f>
        <v>1</v>
      </c>
      <c r="L68" s="551">
        <f>'3Statement Model'!L79/'3Statement Model'!L$79</f>
        <v>1</v>
      </c>
      <c r="M68" s="551">
        <f>'3Statement Model'!M79/'3Statement Model'!M$79</f>
        <v>1</v>
      </c>
      <c r="N68" s="551">
        <f>'3Statement Model'!N79/'3Statement Model'!N$79</f>
        <v>1</v>
      </c>
      <c r="O68" s="551">
        <f>'3Statement Model'!O79/'3Statement Model'!O$79</f>
        <v>1</v>
      </c>
      <c r="P68" s="551">
        <f>'3Statement Model'!P79/'3Statement Model'!P$79</f>
        <v>1</v>
      </c>
      <c r="Q68" s="551">
        <f>'3Statement Model'!Q79/'3Statement Model'!Q$79</f>
        <v>1</v>
      </c>
      <c r="R68" s="551">
        <f>'3Statement Model'!R79/'3Statement Model'!R$79</f>
        <v>1</v>
      </c>
      <c r="S68" s="551">
        <f>'3Statement Model'!S79/'3Statement Model'!S$79</f>
        <v>1</v>
      </c>
    </row>
    <row r="69" spans="2:19">
      <c r="B69" s="115"/>
      <c r="C69" s="75"/>
      <c r="D69" s="557"/>
      <c r="E69" s="557"/>
      <c r="F69" s="369"/>
      <c r="G69" s="80"/>
      <c r="H69" s="80"/>
      <c r="I69" s="80"/>
      <c r="J69" s="80"/>
      <c r="K69" s="80"/>
      <c r="L69" s="80"/>
      <c r="M69" s="80"/>
      <c r="N69" s="80"/>
      <c r="O69" s="80"/>
      <c r="P69" s="80"/>
      <c r="Q69" s="80"/>
      <c r="R69" s="80"/>
      <c r="S69" s="80"/>
    </row>
    <row r="70" spans="2:19">
      <c r="B70" s="115" t="s">
        <v>172</v>
      </c>
      <c r="C70" s="8"/>
      <c r="D70" s="558"/>
      <c r="E70" s="558"/>
      <c r="F70" s="369"/>
      <c r="G70" s="83"/>
      <c r="H70" s="83"/>
      <c r="I70" s="83"/>
      <c r="J70" s="83"/>
      <c r="K70" s="83"/>
      <c r="L70" s="83"/>
      <c r="M70" s="83"/>
      <c r="N70" s="83"/>
      <c r="O70" s="83"/>
      <c r="P70" s="83"/>
      <c r="Q70" s="83"/>
      <c r="R70" s="83"/>
      <c r="S70" s="83"/>
    </row>
    <row r="71" spans="2:19">
      <c r="B71" s="115" t="s">
        <v>173</v>
      </c>
      <c r="C71" s="11"/>
      <c r="D71" s="559"/>
      <c r="E71" s="559"/>
      <c r="F71" s="369"/>
      <c r="G71" s="369"/>
      <c r="H71" s="369"/>
      <c r="I71" s="369"/>
      <c r="J71" s="369"/>
      <c r="K71" s="369"/>
      <c r="L71" s="369"/>
      <c r="M71" s="369"/>
      <c r="N71" s="369"/>
      <c r="O71" s="369"/>
      <c r="P71" s="369"/>
      <c r="Q71" s="369"/>
      <c r="R71" s="369"/>
      <c r="S71" s="369"/>
    </row>
    <row r="72" spans="2:19">
      <c r="B72" s="118" t="s">
        <v>188</v>
      </c>
      <c r="C72" s="152"/>
      <c r="D72" s="337">
        <f>'3Statement Model'!D83/'3Statement Model'!D$109</f>
        <v>0.2038902396665509</v>
      </c>
      <c r="E72" s="337">
        <f>'3Statement Model'!E83/'3Statement Model'!E$109</f>
        <v>7.369431476067892E-2</v>
      </c>
      <c r="F72" s="337">
        <f>'3Statement Model'!F83/'3Statement Model'!F$109</f>
        <v>7.2337166924287766E-2</v>
      </c>
      <c r="G72" s="337">
        <f>'3Statement Model'!G83/'3Statement Model'!G$109</f>
        <v>7.8905961388482215E-2</v>
      </c>
      <c r="H72" s="337">
        <f>'3Statement Model'!H83/'3Statement Model'!H$109</f>
        <v>8.3020165861985504E-2</v>
      </c>
      <c r="I72" s="337">
        <f>'3Statement Model'!I83/'3Statement Model'!I$109</f>
        <v>8.6892839258888327E-2</v>
      </c>
      <c r="J72" s="337">
        <f>'3Statement Model'!J83/'3Statement Model'!J$109</f>
        <v>8.4960846402051302E-2</v>
      </c>
      <c r="K72" s="337">
        <f>'3Statement Model'!K83/'3Statement Model'!K$109</f>
        <v>8.5939260629257858E-2</v>
      </c>
      <c r="L72" s="337">
        <f>'3Statement Model'!L83/'3Statement Model'!L$109</f>
        <v>8.7176521196509787E-2</v>
      </c>
      <c r="M72" s="337">
        <f>'3Statement Model'!M83/'3Statement Model'!M$109</f>
        <v>8.8716520256746104E-2</v>
      </c>
      <c r="N72" s="337">
        <f>'3Statement Model'!N83/'3Statement Model'!N$109</f>
        <v>9.0611338084383486E-2</v>
      </c>
      <c r="O72" s="337">
        <f>'3Statement Model'!O83/'3Statement Model'!O$109</f>
        <v>9.2822864729965232E-2</v>
      </c>
      <c r="P72" s="337">
        <f>'3Statement Model'!P83/'3Statement Model'!P$109</f>
        <v>9.5508267065075175E-2</v>
      </c>
      <c r="Q72" s="337">
        <f>'3Statement Model'!Q83/'3Statement Model'!Q$109</f>
        <v>9.8729678190743339E-2</v>
      </c>
      <c r="R72" s="337">
        <f>'3Statement Model'!R83/'3Statement Model'!R$109</f>
        <v>0.10247392432337649</v>
      </c>
      <c r="S72" s="337">
        <f>'3Statement Model'!S83/'3Statement Model'!S$109</f>
        <v>0.10673550931919823</v>
      </c>
    </row>
    <row r="73" spans="2:19">
      <c r="B73" s="118" t="s">
        <v>722</v>
      </c>
      <c r="C73" s="152"/>
      <c r="D73" s="337">
        <f>'3Statement Model'!D84/'3Statement Model'!D$109</f>
        <v>4.2226963727484738E-2</v>
      </c>
      <c r="E73" s="337">
        <f>'3Statement Model'!E84/'3Statement Model'!E$109</f>
        <v>1.5256628416015824E-2</v>
      </c>
      <c r="F73" s="337">
        <f>'3Statement Model'!F84/'3Statement Model'!F$109</f>
        <v>1.514528411588695E-2</v>
      </c>
      <c r="G73" s="337">
        <f>'3Statement Model'!G84/'3Statement Model'!G$109</f>
        <v>1.6172506738544475E-2</v>
      </c>
      <c r="H73" s="337">
        <f>'3Statement Model'!H84/'3Statement Model'!H$109</f>
        <v>1.9286869896431802E-2</v>
      </c>
      <c r="I73" s="337">
        <f>'3Statement Model'!I84/'3Statement Model'!I$109</f>
        <v>2.1081622433650474E-2</v>
      </c>
      <c r="J73" s="337">
        <f>'3Statement Model'!J84/'3Statement Model'!J$109</f>
        <v>2.9756799154475849E-2</v>
      </c>
      <c r="K73" s="337">
        <f>'3Statement Model'!K84/'3Statement Model'!K$109</f>
        <v>3.5939540364584473E-2</v>
      </c>
      <c r="L73" s="337">
        <f>'3Statement Model'!L84/'3Statement Model'!L$109</f>
        <v>4.2018137972748004E-2</v>
      </c>
      <c r="M73" s="337">
        <f>'3Statement Model'!M84/'3Statement Model'!M$109</f>
        <v>4.8046835836902071E-2</v>
      </c>
      <c r="N73" s="337">
        <f>'3Statement Model'!N84/'3Statement Model'!N$109</f>
        <v>5.4087069625668734E-2</v>
      </c>
      <c r="O73" s="337">
        <f>'3Statement Model'!O84/'3Statement Model'!O$109</f>
        <v>6.0144418567033536E-2</v>
      </c>
      <c r="P73" s="337">
        <f>'3Statement Model'!P84/'3Statement Model'!P$109</f>
        <v>6.6288638064602237E-2</v>
      </c>
      <c r="Q73" s="337">
        <f>'3Statement Model'!Q84/'3Statement Model'!Q$109</f>
        <v>7.248985399869573E-2</v>
      </c>
      <c r="R73" s="337">
        <f>'3Statement Model'!R84/'3Statement Model'!R$109</f>
        <v>7.8790180046676997E-2</v>
      </c>
      <c r="S73" s="337">
        <f>'3Statement Model'!S84/'3Statement Model'!S$109</f>
        <v>8.5243331791798896E-2</v>
      </c>
    </row>
    <row r="74" spans="2:19">
      <c r="B74" s="118" t="s">
        <v>175</v>
      </c>
      <c r="C74" s="152"/>
      <c r="D74" s="337">
        <f>'3Statement Model'!D85/'3Statement Model'!D$109</f>
        <v>2.9623381134322432E-2</v>
      </c>
      <c r="E74" s="337">
        <f>'3Statement Model'!E85/'3Statement Model'!E$109</f>
        <v>1.0835260409849178E-2</v>
      </c>
      <c r="F74" s="337">
        <f>'3Statement Model'!F85/'3Statement Model'!F$109</f>
        <v>1.8619623636853523E-2</v>
      </c>
      <c r="G74" s="337">
        <f>'3Statement Model'!G85/'3Statement Model'!G$109</f>
        <v>1.5488390548250715E-2</v>
      </c>
      <c r="H74" s="337">
        <f>'3Statement Model'!H85/'3Statement Model'!H$109</f>
        <v>1.3057491178231569E-2</v>
      </c>
      <c r="I74" s="337">
        <f>'3Statement Model'!I85/'3Statement Model'!I$109</f>
        <v>1.2631447170756134E-2</v>
      </c>
      <c r="J74" s="337">
        <f>'3Statement Model'!J85/'3Statement Model'!J$109</f>
        <v>1.2486604726694004E-2</v>
      </c>
      <c r="K74" s="337">
        <f>'3Statement Model'!K85/'3Statement Model'!K$109</f>
        <v>1.2221147398571795E-2</v>
      </c>
      <c r="L74" s="337">
        <f>'3Statement Model'!L85/'3Statement Model'!L$109</f>
        <v>1.1979673849758479E-2</v>
      </c>
      <c r="M74" s="337">
        <f>'3Statement Model'!M85/'3Statement Model'!M$109</f>
        <v>1.1764007502546813E-2</v>
      </c>
      <c r="N74" s="337">
        <f>'3Statement Model'!N85/'3Statement Model'!N$109</f>
        <v>1.1576404607631209E-2</v>
      </c>
      <c r="O74" s="337">
        <f>'3Statement Model'!O85/'3Statement Model'!O$109</f>
        <v>1.1408080119768522E-2</v>
      </c>
      <c r="P74" s="337">
        <f>'3Statement Model'!P85/'3Statement Model'!P$109</f>
        <v>1.1277787267321078E-2</v>
      </c>
      <c r="Q74" s="337">
        <f>'3Statement Model'!Q85/'3Statement Model'!Q$109</f>
        <v>1.1198673616970502E-2</v>
      </c>
      <c r="R74" s="337">
        <f>'3Statement Model'!R85/'3Statement Model'!R$109</f>
        <v>1.1174008616787816E-2</v>
      </c>
      <c r="S74" s="337">
        <f>'3Statement Model'!S85/'3Statement Model'!S$109</f>
        <v>1.1207755676195261E-2</v>
      </c>
    </row>
    <row r="75" spans="2:19">
      <c r="B75" s="11" t="s">
        <v>15</v>
      </c>
      <c r="C75" s="152"/>
      <c r="D75" s="337">
        <f>'3Statement Model'!D86/'3Statement Model'!D$109</f>
        <v>5.8055872574802759E-3</v>
      </c>
      <c r="E75" s="337">
        <f>'3Statement Model'!E86/'3Statement Model'!E$109</f>
        <v>0.25302151053710897</v>
      </c>
      <c r="F75" s="337">
        <f>'3Statement Model'!F86/'3Statement Model'!F$109</f>
        <v>0.24670646794390005</v>
      </c>
      <c r="G75" s="337">
        <f>'3Statement Model'!G86/'3Statement Model'!G$109</f>
        <v>0.23897546759341606</v>
      </c>
      <c r="H75" s="337">
        <f>'3Statement Model'!H86/'3Statement Model'!H$109</f>
        <v>0.22249964967706595</v>
      </c>
      <c r="I75" s="337">
        <f>'3Statement Model'!I86/'3Statement Model'!I$109</f>
        <v>0.21865297946920381</v>
      </c>
      <c r="J75" s="337">
        <f>'3Statement Model'!J86/'3Statement Model'!J$109</f>
        <v>0.20605816370061711</v>
      </c>
      <c r="K75" s="337">
        <f>'3Statement Model'!K86/'3Statement Model'!K$109</f>
        <v>0.20057373506839193</v>
      </c>
      <c r="L75" s="337">
        <f>'3Statement Model'!L86/'3Statement Model'!L$109</f>
        <v>0.19544658516936386</v>
      </c>
      <c r="M75" s="337">
        <f>'3Statement Model'!M86/'3Statement Model'!M$109</f>
        <v>0.19069428511016778</v>
      </c>
      <c r="N75" s="337">
        <f>'3Statement Model'!N86/'3Statement Model'!N$109</f>
        <v>0.18633946049814298</v>
      </c>
      <c r="O75" s="337">
        <f>'3Statement Model'!O86/'3Statement Model'!O$109</f>
        <v>0.18221326683677413</v>
      </c>
      <c r="P75" s="337">
        <f>'3Statement Model'!P86/'3Statement Model'!P$109</f>
        <v>0.17861153607444266</v>
      </c>
      <c r="Q75" s="337">
        <f>'3Statement Model'!Q86/'3Statement Model'!Q$109</f>
        <v>0.17575838974622016</v>
      </c>
      <c r="R75" s="337">
        <f>'3Statement Model'!R86/'3Statement Model'!R$109</f>
        <v>0.17371712474047304</v>
      </c>
      <c r="S75" s="337">
        <f>'3Statement Model'!S86/'3Statement Model'!S$109</f>
        <v>0.17255996587625838</v>
      </c>
    </row>
    <row r="76" spans="2:19">
      <c r="B76" s="118" t="s">
        <v>174</v>
      </c>
      <c r="C76" s="152"/>
      <c r="D76" s="337">
        <f>'3Statement Model'!D87/'3Statement Model'!D$109</f>
        <v>1.9947402371855306E-2</v>
      </c>
      <c r="E76" s="337">
        <f>'3Statement Model'!E87/'3Statement Model'!E$109</f>
        <v>0.4062131855665605</v>
      </c>
      <c r="F76" s="337">
        <f>'3Statement Model'!F87/'3Statement Model'!F$109</f>
        <v>0.39574854290454786</v>
      </c>
      <c r="G76" s="337">
        <f>'3Statement Model'!G87/'3Statement Model'!G$109</f>
        <v>0.38670351772545047</v>
      </c>
      <c r="H76" s="337">
        <f>'3Statement Model'!H87/'3Statement Model'!H$109</f>
        <v>0.35983897884049476</v>
      </c>
      <c r="I76" s="337">
        <f>'3Statement Model'!I87/'3Statement Model'!I$109</f>
        <v>0.35358037055583375</v>
      </c>
      <c r="J76" s="337">
        <f>'3Statement Model'!J87/'3Statement Model'!J$109</f>
        <v>0.33331122623203174</v>
      </c>
      <c r="K76" s="337">
        <f>'3Statement Model'!K87/'3Statement Model'!K$109</f>
        <v>0.3245443742309399</v>
      </c>
      <c r="L76" s="337">
        <f>'3Statement Model'!L87/'3Statement Model'!L$109</f>
        <v>0.31636058612205026</v>
      </c>
      <c r="M76" s="337">
        <f>'3Statement Model'!M87/'3Statement Model'!M$109</f>
        <v>0.30878956976042671</v>
      </c>
      <c r="N76" s="337">
        <f>'3Statement Model'!N87/'3Statement Model'!N$109</f>
        <v>0.30186943179903403</v>
      </c>
      <c r="O76" s="337">
        <f>'3Statement Model'!O87/'3Statement Model'!O$109</f>
        <v>0.29536787442168672</v>
      </c>
      <c r="P76" s="337">
        <f>'3Statement Model'!P87/'3Statement Model'!P$109</f>
        <v>0.28976956022653599</v>
      </c>
      <c r="Q76" s="337">
        <f>'3Statement Model'!Q87/'3Statement Model'!Q$109</f>
        <v>0.28544561291156167</v>
      </c>
      <c r="R76" s="337">
        <f>'3Statement Model'!R87/'3Statement Model'!R$109</f>
        <v>0.28250938177554119</v>
      </c>
      <c r="S76" s="337">
        <f>'3Statement Model'!S87/'3Statement Model'!S$109</f>
        <v>0.28109230861430651</v>
      </c>
    </row>
    <row r="77" spans="2:19">
      <c r="B77" s="115" t="s">
        <v>189</v>
      </c>
      <c r="C77" s="152"/>
      <c r="D77" s="337"/>
      <c r="E77" s="337"/>
      <c r="F77" s="337"/>
      <c r="G77" s="337"/>
      <c r="H77" s="337"/>
      <c r="I77" s="337"/>
      <c r="J77" s="560"/>
      <c r="K77" s="560"/>
      <c r="L77" s="560"/>
      <c r="M77" s="560"/>
      <c r="N77" s="560"/>
      <c r="O77" s="560"/>
      <c r="P77" s="560"/>
      <c r="Q77" s="560"/>
      <c r="R77" s="560"/>
      <c r="S77" s="560"/>
    </row>
    <row r="78" spans="2:19">
      <c r="B78" s="121" t="s">
        <v>176</v>
      </c>
      <c r="C78" s="152"/>
      <c r="D78" s="337">
        <f>'3Statement Model'!D89/'3Statement Model'!D$109</f>
        <v>9.9240807820175653E-5</v>
      </c>
      <c r="E78" s="337">
        <f>'3Statement Model'!E89/'3Statement Model'!E$109</f>
        <v>2.9087947408991083E-5</v>
      </c>
      <c r="F78" s="337">
        <f>'3Statement Model'!F89/'3Statement Model'!F$109</f>
        <v>2.8361955273196536E-5</v>
      </c>
      <c r="G78" s="337">
        <f>'3Statement Model'!G89/'3Statement Model'!G$109</f>
        <v>9.7144499021713845E-4</v>
      </c>
      <c r="H78" s="337">
        <f>'3Statement Model'!H89/'3Statement Model'!H$109</f>
        <v>8.535140575039172E-4</v>
      </c>
      <c r="I78" s="337">
        <f>'3Statement Model'!I89/'3Statement Model'!I$109</f>
        <v>7.3860791186780171E-4</v>
      </c>
      <c r="J78" s="337">
        <f>'3Statement Model'!J89/'3Statement Model'!J$109</f>
        <v>7.065036718888959E-4</v>
      </c>
      <c r="K78" s="337">
        <f>'3Statement Model'!K89/'3Statement Model'!K$109</f>
        <v>6.9801491448753068E-4</v>
      </c>
      <c r="L78" s="337">
        <f>'3Statement Model'!L89/'3Statement Model'!L$109</f>
        <v>6.903745440955439E-4</v>
      </c>
      <c r="M78" s="337">
        <f>'3Statement Model'!M89/'3Statement Model'!M$109</f>
        <v>6.8369184977539225E-4</v>
      </c>
      <c r="N78" s="337">
        <f>'3Statement Model'!N89/'3Statement Model'!N$109</f>
        <v>6.7809977585815489E-4</v>
      </c>
      <c r="O78" s="337">
        <f>'3Statement Model'!O89/'3Statement Model'!O$109</f>
        <v>6.730305899573779E-4</v>
      </c>
      <c r="P78" s="337">
        <f>'3Statement Model'!P89/'3Statement Model'!P$109</f>
        <v>6.6962299193689377E-4</v>
      </c>
      <c r="Q78" s="337">
        <f>'3Statement Model'!Q89/'3Statement Model'!Q$109</f>
        <v>6.6881030927411482E-4</v>
      </c>
      <c r="R78" s="337">
        <f>'3Statement Model'!R89/'3Statement Model'!R$109</f>
        <v>6.7095836024112288E-4</v>
      </c>
      <c r="S78" s="337">
        <f>'3Statement Model'!S89/'3Statement Model'!S$109</f>
        <v>6.7648632913639827E-4</v>
      </c>
    </row>
    <row r="79" spans="2:19">
      <c r="B79" s="121" t="s">
        <v>178</v>
      </c>
      <c r="C79" s="152"/>
      <c r="D79" s="337">
        <f>'3Statement Model'!D90/'3Statement Model'!D$109</f>
        <v>1.1809656130600903E-2</v>
      </c>
      <c r="E79" s="337">
        <f>'3Statement Model'!E90/'3Statement Model'!E$109</f>
        <v>1.6143810811990052E-3</v>
      </c>
      <c r="F79" s="337">
        <f>'3Statement Model'!F90/'3Statement Model'!F$109</f>
        <v>1.6308124282088008E-3</v>
      </c>
      <c r="G79" s="337">
        <f>'3Statement Model'!G90/'3Statement Model'!G$109</f>
        <v>1.3408677329757685E-3</v>
      </c>
      <c r="H79" s="337">
        <f>'3Statement Model'!H90/'3Statement Model'!H$109</f>
        <v>1.2993796099313368E-3</v>
      </c>
      <c r="I79" s="337">
        <f>'3Statement Model'!I90/'3Statement Model'!I$109</f>
        <v>1.0891337005508263E-3</v>
      </c>
      <c r="J79" s="337">
        <f>'3Statement Model'!J90/'3Statement Model'!J$109</f>
        <v>1.0417935500734567E-3</v>
      </c>
      <c r="K79" s="337">
        <f>'3Statement Model'!K90/'3Statement Model'!K$109</f>
        <v>1.0292762298375452E-3</v>
      </c>
      <c r="L79" s="337">
        <f>'3Statement Model'!L90/'3Statement Model'!L$109</f>
        <v>1.0180099209544462E-3</v>
      </c>
      <c r="M79" s="337">
        <f>'3Statement Model'!M90/'3Statement Model'!M$109</f>
        <v>1.0081557784823582E-3</v>
      </c>
      <c r="N79" s="337">
        <f>'3Statement Model'!N90/'3Statement Model'!N$109</f>
        <v>9.9990983897727936E-4</v>
      </c>
      <c r="O79" s="337">
        <f>'3Statement Model'!O90/'3Statement Model'!O$109</f>
        <v>9.9243493773376059E-4</v>
      </c>
      <c r="P79" s="337">
        <f>'3Statement Model'!P90/'3Statement Model'!P$109</f>
        <v>9.8741017455101273E-4</v>
      </c>
      <c r="Q79" s="337">
        <f>'3Statement Model'!Q90/'3Statement Model'!Q$109</f>
        <v>9.8621181198047469E-4</v>
      </c>
      <c r="R79" s="337">
        <f>'3Statement Model'!R90/'3Statement Model'!R$109</f>
        <v>9.8937927696572344E-4</v>
      </c>
      <c r="S79" s="337">
        <f>'3Statement Model'!S90/'3Statement Model'!S$109</f>
        <v>9.9753068872655338E-4</v>
      </c>
    </row>
    <row r="80" spans="2:19">
      <c r="B80" s="75" t="s">
        <v>580</v>
      </c>
      <c r="C80" s="152"/>
      <c r="D80" s="337">
        <f>'3Statement Model'!D91/'3Statement Model'!D$109</f>
        <v>1.4886121173026347E-4</v>
      </c>
      <c r="E80" s="337">
        <f>'3Statement Model'!E91/'3Statement Model'!E$109</f>
        <v>1.1009788094303126E-2</v>
      </c>
      <c r="F80" s="337">
        <f>'3Statement Model'!F91/'3Statement Model'!F$109</f>
        <v>1.0337932697080136E-2</v>
      </c>
      <c r="G80" s="337">
        <f>'3Statement Model'!G91/'3Statement Model'!G$109</f>
        <v>9.9196847592595127E-3</v>
      </c>
      <c r="H80" s="337">
        <f>'3Statement Model'!H91/'3Statement Model'!H$109</f>
        <v>9.6816519955668229E-3</v>
      </c>
      <c r="I80" s="337">
        <f>'3Statement Model'!I91/'3Statement Model'!I$109</f>
        <v>9.5518277416124179E-3</v>
      </c>
      <c r="J80" s="337">
        <f>'3Statement Model'!J91/'3Statement Model'!J$109</f>
        <v>9.1366491805292809E-3</v>
      </c>
      <c r="K80" s="337">
        <f>'3Statement Model'!K91/'3Statement Model'!K$109</f>
        <v>9.0268708432878972E-3</v>
      </c>
      <c r="L80" s="337">
        <f>'3Statement Model'!L91/'3Statement Model'!L$109</f>
        <v>8.9280640194050846E-3</v>
      </c>
      <c r="M80" s="337">
        <f>'3Statement Model'!M91/'3Statement Model'!M$109</f>
        <v>8.8416420572648181E-3</v>
      </c>
      <c r="N80" s="337">
        <f>'3Statement Model'!N91/'3Statement Model'!N$109</f>
        <v>8.7693242199961378E-3</v>
      </c>
      <c r="O80" s="337">
        <f>'3Statement Model'!O91/'3Statement Model'!O$109</f>
        <v>8.7037684769064299E-3</v>
      </c>
      <c r="P80" s="337">
        <f>'3Statement Model'!P91/'3Statement Model'!P$109</f>
        <v>8.6597007262347436E-3</v>
      </c>
      <c r="Q80" s="337">
        <f>'3Statement Model'!Q91/'3Statement Model'!Q$109</f>
        <v>8.6491909487482997E-3</v>
      </c>
      <c r="R80" s="337">
        <f>'3Statement Model'!R91/'3Statement Model'!R$109</f>
        <v>8.6769699807453683E-3</v>
      </c>
      <c r="S80" s="337">
        <f>'3Statement Model'!S91/'3Statement Model'!S$109</f>
        <v>8.7484587988317271E-3</v>
      </c>
    </row>
    <row r="81" spans="2:19">
      <c r="B81" s="118" t="s">
        <v>177</v>
      </c>
      <c r="C81" s="152"/>
      <c r="D81" s="337">
        <f>'3Statement Model'!D92/'3Statement Model'!D$109</f>
        <v>1.4092194710464943E-2</v>
      </c>
      <c r="E81" s="337">
        <f>'3Statement Model'!E92/'3Statement Model'!E$109</f>
        <v>2.4724755297642423E-4</v>
      </c>
      <c r="F81" s="337">
        <f>'3Statement Model'!F92/'3Statement Model'!F$109</f>
        <v>1.5599075400258094E-4</v>
      </c>
      <c r="G81" s="337">
        <f>'3Statement Model'!G92/'3Statement Model'!G$109</f>
        <v>1.3682323805875191E-4</v>
      </c>
      <c r="H81" s="337">
        <f>'3Statement Model'!H92/'3Statement Model'!H$109</f>
        <v>1.2739015783640555E-4</v>
      </c>
      <c r="I81" s="337">
        <f>'3Statement Model'!I92/'3Statement Model'!I$109</f>
        <v>2.1281922884326489E-4</v>
      </c>
      <c r="J81" s="337">
        <f>'3Statement Model'!J92/'3Statement Model'!J$109</f>
        <v>2.0056044789365E-4</v>
      </c>
      <c r="K81" s="337">
        <f>'3Statement Model'!K92/'3Statement Model'!K$109</f>
        <v>1.9522234605305524E-4</v>
      </c>
      <c r="L81" s="337">
        <f>'3Statement Model'!L92/'3Statement Model'!L$109</f>
        <v>1.9023199060341152E-4</v>
      </c>
      <c r="M81" s="337">
        <f>'3Statement Model'!M92/'3Statement Model'!M$109</f>
        <v>1.8560648384706587E-4</v>
      </c>
      <c r="N81" s="337">
        <f>'3Statement Model'!N92/'3Statement Model'!N$109</f>
        <v>1.8136784773093042E-4</v>
      </c>
      <c r="O81" s="337">
        <f>'3Statement Model'!O92/'3Statement Model'!O$109</f>
        <v>1.7735174259848622E-4</v>
      </c>
      <c r="P81" s="337">
        <f>'3Statement Model'!P92/'3Statement Model'!P$109</f>
        <v>1.7384610748113623E-4</v>
      </c>
      <c r="Q81" s="337">
        <f>'3Statement Model'!Q92/'3Statement Model'!Q$109</f>
        <v>1.7106908426003337E-4</v>
      </c>
      <c r="R81" s="337">
        <f>'3Statement Model'!R92/'3Statement Model'!R$109</f>
        <v>1.6908228103675952E-4</v>
      </c>
      <c r="S81" s="337">
        <f>'3Statement Model'!S92/'3Statement Model'!S$109</f>
        <v>1.6795599564275692E-4</v>
      </c>
    </row>
    <row r="82" spans="2:19">
      <c r="B82" s="118" t="s">
        <v>192</v>
      </c>
      <c r="C82" s="152"/>
      <c r="D82" s="337">
        <f>'3Statement Model'!D93/'3Statement Model'!D$109</f>
        <v>5.3738897434625114E-2</v>
      </c>
      <c r="E82" s="337">
        <f>'3Statement Model'!E93/'3Statement Model'!E$109</f>
        <v>1.8121791235801446E-2</v>
      </c>
      <c r="F82" s="337">
        <f>'3Statement Model'!F93/'3Statement Model'!F$109</f>
        <v>1.6421572103180793E-2</v>
      </c>
      <c r="G82" s="337">
        <f>'3Statement Model'!G93/'3Statement Model'!G$109</f>
        <v>1.5926224910038721E-2</v>
      </c>
      <c r="H82" s="337">
        <f>'3Statement Model'!H93/'3Statement Model'!H$109</f>
        <v>1.4968343545777653E-2</v>
      </c>
      <c r="I82" s="337">
        <f>'3Statement Model'!I93/'3Statement Model'!I$109</f>
        <v>1.5010015022533801E-2</v>
      </c>
      <c r="J82" s="337">
        <f>'3Statement Model'!J93/'3Statement Model'!J$109</f>
        <v>1.414541041320508E-2</v>
      </c>
      <c r="K82" s="337">
        <f>'3Statement Model'!K93/'3Statement Model'!K$109</f>
        <v>1.3768917230447838E-2</v>
      </c>
      <c r="L82" s="337">
        <f>'3Statement Model'!L93/'3Statement Model'!L$109</f>
        <v>1.3416950396087672E-2</v>
      </c>
      <c r="M82" s="337">
        <f>'3Statement Model'!M93/'3Statement Model'!M$109</f>
        <v>1.309071612544894E-2</v>
      </c>
      <c r="N82" s="337">
        <f>'3Statement Model'!N93/'3Statement Model'!N$109</f>
        <v>1.2791767613493269E-2</v>
      </c>
      <c r="O82" s="337">
        <f>'3Statement Model'!O93/'3Statement Model'!O$109</f>
        <v>1.2508514080916763E-2</v>
      </c>
      <c r="P82" s="337">
        <f>'3Statement Model'!P93/'3Statement Model'!P$109</f>
        <v>1.2261263698228372E-2</v>
      </c>
      <c r="Q82" s="337">
        <f>'3Statement Model'!Q93/'3Statement Model'!Q$109</f>
        <v>1.2065401883987059E-2</v>
      </c>
      <c r="R82" s="337">
        <f>'3Statement Model'!R93/'3Statement Model'!R$109</f>
        <v>1.1925273821357333E-2</v>
      </c>
      <c r="S82" s="337">
        <f>'3Statement Model'!S93/'3Statement Model'!S$109</f>
        <v>1.184583757503915E-2</v>
      </c>
    </row>
    <row r="83" spans="2:19">
      <c r="B83" s="118" t="s">
        <v>14</v>
      </c>
      <c r="C83" s="152"/>
      <c r="D83" s="337">
        <f>'3Statement Model'!D94/'3Statement Model'!D$109</f>
        <v>7.2445789708728229E-3</v>
      </c>
      <c r="E83" s="337">
        <f>'3Statement Model'!E94/'3Statement Model'!E$109</f>
        <v>3.1851302412845236E-3</v>
      </c>
      <c r="F83" s="337">
        <f>'3Statement Model'!F94/'3Statement Model'!F$109</f>
        <v>2.7511096615000638E-3</v>
      </c>
      <c r="G83" s="337">
        <f>'3Statement Model'!G94/'3Statement Model'!G$109</f>
        <v>2.8869703230396649E-3</v>
      </c>
      <c r="H83" s="337">
        <f>'3Statement Model'!H94/'3Statement Model'!H$109</f>
        <v>3.7197926088230423E-3</v>
      </c>
      <c r="I83" s="337">
        <f>'3Statement Model'!I94/'3Statement Model'!I$109</f>
        <v>4.5067601402103159E-3</v>
      </c>
      <c r="J83" s="337">
        <f>'3Statement Model'!J94/'3Statement Model'!J$109</f>
        <v>4.2641510756871092E-3</v>
      </c>
      <c r="K83" s="337">
        <f>'3Statement Model'!K94/'3Statement Model'!K$109</f>
        <v>4.1672593774379971E-3</v>
      </c>
      <c r="L83" s="337">
        <f>'3Statement Model'!L94/'3Statement Model'!L$109</f>
        <v>4.0769770828457397E-3</v>
      </c>
      <c r="M83" s="337">
        <f>'3Statement Model'!M94/'3Statement Model'!M$109</f>
        <v>3.9937564243872712E-3</v>
      </c>
      <c r="N83" s="337">
        <f>'3Statement Model'!N94/'3Statement Model'!N$109</f>
        <v>3.918162490918837E-3</v>
      </c>
      <c r="O83" s="337">
        <f>'3Statement Model'!O94/'3Statement Model'!O$109</f>
        <v>3.8467265618419436E-3</v>
      </c>
      <c r="P83" s="337">
        <f>'3Statement Model'!P94/'3Statement Model'!P$109</f>
        <v>3.7857727431403827E-3</v>
      </c>
      <c r="Q83" s="337">
        <f>'3Statement Model'!Q94/'3Statement Model'!Q$109</f>
        <v>3.7401998843242237E-3</v>
      </c>
      <c r="R83" s="337">
        <f>'3Statement Model'!R94/'3Statement Model'!R$109</f>
        <v>3.7115480966843626E-3</v>
      </c>
      <c r="S83" s="337">
        <f>'3Statement Model'!S94/'3Statement Model'!S$109</f>
        <v>3.7015721525684407E-3</v>
      </c>
    </row>
    <row r="84" spans="2:19">
      <c r="B84" s="120" t="s">
        <v>13</v>
      </c>
      <c r="C84" s="153"/>
      <c r="D84" s="550">
        <f>'3Statement Model'!D95/'3Statement Model'!D$109</f>
        <v>0.38862700342380785</v>
      </c>
      <c r="E84" s="550">
        <f>'3Statement Model'!E95/'3Statement Model'!E$109</f>
        <v>0.79322832584318692</v>
      </c>
      <c r="F84" s="550">
        <f>'3Statement Model'!F95/'3Statement Model'!F$109</f>
        <v>0.77988286512472171</v>
      </c>
      <c r="G84" s="550">
        <f>'3Statement Model'!G95/'3Statement Model'!G$109</f>
        <v>0.76742785994773355</v>
      </c>
      <c r="H84" s="550">
        <f>'3Statement Model'!H95/'3Statement Model'!H$109</f>
        <v>0.72835322742964881</v>
      </c>
      <c r="I84" s="550">
        <f>'3Statement Model'!I95/'3Statement Model'!I$109</f>
        <v>0.72394842263395087</v>
      </c>
      <c r="J84" s="550">
        <f>'3Statement Model'!J95/'3Statement Model'!J$109</f>
        <v>0.69606870855514758</v>
      </c>
      <c r="K84" s="550">
        <f>'3Statement Model'!K95/'3Statement Model'!K$109</f>
        <v>0.68810361863329772</v>
      </c>
      <c r="L84" s="550">
        <f>'3Statement Model'!L95/'3Statement Model'!L$109</f>
        <v>0.68130211226442228</v>
      </c>
      <c r="M84" s="550">
        <f>'3Statement Model'!M95/'3Statement Model'!M$109</f>
        <v>0.6758147871859953</v>
      </c>
      <c r="N84" s="550">
        <f>'3Statement Model'!N95/'3Statement Model'!N$109</f>
        <v>0.67182233640183509</v>
      </c>
      <c r="O84" s="550">
        <f>'3Statement Model'!O95/'3Statement Model'!O$109</f>
        <v>0.668858331065183</v>
      </c>
      <c r="P84" s="550">
        <f>'3Statement Model'!P95/'3Statement Model'!P$109</f>
        <v>0.66799340513954975</v>
      </c>
      <c r="Q84" s="550">
        <f>'3Statement Model'!Q95/'3Statement Model'!Q$109</f>
        <v>0.66990309238676571</v>
      </c>
      <c r="R84" s="550">
        <f>'3Statement Model'!R95/'3Statement Model'!R$109</f>
        <v>0.6748078313198862</v>
      </c>
      <c r="S84" s="550">
        <f>'3Statement Model'!S95/'3Statement Model'!S$109</f>
        <v>0.68297671281770234</v>
      </c>
    </row>
    <row r="85" spans="2:19">
      <c r="B85" s="115"/>
      <c r="C85" s="152"/>
      <c r="D85" s="560"/>
      <c r="E85" s="560"/>
      <c r="F85" s="337"/>
      <c r="G85" s="560"/>
      <c r="H85" s="560"/>
      <c r="I85" s="560"/>
      <c r="J85" s="560"/>
      <c r="K85" s="560"/>
      <c r="L85" s="560"/>
      <c r="M85" s="560"/>
      <c r="N85" s="560"/>
      <c r="O85" s="560"/>
      <c r="P85" s="560"/>
      <c r="Q85" s="560"/>
      <c r="R85" s="560"/>
      <c r="S85" s="560"/>
    </row>
    <row r="86" spans="2:19">
      <c r="B86" s="115" t="s">
        <v>179</v>
      </c>
      <c r="C86" s="152"/>
      <c r="D86" s="560"/>
      <c r="E86" s="560"/>
      <c r="F86" s="337"/>
      <c r="G86" s="560"/>
      <c r="H86" s="560"/>
      <c r="I86" s="560"/>
      <c r="J86" s="560"/>
      <c r="K86" s="560"/>
      <c r="L86" s="560"/>
      <c r="M86" s="560"/>
      <c r="N86" s="560"/>
      <c r="O86" s="560"/>
      <c r="P86" s="560"/>
      <c r="Q86" s="560"/>
      <c r="R86" s="560"/>
      <c r="S86" s="560"/>
    </row>
    <row r="87" spans="2:19">
      <c r="B87" s="118" t="s">
        <v>181</v>
      </c>
      <c r="C87" s="152"/>
      <c r="D87" s="337">
        <f>'3Statement Model'!D98/'3Statement Model'!D$109</f>
        <v>0.13729965761921303</v>
      </c>
      <c r="E87" s="337">
        <f>'3Statement Model'!E98/'3Statement Model'!E$109</f>
        <v>5.2052881888389545E-2</v>
      </c>
      <c r="F87" s="337">
        <f>'3Statement Model'!F98/'3Statement Model'!F$109</f>
        <v>5.8085284399506505E-2</v>
      </c>
      <c r="G87" s="337">
        <f>'3Statement Model'!G98/'3Statement Model'!G$109</f>
        <v>5.8163558498775435E-2</v>
      </c>
      <c r="H87" s="337">
        <f>'3Statement Model'!H98/'3Statement Model'!H$109</f>
        <v>5.1236321481802315E-2</v>
      </c>
      <c r="I87" s="337">
        <f>'3Statement Model'!I98/'3Statement Model'!I$109</f>
        <v>5.5270405608412621E-2</v>
      </c>
      <c r="J87" s="337">
        <f>'3Statement Model'!J98/'3Statement Model'!J$109</f>
        <v>6.5199148824861788E-2</v>
      </c>
      <c r="K87" s="337">
        <f>'3Statement Model'!K98/'3Statement Model'!K$109</f>
        <v>6.872158730435346E-2</v>
      </c>
      <c r="L87" s="337">
        <f>'3Statement Model'!L98/'3Statement Model'!L$109</f>
        <v>7.2569081972904723E-2</v>
      </c>
      <c r="M87" s="337">
        <f>'3Statement Model'!M98/'3Statement Model'!M$109</f>
        <v>7.6789290943208979E-2</v>
      </c>
      <c r="N87" s="337">
        <f>'3Statement Model'!N98/'3Statement Model'!N$109</f>
        <v>8.1440332411026758E-2</v>
      </c>
      <c r="O87" s="337">
        <f>'3Statement Model'!O98/'3Statement Model'!O$109</f>
        <v>8.6906435811981861E-2</v>
      </c>
      <c r="P87" s="337">
        <f>'3Statement Model'!P98/'3Statement Model'!P$109</f>
        <v>9.2861244916041169E-2</v>
      </c>
      <c r="Q87" s="337">
        <f>'3Statement Model'!Q98/'3Statement Model'!Q$109</f>
        <v>9.9136368730296812E-2</v>
      </c>
      <c r="R87" s="337">
        <f>'3Statement Model'!R98/'3Statement Model'!R$109</f>
        <v>0.10580319934300689</v>
      </c>
      <c r="S87" s="337">
        <f>'3Statement Model'!S98/'3Statement Model'!S$109</f>
        <v>0.11295901439226608</v>
      </c>
    </row>
    <row r="88" spans="2:19">
      <c r="B88" s="115" t="s">
        <v>189</v>
      </c>
      <c r="C88" s="152"/>
      <c r="D88" s="337"/>
      <c r="E88" s="337"/>
      <c r="F88" s="337"/>
      <c r="G88" s="337"/>
      <c r="H88" s="337"/>
      <c r="I88" s="337"/>
      <c r="J88" s="560"/>
      <c r="K88" s="560"/>
      <c r="L88" s="560"/>
      <c r="M88" s="560"/>
      <c r="N88" s="560"/>
      <c r="O88" s="560"/>
      <c r="P88" s="560"/>
      <c r="Q88" s="560"/>
      <c r="R88" s="560"/>
      <c r="S88" s="560"/>
    </row>
    <row r="89" spans="2:19">
      <c r="B89" s="121" t="s">
        <v>180</v>
      </c>
      <c r="C89" s="152"/>
      <c r="D89" s="337">
        <f>'3Statement Model'!D100/'3Statement Model'!D$109</f>
        <v>6.2174366099340052E-2</v>
      </c>
      <c r="E89" s="337">
        <f>'3Statement Model'!E100/'3Statement Model'!E$109</f>
        <v>3.9370536818069436E-2</v>
      </c>
      <c r="F89" s="337">
        <f>'3Statement Model'!F100/'3Statement Model'!F$109</f>
        <v>4.99028603031893E-2</v>
      </c>
      <c r="G89" s="337">
        <f>'3Statement Model'!G100/'3Statement Model'!G$109</f>
        <v>3.846101221831516E-2</v>
      </c>
      <c r="H89" s="337">
        <f>'3Statement Model'!H100/'3Statement Model'!H$109</f>
        <v>5.8064433941833651E-2</v>
      </c>
      <c r="I89" s="337">
        <f>'3Statement Model'!I100/'3Statement Model'!I$109</f>
        <v>4.6957936905358037E-2</v>
      </c>
      <c r="J89" s="337">
        <f>'3Statement Model'!J100/'3Statement Model'!J$109</f>
        <v>4.4253072944063596E-2</v>
      </c>
      <c r="K89" s="337">
        <f>'3Statement Model'!K100/'3Statement Model'!K$109</f>
        <v>4.3075236473235898E-2</v>
      </c>
      <c r="L89" s="337">
        <f>'3Statement Model'!L100/'3Statement Model'!L$109</f>
        <v>4.1974129220788033E-2</v>
      </c>
      <c r="M89" s="337">
        <f>'3Statement Model'!M100/'3Statement Model'!M$109</f>
        <v>4.0953524759432008E-2</v>
      </c>
      <c r="N89" s="337">
        <f>'3Statement Model'!N100/'3Statement Model'!N$109</f>
        <v>4.0018282166983526E-2</v>
      </c>
      <c r="O89" s="337">
        <f>'3Statement Model'!O100/'3Statement Model'!O$109</f>
        <v>3.9132140381583636E-2</v>
      </c>
      <c r="P89" s="337">
        <f>'3Statement Model'!P100/'3Statement Model'!P$109</f>
        <v>3.835863230363188E-2</v>
      </c>
      <c r="Q89" s="337">
        <f>'3Statement Model'!Q100/'3Statement Model'!Q$109</f>
        <v>3.7745890297610891E-2</v>
      </c>
      <c r="R89" s="337">
        <f>'3Statement Model'!R100/'3Statement Model'!R$109</f>
        <v>3.7307508009934411E-2</v>
      </c>
      <c r="S89" s="337">
        <f>'3Statement Model'!S100/'3Statement Model'!S$109</f>
        <v>3.7058996450351836E-2</v>
      </c>
    </row>
    <row r="90" spans="2:19">
      <c r="B90" s="121" t="s">
        <v>182</v>
      </c>
      <c r="C90" s="152"/>
      <c r="D90" s="337">
        <f>'3Statement Model'!D101/'3Statement Model'!D$109</f>
        <v>5.7013844092690912E-2</v>
      </c>
      <c r="E90" s="337">
        <f>'3Statement Model'!E101/'3Statement Model'!E$109</f>
        <v>2.5568305772503162E-2</v>
      </c>
      <c r="F90" s="337">
        <f>'3Statement Model'!F101/'3Statement Model'!F$109</f>
        <v>3.1708665995433725E-2</v>
      </c>
      <c r="G90" s="337">
        <f>'3Statement Model'!G101/'3Statement Model'!G$109</f>
        <v>4.212787499828971E-2</v>
      </c>
      <c r="H90" s="337">
        <f>'3Statement Model'!H101/'3Statement Model'!H$109</f>
        <v>3.8178830303570749E-2</v>
      </c>
      <c r="I90" s="337">
        <f>'3Statement Model'!I101/'3Statement Model'!I$109</f>
        <v>4.7809213820731097E-2</v>
      </c>
      <c r="J90" s="337">
        <f>'3Statement Model'!J101/'3Statement Model'!J$109</f>
        <v>3.9917846219303131E-2</v>
      </c>
      <c r="K90" s="337">
        <f>'3Statement Model'!K101/'3Statement Model'!K$109</f>
        <v>3.7572027912853426E-2</v>
      </c>
      <c r="L90" s="337">
        <f>'3Statement Model'!L101/'3Statement Model'!L$109</f>
        <v>3.9859433970699465E-2</v>
      </c>
      <c r="M90" s="337">
        <f>'3Statement Model'!M101/'3Statement Model'!M$109</f>
        <v>4.2373811177490721E-2</v>
      </c>
      <c r="N90" s="337">
        <f>'3Statement Model'!N101/'3Statement Model'!N$109</f>
        <v>4.5150565439238684E-2</v>
      </c>
      <c r="O90" s="337">
        <f>'3Statement Model'!O101/'3Statement Model'!O$109</f>
        <v>4.8180976195138947E-2</v>
      </c>
      <c r="P90" s="337">
        <f>'3Statement Model'!P101/'3Statement Model'!P$109</f>
        <v>5.1482325663778895E-2</v>
      </c>
      <c r="Q90" s="337">
        <f>'3Statement Model'!Q101/'3Statement Model'!Q$109</f>
        <v>5.4961257785334353E-2</v>
      </c>
      <c r="R90" s="337">
        <f>'3Statement Model'!R101/'3Statement Model'!R$109</f>
        <v>5.8657352373115396E-2</v>
      </c>
      <c r="S90" s="337">
        <f>'3Statement Model'!S101/'3Statement Model'!S$109</f>
        <v>6.2624540203612508E-2</v>
      </c>
    </row>
    <row r="91" spans="2:19">
      <c r="B91" s="121" t="s">
        <v>183</v>
      </c>
      <c r="C91" s="152"/>
      <c r="D91" s="337">
        <f>'3Statement Model'!D102/'3Statement Model'!D$109</f>
        <v>0.15957921897484245</v>
      </c>
      <c r="E91" s="337">
        <f>'3Statement Model'!E102/'3Statement Model'!E$109</f>
        <v>2.6789999563680788E-2</v>
      </c>
      <c r="F91" s="337">
        <f>'3Statement Model'!F102/'3Statement Model'!F$109</f>
        <v>1.6265581349178212E-2</v>
      </c>
      <c r="G91" s="337">
        <f>'3Statement Model'!G102/'3Statement Model'!G$109</f>
        <v>9.7691791973948863E-3</v>
      </c>
      <c r="H91" s="337">
        <f>'3Statement Model'!H102/'3Statement Model'!H$109</f>
        <v>1.0344080816316131E-2</v>
      </c>
      <c r="I91" s="337">
        <f>'3Statement Model'!I102/'3Statement Model'!I$109</f>
        <v>7.5988983475212823E-2</v>
      </c>
      <c r="J91" s="337">
        <f>'3Statement Model'!J102/'3Statement Model'!J$109</f>
        <v>0.12048376788914521</v>
      </c>
      <c r="K91" s="337">
        <f>'3Statement Model'!K102/'3Statement Model'!K$109</f>
        <v>0.12802527320850174</v>
      </c>
      <c r="L91" s="337">
        <f>'3Statement Model'!L102/'3Statement Model'!L$109</f>
        <v>0.12925219173560926</v>
      </c>
      <c r="M91" s="337">
        <f>'3Statement Model'!M102/'3Statement Model'!M$109</f>
        <v>0.12835477964801492</v>
      </c>
      <c r="N91" s="337">
        <f>'3Statement Model'!N102/'3Statement Model'!N$109</f>
        <v>0.12503683076763095</v>
      </c>
      <c r="O91" s="337">
        <f>'3Statement Model'!O102/'3Statement Model'!O$109</f>
        <v>0.11939555816060826</v>
      </c>
      <c r="P91" s="337">
        <f>'3Statement Model'!P102/'3Statement Model'!P$109</f>
        <v>0.1106157186301948</v>
      </c>
      <c r="Q91" s="337">
        <f>'3Statement Model'!Q102/'3Statement Model'!Q$109</f>
        <v>9.8257544755457074E-2</v>
      </c>
      <c r="R91" s="337">
        <f>'3Statement Model'!R102/'3Statement Model'!R$109</f>
        <v>8.1952772563899337E-2</v>
      </c>
      <c r="S91" s="337">
        <f>'3Statement Model'!S102/'3Statement Model'!S$109</f>
        <v>6.1235126543211019E-2</v>
      </c>
    </row>
    <row r="92" spans="2:19">
      <c r="B92" s="121" t="s">
        <v>649</v>
      </c>
      <c r="C92" s="152"/>
      <c r="D92" s="337">
        <f>'3Statement Model'!D103/'3Statement Model'!D$109</f>
        <v>9.412990621743661E-2</v>
      </c>
      <c r="E92" s="337">
        <f>'3Statement Model'!E103/'3Statement Model'!E$109</f>
        <v>3.8236106869118783E-2</v>
      </c>
      <c r="F92" s="337">
        <f>'3Statement Model'!F103/'3Statement Model'!F$109</f>
        <v>3.8274458641178725E-2</v>
      </c>
      <c r="G92" s="337">
        <f>'3Statement Model'!G103/'3Statement Model'!G$109</f>
        <v>5.4236731566489255E-2</v>
      </c>
      <c r="H92" s="337">
        <f>'3Statement Model'!H103/'3Statement Model'!H$109</f>
        <v>8.5950139492222827E-2</v>
      </c>
      <c r="I92" s="337">
        <f>'3Statement Model'!I103/'3Statement Model'!I$109</f>
        <v>1.85778668002003E-2</v>
      </c>
      <c r="J92" s="337">
        <f>'3Statement Model'!J103/'3Statement Model'!J$109</f>
        <v>1.7507747333775095E-2</v>
      </c>
      <c r="K92" s="337">
        <f>'3Statement Model'!K103/'3Statement Model'!K$109</f>
        <v>1.7041762443690236E-2</v>
      </c>
      <c r="L92" s="337">
        <f>'3Statement Model'!L103/'3Statement Model'!L$109</f>
        <v>1.6606133767968392E-2</v>
      </c>
      <c r="M92" s="337">
        <f>'3Statement Model'!M103/'3Statement Model'!M$109</f>
        <v>1.620235423700269E-2</v>
      </c>
      <c r="N92" s="337">
        <f>'3Statement Model'!N103/'3Statement Model'!N$109</f>
        <v>1.5832346237217691E-2</v>
      </c>
      <c r="O92" s="337">
        <f>'3Statement Model'!O103/'3Statement Model'!O$109</f>
        <v>1.548176388330315E-2</v>
      </c>
      <c r="P92" s="337">
        <f>'3Statement Model'!P103/'3Statement Model'!P$109</f>
        <v>1.517574255894154E-2</v>
      </c>
      <c r="Q92" s="337">
        <f>'3Statement Model'!Q103/'3Statement Model'!Q$109</f>
        <v>1.4933324767169971E-2</v>
      </c>
      <c r="R92" s="337">
        <f>'3Statement Model'!R103/'3Statement Model'!R$109</f>
        <v>1.4759888532855949E-2</v>
      </c>
      <c r="S92" s="337">
        <f>'3Statement Model'!S103/'3Statement Model'!S$109</f>
        <v>1.4661570443167722E-2</v>
      </c>
    </row>
    <row r="93" spans="2:19">
      <c r="B93" s="121" t="s">
        <v>190</v>
      </c>
      <c r="C93" s="152"/>
      <c r="D93" s="337">
        <f>'3Statement Model'!D104/'3Statement Model'!D$109</f>
        <v>0</v>
      </c>
      <c r="E93" s="337">
        <f>'3Statement Model'!E104/'3Statement Model'!E$109</f>
        <v>0</v>
      </c>
      <c r="F93" s="337">
        <f>'3Statement Model'!F104/'3Statement Model'!F$109</f>
        <v>4.963342172809393E-4</v>
      </c>
      <c r="G93" s="337">
        <f>'3Statement Model'!G104/'3Statement Model'!G$109</f>
        <v>4.9256365701150684E-4</v>
      </c>
      <c r="H93" s="337">
        <f>'3Statement Model'!H104/'3Statement Model'!H$109</f>
        <v>4.8408259977834113E-4</v>
      </c>
      <c r="I93" s="337">
        <f>'3Statement Model'!I104/'3Statement Model'!I$109</f>
        <v>5.7586379569354027E-4</v>
      </c>
      <c r="J93" s="337">
        <f>'3Statement Model'!J104/'3Statement Model'!J$109</f>
        <v>5.4269297665340583E-4</v>
      </c>
      <c r="K93" s="337">
        <f>'3Statement Model'!K104/'3Statement Model'!K$109</f>
        <v>5.2824870108473772E-4</v>
      </c>
      <c r="L93" s="337">
        <f>'3Statement Model'!L104/'3Statement Model'!L$109</f>
        <v>5.1474538633864298E-4</v>
      </c>
      <c r="M93" s="337">
        <f>'3Statement Model'!M104/'3Statement Model'!M$109</f>
        <v>5.0222930923323709E-4</v>
      </c>
      <c r="N93" s="337">
        <f>'3Statement Model'!N104/'3Statement Model'!N$109</f>
        <v>4.90760058566047E-4</v>
      </c>
      <c r="O93" s="337">
        <f>'3Statement Model'!O104/'3Statement Model'!O$109</f>
        <v>4.7989295056060976E-4</v>
      </c>
      <c r="P93" s="337">
        <f>'3Statement Model'!P104/'3Statement Model'!P$109</f>
        <v>4.7040711436072157E-4</v>
      </c>
      <c r="Q93" s="337">
        <f>'3Statement Model'!Q104/'3Statement Model'!Q$109</f>
        <v>4.6289281623303148E-4</v>
      </c>
      <c r="R93" s="337">
        <f>'3Statement Model'!R104/'3Statement Model'!R$109</f>
        <v>4.5751676045240812E-4</v>
      </c>
      <c r="S93" s="337">
        <f>'3Statement Model'!S104/'3Statement Model'!S$109</f>
        <v>4.5446916468040109E-4</v>
      </c>
    </row>
    <row r="94" spans="2:19">
      <c r="B94" s="121" t="s">
        <v>191</v>
      </c>
      <c r="C94" s="152"/>
      <c r="D94" s="337">
        <f>'3Statement Model'!D105/'3Statement Model'!D$109</f>
        <v>7.046097355232471E-2</v>
      </c>
      <c r="E94" s="337">
        <f>'3Statement Model'!E105/'3Statement Model'!E$109</f>
        <v>1.7278240760940703E-2</v>
      </c>
      <c r="F94" s="337">
        <f>'3Statement Model'!F105/'3Statement Model'!F$109</f>
        <v>1.5443084646255514E-2</v>
      </c>
      <c r="G94" s="337">
        <f>'3Statement Model'!G105/'3Statement Model'!G$109</f>
        <v>1.8963700794943014E-2</v>
      </c>
      <c r="H94" s="337">
        <f>'3Statement Model'!H105/'3Statement Model'!H$109</f>
        <v>1.8153097491687791E-2</v>
      </c>
      <c r="I94" s="337">
        <f>'3Statement Model'!I105/'3Statement Model'!I$109</f>
        <v>1.8627941912869303E-2</v>
      </c>
      <c r="J94" s="337">
        <f>'3Statement Model'!J105/'3Statement Model'!J$109</f>
        <v>7.9325631070248509E-3</v>
      </c>
      <c r="K94" s="337">
        <f>'3Statement Model'!K105/'3Statement Model'!K$109</f>
        <v>8.3611264553630042E-3</v>
      </c>
      <c r="L94" s="337">
        <f>'3Statement Model'!L105/'3Statement Model'!L$109</f>
        <v>8.8292383067034071E-3</v>
      </c>
      <c r="M94" s="337">
        <f>'3Statement Model'!M105/'3Statement Model'!M$109</f>
        <v>9.3426970647570926E-3</v>
      </c>
      <c r="N94" s="337">
        <f>'3Statement Model'!N105/'3Statement Model'!N$109</f>
        <v>9.9085737766749227E-3</v>
      </c>
      <c r="O94" s="337">
        <f>'3Statement Model'!O105/'3Statement Model'!O$109</f>
        <v>1.0573616357124461E-2</v>
      </c>
      <c r="P94" s="337">
        <f>'3Statement Model'!P105/'3Statement Model'!P$109</f>
        <v>1.1298118131451675E-2</v>
      </c>
      <c r="Q94" s="337">
        <f>'3Statement Model'!Q105/'3Statement Model'!Q$109</f>
        <v>1.2061591528852781E-2</v>
      </c>
      <c r="R94" s="337">
        <f>'3Statement Model'!R105/'3Statement Model'!R$109</f>
        <v>1.2872722586732506E-2</v>
      </c>
      <c r="S94" s="337">
        <f>'3Statement Model'!S105/'3Statement Model'!S$109</f>
        <v>1.3743346751059041E-2</v>
      </c>
    </row>
    <row r="95" spans="2:19">
      <c r="B95" s="118" t="s">
        <v>184</v>
      </c>
      <c r="C95" s="152"/>
      <c r="D95" s="337">
        <f>'3Statement Model'!D106/'3Statement Model'!D$109</f>
        <v>3.0715030020344366E-2</v>
      </c>
      <c r="E95" s="337">
        <f>'3Statement Model'!E106/'3Statement Model'!E$109</f>
        <v>7.4756024841107086E-3</v>
      </c>
      <c r="F95" s="337">
        <f>'3Statement Model'!F106/'3Statement Model'!F$109</f>
        <v>9.9408653232553844E-3</v>
      </c>
      <c r="G95" s="337">
        <f>'3Statement Model'!G106/'3Statement Model'!G$109</f>
        <v>1.0357519121047518E-2</v>
      </c>
      <c r="H95" s="337">
        <f>'3Statement Model'!H106/'3Statement Model'!H$109</f>
        <v>9.2357864431394029E-3</v>
      </c>
      <c r="I95" s="337">
        <f>'3Statement Model'!I106/'3Statement Model'!I$109</f>
        <v>1.2243365047571357E-2</v>
      </c>
      <c r="J95" s="337">
        <f>'3Statement Model'!J106/'3Statement Model'!J$109</f>
        <v>8.094452150025357E-3</v>
      </c>
      <c r="K95" s="337">
        <f>'3Statement Model'!K106/'3Statement Model'!K$109</f>
        <v>8.5711188676196887E-3</v>
      </c>
      <c r="L95" s="337">
        <f>'3Statement Model'!L106/'3Statement Model'!L$109</f>
        <v>9.0929333745658168E-3</v>
      </c>
      <c r="M95" s="337">
        <f>'3Statement Model'!M106/'3Statement Model'!M$109</f>
        <v>9.6665256748650723E-3</v>
      </c>
      <c r="N95" s="337">
        <f>'3Statement Model'!N106/'3Statement Model'!N$109</f>
        <v>1.0299972740826325E-2</v>
      </c>
      <c r="O95" s="337">
        <f>'3Statement Model'!O106/'3Statement Model'!O$109</f>
        <v>1.0991285194516073E-2</v>
      </c>
      <c r="P95" s="337">
        <f>'3Statement Model'!P106/'3Statement Model'!P$109</f>
        <v>1.1744405542049559E-2</v>
      </c>
      <c r="Q95" s="337">
        <f>'3Statement Model'!Q106/'3Statement Model'!Q$109</f>
        <v>1.2538036932279398E-2</v>
      </c>
      <c r="R95" s="337">
        <f>'3Statement Model'!R106/'3Statement Model'!R$109</f>
        <v>1.3381208510116951E-2</v>
      </c>
      <c r="S95" s="337">
        <f>'3Statement Model'!S106/'3Statement Model'!S$109</f>
        <v>1.4286223233949106E-2</v>
      </c>
    </row>
    <row r="96" spans="2:19">
      <c r="B96" s="120" t="s">
        <v>16</v>
      </c>
      <c r="C96" s="153"/>
      <c r="D96" s="550">
        <f>'3Statement Model'!D107/'3Statement Model'!D$109</f>
        <v>0.61137299657619215</v>
      </c>
      <c r="E96" s="550">
        <f>'3Statement Model'!E107/'3Statement Model'!E$109</f>
        <v>0.20677167415681313</v>
      </c>
      <c r="F96" s="550">
        <f>'3Statement Model'!F107/'3Statement Model'!F$109</f>
        <v>0.22011713487527831</v>
      </c>
      <c r="G96" s="550">
        <f>'3Statement Model'!G107/'3Statement Model'!G$109</f>
        <v>0.23257214005226648</v>
      </c>
      <c r="H96" s="550">
        <f>'3Statement Model'!H107/'3Statement Model'!H$109</f>
        <v>0.27164677257035119</v>
      </c>
      <c r="I96" s="550">
        <f>'3Statement Model'!I107/'3Statement Model'!I$109</f>
        <v>0.27605157736604907</v>
      </c>
      <c r="J96" s="550">
        <f>'3Statement Model'!J107/'3Statement Model'!J$109</f>
        <v>0.30393129144485248</v>
      </c>
      <c r="K96" s="550">
        <f>'3Statement Model'!K107/'3Statement Model'!K$109</f>
        <v>0.31189638136670217</v>
      </c>
      <c r="L96" s="550">
        <f>'3Statement Model'!L107/'3Statement Model'!L$109</f>
        <v>0.31869788773557772</v>
      </c>
      <c r="M96" s="550">
        <f>'3Statement Model'!M107/'3Statement Model'!M$109</f>
        <v>0.3241852128140047</v>
      </c>
      <c r="N96" s="550">
        <f>'3Statement Model'!N107/'3Statement Model'!N$109</f>
        <v>0.32817766359816491</v>
      </c>
      <c r="O96" s="550">
        <f>'3Statement Model'!O107/'3Statement Model'!O$109</f>
        <v>0.33114166893481695</v>
      </c>
      <c r="P96" s="550">
        <f>'3Statement Model'!P107/'3Statement Model'!P$109</f>
        <v>0.33200659486045025</v>
      </c>
      <c r="Q96" s="550">
        <f>'3Statement Model'!Q107/'3Statement Model'!Q$109</f>
        <v>0.33009690761323435</v>
      </c>
      <c r="R96" s="550">
        <f>'3Statement Model'!R107/'3Statement Model'!R$109</f>
        <v>0.32519216868011386</v>
      </c>
      <c r="S96" s="550">
        <f>'3Statement Model'!S107/'3Statement Model'!S$109</f>
        <v>0.31702328718229772</v>
      </c>
    </row>
    <row r="97" spans="2:19">
      <c r="B97" s="115"/>
      <c r="C97" s="152"/>
      <c r="D97" s="337"/>
      <c r="E97" s="337"/>
      <c r="F97" s="337"/>
      <c r="G97" s="337"/>
      <c r="H97" s="337"/>
      <c r="I97" s="337"/>
      <c r="J97" s="560"/>
      <c r="K97" s="560"/>
      <c r="L97" s="560"/>
      <c r="M97" s="560"/>
      <c r="N97" s="560"/>
      <c r="O97" s="560"/>
      <c r="P97" s="560"/>
      <c r="Q97" s="560"/>
      <c r="R97" s="560"/>
      <c r="S97" s="560"/>
    </row>
    <row r="98" spans="2:19" ht="15" thickBot="1">
      <c r="B98" s="122" t="s">
        <v>12</v>
      </c>
      <c r="C98" s="307"/>
      <c r="D98" s="551">
        <f>'3Statement Model'!D109/'3Statement Model'!D$109</f>
        <v>1</v>
      </c>
      <c r="E98" s="551">
        <f>'3Statement Model'!E109/'3Statement Model'!E$109</f>
        <v>1</v>
      </c>
      <c r="F98" s="551">
        <f>'3Statement Model'!F109/'3Statement Model'!F$109</f>
        <v>1</v>
      </c>
      <c r="G98" s="551">
        <f>'3Statement Model'!G109/'3Statement Model'!G$109</f>
        <v>1</v>
      </c>
      <c r="H98" s="551">
        <f>'3Statement Model'!H109/'3Statement Model'!H$109</f>
        <v>1</v>
      </c>
      <c r="I98" s="551">
        <f>'3Statement Model'!I109/'3Statement Model'!I$109</f>
        <v>1</v>
      </c>
      <c r="J98" s="551">
        <f>'3Statement Model'!J109/'3Statement Model'!J$109</f>
        <v>1</v>
      </c>
      <c r="K98" s="551">
        <f>'3Statement Model'!K109/'3Statement Model'!K$109</f>
        <v>1</v>
      </c>
      <c r="L98" s="551">
        <f>'3Statement Model'!L109/'3Statement Model'!L$109</f>
        <v>1</v>
      </c>
      <c r="M98" s="551">
        <f>'3Statement Model'!M109/'3Statement Model'!M$109</f>
        <v>1</v>
      </c>
      <c r="N98" s="551">
        <f>'3Statement Model'!N109/'3Statement Model'!N$109</f>
        <v>1</v>
      </c>
      <c r="O98" s="551">
        <f>'3Statement Model'!O109/'3Statement Model'!O$109</f>
        <v>1</v>
      </c>
      <c r="P98" s="551">
        <f>'3Statement Model'!P109/'3Statement Model'!P$109</f>
        <v>1</v>
      </c>
      <c r="Q98" s="551">
        <f>'3Statement Model'!Q109/'3Statement Model'!Q$109</f>
        <v>1</v>
      </c>
      <c r="R98" s="551">
        <f>'3Statement Model'!R109/'3Statement Model'!R$109</f>
        <v>1</v>
      </c>
      <c r="S98" s="551">
        <f>'3Statement Model'!S109/'3Statement Model'!S$109</f>
        <v>1</v>
      </c>
    </row>
    <row r="99" spans="2:19">
      <c r="B99" s="152"/>
      <c r="C99" s="152"/>
      <c r="D99" s="152"/>
      <c r="E99" s="152"/>
      <c r="G99" s="84"/>
      <c r="H99" s="84"/>
      <c r="I99" s="84"/>
      <c r="J99" s="84"/>
      <c r="K99" s="84"/>
      <c r="L99" s="84"/>
      <c r="M99" s="84"/>
      <c r="N99" s="84"/>
      <c r="O99" s="84"/>
      <c r="P99" s="84"/>
      <c r="Q99" s="84"/>
      <c r="R99" s="84"/>
      <c r="S99" s="84"/>
    </row>
    <row r="100" spans="2:19">
      <c r="J100" s="46"/>
      <c r="K100" s="46"/>
      <c r="L100" s="46"/>
      <c r="M100" s="46"/>
      <c r="N100" s="46"/>
      <c r="O100" s="46"/>
      <c r="P100" s="46"/>
      <c r="Q100" s="46"/>
      <c r="R100" s="46"/>
      <c r="S100" s="46"/>
    </row>
  </sheetData>
  <mergeCells count="3">
    <mergeCell ref="D8:I8"/>
    <mergeCell ref="J8:N8"/>
    <mergeCell ref="O8:S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01" r:id="rId3" name="Drop Down 1">
              <controlPr defaultSize="0" autoLine="0" autoPict="0">
                <anchor moveWithCells="1">
                  <from>
                    <xdr:col>9</xdr:col>
                    <xdr:colOff>30480</xdr:colOff>
                    <xdr:row>2</xdr:row>
                    <xdr:rowOff>220980</xdr:rowOff>
                  </from>
                  <to>
                    <xdr:col>10</xdr:col>
                    <xdr:colOff>510540</xdr:colOff>
                    <xdr:row>4</xdr:row>
                    <xdr:rowOff>15240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5134-D5D4-4853-AD06-B4A22366F200}">
  <dimension ref="A2:S97"/>
  <sheetViews>
    <sheetView showGridLines="0" workbookViewId="0">
      <pane xSplit="1" ySplit="9" topLeftCell="B82" activePane="bottomRight" state="frozen"/>
      <selection pane="topRight" activeCell="B1" sqref="B1"/>
      <selection pane="bottomLeft" activeCell="A10" sqref="A10"/>
      <selection pane="bottomRight" activeCell="B9" sqref="B9"/>
    </sheetView>
  </sheetViews>
  <sheetFormatPr defaultRowHeight="14.4" outlineLevelRow="1"/>
  <cols>
    <col min="1" max="1" width="1.88671875" customWidth="1"/>
    <col min="2" max="2" width="38.21875" customWidth="1"/>
    <col min="4" max="14" width="8.6640625" customWidth="1"/>
    <col min="15" max="18" width="9.33203125" bestFit="1" customWidth="1"/>
    <col min="19" max="19" width="9.6640625" customWidth="1"/>
  </cols>
  <sheetData>
    <row r="2" spans="1:19" ht="21">
      <c r="B2" s="13" t="str">
        <f>'Input Sheet'!$C$6</f>
        <v>Hindustan Unilever Ltd.</v>
      </c>
    </row>
    <row r="3" spans="1:19" ht="18">
      <c r="B3" s="15" t="s">
        <v>150</v>
      </c>
    </row>
    <row r="4" spans="1:19">
      <c r="H4" t="s">
        <v>39</v>
      </c>
    </row>
    <row r="8" spans="1:19">
      <c r="D8" s="708" t="s">
        <v>24</v>
      </c>
      <c r="E8" s="708"/>
      <c r="F8" s="708"/>
      <c r="G8" s="708"/>
      <c r="H8" s="708"/>
      <c r="I8" s="708"/>
      <c r="J8" s="707" t="s">
        <v>25</v>
      </c>
      <c r="K8" s="707"/>
      <c r="L8" s="707"/>
      <c r="M8" s="707"/>
      <c r="N8" s="707"/>
      <c r="O8" s="708" t="s">
        <v>1056</v>
      </c>
      <c r="P8" s="708"/>
      <c r="Q8" s="708"/>
      <c r="R8" s="708"/>
      <c r="S8" s="708"/>
    </row>
    <row r="9" spans="1:19">
      <c r="B9" s="16" t="s">
        <v>1300</v>
      </c>
      <c r="D9" s="19">
        <v>2020</v>
      </c>
      <c r="E9" s="19">
        <f>D9+1</f>
        <v>2021</v>
      </c>
      <c r="F9" s="19">
        <f t="shared" ref="F9:M9" si="0">E9+1</f>
        <v>2022</v>
      </c>
      <c r="G9" s="19">
        <f t="shared" si="0"/>
        <v>2023</v>
      </c>
      <c r="H9" s="19">
        <f t="shared" si="0"/>
        <v>2024</v>
      </c>
      <c r="I9" s="19">
        <f t="shared" si="0"/>
        <v>2025</v>
      </c>
      <c r="J9" s="19">
        <f t="shared" si="0"/>
        <v>2026</v>
      </c>
      <c r="K9" s="19">
        <f t="shared" si="0"/>
        <v>2027</v>
      </c>
      <c r="L9" s="19">
        <f t="shared" si="0"/>
        <v>2028</v>
      </c>
      <c r="M9" s="19">
        <f t="shared" si="0"/>
        <v>2029</v>
      </c>
      <c r="N9" s="19">
        <f t="shared" ref="N9:S9" si="1">M9+1</f>
        <v>2030</v>
      </c>
      <c r="O9" s="19">
        <f t="shared" si="1"/>
        <v>2031</v>
      </c>
      <c r="P9" s="19">
        <f t="shared" si="1"/>
        <v>2032</v>
      </c>
      <c r="Q9" s="19">
        <f t="shared" si="1"/>
        <v>2033</v>
      </c>
      <c r="R9" s="19">
        <f t="shared" si="1"/>
        <v>2034</v>
      </c>
      <c r="S9" s="19">
        <f t="shared" si="1"/>
        <v>2035</v>
      </c>
    </row>
    <row r="11" spans="1:19" ht="18">
      <c r="A11" t="s">
        <v>27</v>
      </c>
      <c r="B11" s="68" t="s">
        <v>96</v>
      </c>
      <c r="C11" s="69"/>
      <c r="D11" s="69"/>
      <c r="E11" s="69"/>
      <c r="F11" s="70"/>
      <c r="G11" s="70"/>
      <c r="H11" s="70"/>
      <c r="I11" s="70"/>
      <c r="J11" s="70"/>
      <c r="K11" s="70"/>
      <c r="L11" s="70"/>
      <c r="M11" s="70"/>
      <c r="N11" s="70"/>
      <c r="O11" s="70"/>
      <c r="P11" s="70"/>
      <c r="Q11" s="70"/>
      <c r="R11" s="70"/>
      <c r="S11" s="70"/>
    </row>
    <row r="12" spans="1:19" outlineLevel="1"/>
    <row r="13" spans="1:19" outlineLevel="1">
      <c r="B13" t="s">
        <v>97</v>
      </c>
      <c r="D13" s="103">
        <f>'3Statement Model'!D107</f>
        <v>12321</v>
      </c>
      <c r="E13" s="103">
        <f>'3Statement Model'!E107</f>
        <v>14217</v>
      </c>
      <c r="F13" s="103">
        <f>'3Statement Model'!F107</f>
        <v>15522</v>
      </c>
      <c r="G13" s="103">
        <f>'3Statement Model'!G107</f>
        <v>16998</v>
      </c>
      <c r="H13" s="103">
        <f>'3Statement Model'!H107</f>
        <v>21324</v>
      </c>
      <c r="I13" s="103">
        <f>'3Statement Model'!I107</f>
        <v>22051</v>
      </c>
      <c r="J13" s="103">
        <f>'3Statement Model'!J107</f>
        <v>25761.9685677122</v>
      </c>
      <c r="K13" s="103">
        <f>'3Statement Model'!K107</f>
        <v>27159.997768866873</v>
      </c>
      <c r="L13" s="103">
        <f>'3Statement Model'!L107</f>
        <v>28480.299629518046</v>
      </c>
      <c r="M13" s="103">
        <f>'3Statement Model'!M107</f>
        <v>29692.651375148616</v>
      </c>
      <c r="N13" s="103">
        <f>'3Statement Model'!N107</f>
        <v>30760.801051383703</v>
      </c>
      <c r="O13" s="103">
        <f>'3Statement Model'!O107</f>
        <v>31741.488915823815</v>
      </c>
      <c r="P13" s="103">
        <f>'3Statement Model'!P107</f>
        <v>32466.140280075517</v>
      </c>
      <c r="Q13" s="103">
        <f>'3Statement Model'!Q107</f>
        <v>32803.39901098088</v>
      </c>
      <c r="R13" s="103">
        <f>'3Statement Model'!R107</f>
        <v>32695.719703237599</v>
      </c>
      <c r="S13" s="103">
        <f>'3Statement Model'!S107</f>
        <v>32088.142262943253</v>
      </c>
    </row>
    <row r="14" spans="1:19" outlineLevel="1">
      <c r="B14" t="s">
        <v>98</v>
      </c>
      <c r="D14" s="103">
        <f>'3Statement Model'!D77</f>
        <v>9317</v>
      </c>
      <c r="E14" s="103">
        <f>'3Statement Model'!E77</f>
        <v>11103</v>
      </c>
      <c r="F14" s="103">
        <f>'3Statement Model'!F77</f>
        <v>11280</v>
      </c>
      <c r="G14" s="103">
        <f>'3Statement Model'!G77</f>
        <v>12028</v>
      </c>
      <c r="H14" s="103">
        <f>'3Statement Model'!H77</f>
        <v>12879</v>
      </c>
      <c r="I14" s="103">
        <f>'3Statement Model'!I77</f>
        <v>16537</v>
      </c>
      <c r="J14" s="103">
        <f>'3Statement Model'!J77</f>
        <v>20240.282435616442</v>
      </c>
      <c r="K14" s="103">
        <f>'3Statement Model'!K77</f>
        <v>21521.479334180822</v>
      </c>
      <c r="L14" s="103">
        <f>'3Statement Model'!L77</f>
        <v>22923.198853377973</v>
      </c>
      <c r="M14" s="103">
        <f>'3Statement Model'!M77</f>
        <v>24457.722585075477</v>
      </c>
      <c r="N14" s="103">
        <f>'3Statement Model'!N77</f>
        <v>26138.647254135147</v>
      </c>
      <c r="O14" s="103">
        <f>'3Statement Model'!O77</f>
        <v>28084.943191997187</v>
      </c>
      <c r="P14" s="103">
        <f>'3Statement Model'!P77</f>
        <v>30180.608812584403</v>
      </c>
      <c r="Q14" s="103">
        <f>'3Statement Model'!Q77</f>
        <v>32334.120918237742</v>
      </c>
      <c r="R14" s="103">
        <f>'3Statement Model'!R77</f>
        <v>34529.706839632767</v>
      </c>
      <c r="S14" s="103">
        <f>'3Statement Model'!S77</f>
        <v>36751.998372044349</v>
      </c>
    </row>
    <row r="15" spans="1:19" outlineLevel="1">
      <c r="B15" s="39" t="s">
        <v>99</v>
      </c>
      <c r="C15" s="40"/>
      <c r="D15" s="105">
        <f t="shared" ref="D15:E15" si="2">D13/D14</f>
        <v>1.3224213802726199</v>
      </c>
      <c r="E15" s="105">
        <f t="shared" si="2"/>
        <v>1.2804647392596595</v>
      </c>
      <c r="F15" s="105">
        <f>F13/F14</f>
        <v>1.3760638297872341</v>
      </c>
      <c r="G15" s="105">
        <f t="shared" ref="G15:M15" si="3">G13/G14</f>
        <v>1.4132025274359827</v>
      </c>
      <c r="H15" s="105">
        <f t="shared" si="3"/>
        <v>1.6557186116934544</v>
      </c>
      <c r="I15" s="105">
        <f t="shared" si="3"/>
        <v>1.3334341174336337</v>
      </c>
      <c r="J15" s="105">
        <f t="shared" si="3"/>
        <v>1.2728067728135726</v>
      </c>
      <c r="K15" s="105">
        <f t="shared" si="3"/>
        <v>1.2619949282822231</v>
      </c>
      <c r="L15" s="105">
        <f t="shared" si="3"/>
        <v>1.2424225698902043</v>
      </c>
      <c r="M15" s="105">
        <f t="shared" si="3"/>
        <v>1.2140399120099425</v>
      </c>
      <c r="N15" s="105">
        <f t="shared" ref="N15:S15" si="4">N13/N14</f>
        <v>1.1768321731537705</v>
      </c>
      <c r="O15" s="105">
        <f t="shared" si="4"/>
        <v>1.1301959451663965</v>
      </c>
      <c r="P15" s="105">
        <f t="shared" si="4"/>
        <v>1.0757284745872362</v>
      </c>
      <c r="Q15" s="105">
        <f t="shared" si="4"/>
        <v>1.0145134019239239</v>
      </c>
      <c r="R15" s="105">
        <f t="shared" si="4"/>
        <v>0.94688668673288179</v>
      </c>
      <c r="S15" s="105">
        <f t="shared" si="4"/>
        <v>0.8730992513144894</v>
      </c>
    </row>
    <row r="16" spans="1:19" outlineLevel="1"/>
    <row r="17" spans="1:19" outlineLevel="1">
      <c r="B17" t="s">
        <v>97</v>
      </c>
      <c r="D17" s="104">
        <f t="shared" ref="D17:E17" si="5">D13</f>
        <v>12321</v>
      </c>
      <c r="E17" s="104">
        <f t="shared" si="5"/>
        <v>14217</v>
      </c>
      <c r="F17" s="104">
        <f>F13</f>
        <v>15522</v>
      </c>
      <c r="G17" s="104">
        <f t="shared" ref="G17:M17" si="6">G13</f>
        <v>16998</v>
      </c>
      <c r="H17" s="104">
        <f t="shared" si="6"/>
        <v>21324</v>
      </c>
      <c r="I17" s="104">
        <f t="shared" si="6"/>
        <v>22051</v>
      </c>
      <c r="J17" s="104">
        <f t="shared" si="6"/>
        <v>25761.9685677122</v>
      </c>
      <c r="K17" s="104">
        <f t="shared" si="6"/>
        <v>27159.997768866873</v>
      </c>
      <c r="L17" s="104">
        <f t="shared" si="6"/>
        <v>28480.299629518046</v>
      </c>
      <c r="M17" s="104">
        <f t="shared" si="6"/>
        <v>29692.651375148616</v>
      </c>
      <c r="N17" s="104">
        <f t="shared" ref="N17:S17" si="7">N13</f>
        <v>30760.801051383703</v>
      </c>
      <c r="O17" s="104">
        <f t="shared" si="7"/>
        <v>31741.488915823815</v>
      </c>
      <c r="P17" s="104">
        <f t="shared" si="7"/>
        <v>32466.140280075517</v>
      </c>
      <c r="Q17" s="104">
        <f t="shared" si="7"/>
        <v>32803.39901098088</v>
      </c>
      <c r="R17" s="104">
        <f t="shared" si="7"/>
        <v>32695.719703237599</v>
      </c>
      <c r="S17" s="104">
        <f t="shared" si="7"/>
        <v>32088.142262943253</v>
      </c>
    </row>
    <row r="18" spans="1:19" outlineLevel="1">
      <c r="B18" t="s">
        <v>19</v>
      </c>
      <c r="D18" s="103">
        <f>'3Statement Model'!D98</f>
        <v>2767</v>
      </c>
      <c r="E18" s="103">
        <f>'3Statement Model'!E98</f>
        <v>3579</v>
      </c>
      <c r="F18" s="103">
        <f>'3Statement Model'!F98</f>
        <v>4096</v>
      </c>
      <c r="G18" s="103">
        <f>'3Statement Model'!G98</f>
        <v>4251</v>
      </c>
      <c r="H18" s="103">
        <f>'3Statement Model'!H98</f>
        <v>4022</v>
      </c>
      <c r="I18" s="103">
        <f>'3Statement Model'!I98</f>
        <v>4415</v>
      </c>
      <c r="J18" s="103">
        <f>'3Statement Model'!J98</f>
        <v>5526.4412383561657</v>
      </c>
      <c r="K18" s="103">
        <f>'3Statement Model'!K98</f>
        <v>5984.289236317808</v>
      </c>
      <c r="L18" s="103">
        <f>'3Statement Model'!L98</f>
        <v>6485.1047903467406</v>
      </c>
      <c r="M18" s="103">
        <f>'3Statement Model'!M98</f>
        <v>7033.2561609764534</v>
      </c>
      <c r="N18" s="103">
        <f>'3Statement Model'!N98</f>
        <v>7633.5782130547123</v>
      </c>
      <c r="O18" s="103">
        <f>'3Statement Model'!O98</f>
        <v>8330.3912730559332</v>
      </c>
      <c r="P18" s="103">
        <f>'3Statement Model'!P98</f>
        <v>9080.6816813197602</v>
      </c>
      <c r="Q18" s="103">
        <f>'3Statement Model'!Q98</f>
        <v>9851.6822937643119</v>
      </c>
      <c r="R18" s="103">
        <f>'3Statement Model'!R98</f>
        <v>10637.746177791856</v>
      </c>
      <c r="S18" s="103">
        <f>'3Statement Model'!S98</f>
        <v>11433.371207259645</v>
      </c>
    </row>
    <row r="19" spans="1:19" outlineLevel="1">
      <c r="B19" t="s">
        <v>17</v>
      </c>
      <c r="D19" s="103">
        <f>'3Statement Model'!D106</f>
        <v>619</v>
      </c>
      <c r="E19" s="103">
        <f>'3Statement Model'!E106</f>
        <v>514</v>
      </c>
      <c r="F19" s="103">
        <f>'3Statement Model'!F106</f>
        <v>701</v>
      </c>
      <c r="G19" s="103">
        <f>'3Statement Model'!G106</f>
        <v>757</v>
      </c>
      <c r="H19" s="103">
        <f>'3Statement Model'!H106</f>
        <v>725</v>
      </c>
      <c r="I19" s="103">
        <f>'3Statement Model'!I106</f>
        <v>978</v>
      </c>
      <c r="J19" s="103">
        <f>'3Statement Model'!J106</f>
        <v>686.10580000000016</v>
      </c>
      <c r="K19" s="103">
        <f>'3Statement Model'!K106</f>
        <v>746.37470400000007</v>
      </c>
      <c r="L19" s="103">
        <f>'3Statement Model'!L106</f>
        <v>812.58607912000014</v>
      </c>
      <c r="M19" s="103">
        <f>'3Statement Model'!M106</f>
        <v>885.37282247160044</v>
      </c>
      <c r="N19" s="103">
        <f>'3Statement Model'!N106</f>
        <v>965.43868598924826</v>
      </c>
      <c r="O19" s="103">
        <f>'3Statement Model'!O106</f>
        <v>1053.5664638480305</v>
      </c>
      <c r="P19" s="103">
        <f>'3Statement Model'!P106</f>
        <v>1148.4576623983758</v>
      </c>
      <c r="Q19" s="103">
        <f>'3Statement Model'!Q106</f>
        <v>1245.9681348662421</v>
      </c>
      <c r="R19" s="103">
        <f>'3Statement Model'!R106</f>
        <v>1345.3836988544797</v>
      </c>
      <c r="S19" s="103">
        <f>'3Statement Model'!S106</f>
        <v>1446.0084860186314</v>
      </c>
    </row>
    <row r="20" spans="1:19" outlineLevel="1">
      <c r="B20" t="s">
        <v>98</v>
      </c>
      <c r="D20" s="104">
        <f t="shared" ref="D20:E20" si="8">D14</f>
        <v>9317</v>
      </c>
      <c r="E20" s="104">
        <f t="shared" si="8"/>
        <v>11103</v>
      </c>
      <c r="F20" s="104">
        <f>F14</f>
        <v>11280</v>
      </c>
      <c r="G20" s="104">
        <f t="shared" ref="G20:M20" si="9">G14</f>
        <v>12028</v>
      </c>
      <c r="H20" s="104">
        <f t="shared" si="9"/>
        <v>12879</v>
      </c>
      <c r="I20" s="104">
        <f t="shared" si="9"/>
        <v>16537</v>
      </c>
      <c r="J20" s="104">
        <f t="shared" si="9"/>
        <v>20240.282435616442</v>
      </c>
      <c r="K20" s="104">
        <f t="shared" si="9"/>
        <v>21521.479334180822</v>
      </c>
      <c r="L20" s="104">
        <f t="shared" si="9"/>
        <v>22923.198853377973</v>
      </c>
      <c r="M20" s="104">
        <f t="shared" si="9"/>
        <v>24457.722585075477</v>
      </c>
      <c r="N20" s="104">
        <f t="shared" ref="N20:S20" si="10">N14</f>
        <v>26138.647254135147</v>
      </c>
      <c r="O20" s="104">
        <f t="shared" si="10"/>
        <v>28084.943191997187</v>
      </c>
      <c r="P20" s="104">
        <f t="shared" si="10"/>
        <v>30180.608812584403</v>
      </c>
      <c r="Q20" s="104">
        <f t="shared" si="10"/>
        <v>32334.120918237742</v>
      </c>
      <c r="R20" s="104">
        <f t="shared" si="10"/>
        <v>34529.706839632767</v>
      </c>
      <c r="S20" s="104">
        <f t="shared" si="10"/>
        <v>36751.998372044349</v>
      </c>
    </row>
    <row r="21" spans="1:19" outlineLevel="1">
      <c r="B21" s="39" t="s">
        <v>99</v>
      </c>
      <c r="C21" s="40"/>
      <c r="D21" s="105">
        <f>(D17-D18-D19)/D20</f>
        <v>0.9589996780079425</v>
      </c>
      <c r="E21" s="105">
        <f t="shared" ref="E21" si="11">(E17-E18-E19)/E20</f>
        <v>0.91182563271187966</v>
      </c>
      <c r="F21" s="105">
        <f>(F17-F18-F19)/F20</f>
        <v>0.95079787234042556</v>
      </c>
      <c r="G21" s="105">
        <f t="shared" ref="G21" si="12">G17/G20</f>
        <v>1.4132025274359827</v>
      </c>
      <c r="H21" s="105">
        <f t="shared" ref="H21" si="13">H17/H20</f>
        <v>1.6557186116934544</v>
      </c>
      <c r="I21" s="105">
        <f t="shared" ref="I21" si="14">I17/I20</f>
        <v>1.3334341174336337</v>
      </c>
      <c r="J21" s="105">
        <f t="shared" ref="J21" si="15">J17/J20</f>
        <v>1.2728067728135726</v>
      </c>
      <c r="K21" s="105">
        <f t="shared" ref="K21" si="16">K17/K20</f>
        <v>1.2619949282822231</v>
      </c>
      <c r="L21" s="105">
        <f t="shared" ref="L21" si="17">L17/L20</f>
        <v>1.2424225698902043</v>
      </c>
      <c r="M21" s="105">
        <f t="shared" ref="M21:S21" si="18">M17/M20</f>
        <v>1.2140399120099425</v>
      </c>
      <c r="N21" s="105">
        <f t="shared" si="18"/>
        <v>1.1768321731537705</v>
      </c>
      <c r="O21" s="105">
        <f t="shared" si="18"/>
        <v>1.1301959451663965</v>
      </c>
      <c r="P21" s="105">
        <f t="shared" si="18"/>
        <v>1.0757284745872362</v>
      </c>
      <c r="Q21" s="105">
        <f t="shared" si="18"/>
        <v>1.0145134019239239</v>
      </c>
      <c r="R21" s="105">
        <f t="shared" si="18"/>
        <v>0.94688668673288179</v>
      </c>
      <c r="S21" s="105">
        <f t="shared" si="18"/>
        <v>0.8730992513144894</v>
      </c>
    </row>
    <row r="22" spans="1:19" outlineLevel="1"/>
    <row r="23" spans="1:19" outlineLevel="1">
      <c r="B23" t="s">
        <v>80</v>
      </c>
      <c r="D23" s="106">
        <f>'3Statement Model'!D115</f>
        <v>55.312722493017148</v>
      </c>
      <c r="E23" s="106">
        <f>'3Statement Model'!E115</f>
        <v>58.982075130937332</v>
      </c>
      <c r="F23" s="106">
        <f>'3Statement Model'!F115</f>
        <v>58.093646784534677</v>
      </c>
      <c r="G23" s="106">
        <f>'3Statement Model'!G115</f>
        <v>48.922152856602345</v>
      </c>
      <c r="H23" s="106">
        <f>'3Statement Model'!H115</f>
        <v>49.328965053763447</v>
      </c>
      <c r="I23" s="106">
        <f>'3Statement Model'!I115</f>
        <v>52.700470926810127</v>
      </c>
      <c r="J23" s="106">
        <f>'3Statement Model'!J115</f>
        <v>60</v>
      </c>
      <c r="K23" s="106">
        <f>'3Statement Model'!K115</f>
        <v>60</v>
      </c>
      <c r="L23" s="106">
        <f>'3Statement Model'!L115</f>
        <v>60</v>
      </c>
      <c r="M23" s="106">
        <f>'3Statement Model'!M115</f>
        <v>60</v>
      </c>
      <c r="N23" s="106">
        <f>'3Statement Model'!N115</f>
        <v>60</v>
      </c>
      <c r="O23" s="106">
        <f>'3Statement Model'!O115</f>
        <v>60</v>
      </c>
      <c r="P23" s="106">
        <f>'3Statement Model'!P115</f>
        <v>60.000000000000007</v>
      </c>
      <c r="Q23" s="106">
        <f>'3Statement Model'!Q115</f>
        <v>60</v>
      </c>
      <c r="R23" s="106">
        <f>'3Statement Model'!R115</f>
        <v>60</v>
      </c>
      <c r="S23" s="106">
        <f>'3Statement Model'!S115</f>
        <v>60</v>
      </c>
    </row>
    <row r="24" spans="1:19" outlineLevel="1">
      <c r="B24" t="s">
        <v>100</v>
      </c>
      <c r="D24" s="106">
        <f>'3Statement Model'!D114</f>
        <v>10.541814342809742</v>
      </c>
      <c r="E24" s="106">
        <f>'3Statement Model'!E114</f>
        <v>13.644424598111764</v>
      </c>
      <c r="F24" s="106">
        <f>'3Statement Model'!F114</f>
        <v>15.561529954619989</v>
      </c>
      <c r="G24" s="106">
        <f>'3Statement Model'!G114</f>
        <v>18.548192771084338</v>
      </c>
      <c r="H24" s="106">
        <f>'3Statement Model'!H114</f>
        <v>17.69042305453134</v>
      </c>
      <c r="I24" s="106">
        <f>'3Statement Model'!I114</f>
        <v>22.08353796676225</v>
      </c>
      <c r="J24" s="106">
        <f>'3Statement Model'!J114</f>
        <v>18</v>
      </c>
      <c r="K24" s="106">
        <f>'3Statement Model'!K114</f>
        <v>16</v>
      </c>
      <c r="L24" s="106">
        <f>'3Statement Model'!L114</f>
        <v>16</v>
      </c>
      <c r="M24" s="106">
        <f>'3Statement Model'!M114</f>
        <v>16</v>
      </c>
      <c r="N24" s="106">
        <f>'3Statement Model'!N114</f>
        <v>16</v>
      </c>
      <c r="O24" s="106">
        <f>'3Statement Model'!O114</f>
        <v>16</v>
      </c>
      <c r="P24" s="106">
        <f>'3Statement Model'!P114</f>
        <v>16</v>
      </c>
      <c r="Q24" s="106">
        <f>'3Statement Model'!Q114</f>
        <v>16</v>
      </c>
      <c r="R24" s="106">
        <f>'3Statement Model'!R114</f>
        <v>16</v>
      </c>
      <c r="S24" s="106">
        <f>'3Statement Model'!S114</f>
        <v>16</v>
      </c>
    </row>
    <row r="25" spans="1:19" outlineLevel="1">
      <c r="B25" t="s">
        <v>82</v>
      </c>
      <c r="D25" s="106">
        <f>'3Statement Model'!D116</f>
        <v>150.62571882359384</v>
      </c>
      <c r="E25" s="106">
        <f>'3Statement Model'!E116</f>
        <v>145.05734152067905</v>
      </c>
      <c r="F25" s="106">
        <f>'3Statement Model'!F116</f>
        <v>128.61161841849619</v>
      </c>
      <c r="G25" s="106">
        <f>'3Statement Model'!G116</f>
        <v>110.18129650649514</v>
      </c>
      <c r="H25" s="106">
        <f>'3Statement Model'!H116</f>
        <v>128.60853494623657</v>
      </c>
      <c r="I25" s="106">
        <f>'3Statement Model'!I116</f>
        <v>135.06360782261757</v>
      </c>
      <c r="J25" s="106">
        <f>'3Statement Model'!J116</f>
        <v>160</v>
      </c>
      <c r="K25" s="106">
        <f>'3Statement Model'!K116</f>
        <v>160</v>
      </c>
      <c r="L25" s="106">
        <f>'3Statement Model'!L116</f>
        <v>160</v>
      </c>
      <c r="M25" s="106">
        <f>'3Statement Model'!M116</f>
        <v>160</v>
      </c>
      <c r="N25" s="106">
        <f>'3Statement Model'!N116</f>
        <v>160</v>
      </c>
      <c r="O25" s="106">
        <f>'3Statement Model'!O116</f>
        <v>160</v>
      </c>
      <c r="P25" s="106">
        <f>'3Statement Model'!P116</f>
        <v>160</v>
      </c>
      <c r="Q25" s="106">
        <f>'3Statement Model'!Q116</f>
        <v>160</v>
      </c>
      <c r="R25" s="106">
        <f>'3Statement Model'!R116</f>
        <v>160</v>
      </c>
      <c r="S25" s="106">
        <f>'3Statement Model'!S116</f>
        <v>160</v>
      </c>
    </row>
    <row r="26" spans="1:19" outlineLevel="1">
      <c r="B26" s="39" t="s">
        <v>101</v>
      </c>
      <c r="C26" s="40"/>
      <c r="D26" s="107">
        <f>D23+D24-D25</f>
        <v>-84.771181987766951</v>
      </c>
      <c r="E26" s="107">
        <f t="shared" ref="E26" si="19">E23+E24-E25</f>
        <v>-72.430841791629945</v>
      </c>
      <c r="F26" s="107">
        <f>F23+F24-F25</f>
        <v>-54.956441679341523</v>
      </c>
      <c r="G26" s="107">
        <f t="shared" ref="G26:M26" si="20">G23+G24-G25</f>
        <v>-42.710950878808461</v>
      </c>
      <c r="H26" s="107">
        <f t="shared" si="20"/>
        <v>-61.589146837941783</v>
      </c>
      <c r="I26" s="107">
        <f t="shared" si="20"/>
        <v>-60.279598929045193</v>
      </c>
      <c r="J26" s="107">
        <f t="shared" si="20"/>
        <v>-82</v>
      </c>
      <c r="K26" s="107">
        <f t="shared" si="20"/>
        <v>-84</v>
      </c>
      <c r="L26" s="107">
        <f t="shared" si="20"/>
        <v>-84</v>
      </c>
      <c r="M26" s="107">
        <f t="shared" si="20"/>
        <v>-84</v>
      </c>
      <c r="N26" s="107">
        <f t="shared" ref="N26:S26" si="21">N23+N24-N25</f>
        <v>-84</v>
      </c>
      <c r="O26" s="107">
        <f t="shared" si="21"/>
        <v>-84</v>
      </c>
      <c r="P26" s="107">
        <f t="shared" si="21"/>
        <v>-84</v>
      </c>
      <c r="Q26" s="107">
        <f t="shared" si="21"/>
        <v>-84</v>
      </c>
      <c r="R26" s="107">
        <f t="shared" si="21"/>
        <v>-84</v>
      </c>
      <c r="S26" s="107">
        <f t="shared" si="21"/>
        <v>-84</v>
      </c>
    </row>
    <row r="28" spans="1:19" ht="18">
      <c r="A28" t="s">
        <v>27</v>
      </c>
      <c r="B28" s="68" t="s">
        <v>102</v>
      </c>
      <c r="C28" s="69"/>
      <c r="D28" s="70"/>
      <c r="E28" s="70"/>
      <c r="F28" s="70"/>
      <c r="G28" s="70"/>
      <c r="H28" s="70"/>
      <c r="I28" s="70"/>
      <c r="J28" s="70"/>
      <c r="K28" s="70"/>
      <c r="L28" s="70"/>
      <c r="M28" s="70"/>
      <c r="N28" s="70"/>
      <c r="O28" s="70"/>
      <c r="P28" s="70"/>
      <c r="Q28" s="70"/>
      <c r="R28" s="70"/>
      <c r="S28" s="70"/>
    </row>
    <row r="29" spans="1:19" outlineLevel="1"/>
    <row r="30" spans="1:19" outlineLevel="1">
      <c r="B30" t="s">
        <v>103</v>
      </c>
      <c r="D30" s="103">
        <f>'3Statement Model'!D61+'3Statement Model'!D70+'3Statement Model'!D71</f>
        <v>0</v>
      </c>
      <c r="E30" s="103">
        <f>'3Statement Model'!E61+'3Statement Model'!E70+'3Statement Model'!E71</f>
        <v>0</v>
      </c>
      <c r="F30" s="103">
        <f>'3Statement Model'!F61+'3Statement Model'!F70+'3Statement Model'!F71</f>
        <v>1043</v>
      </c>
      <c r="G30" s="103">
        <f>'3Statement Model'!G61+'3Statement Model'!G70+'3Statement Model'!G71</f>
        <v>1219</v>
      </c>
      <c r="H30" s="103">
        <f>'3Statement Model'!H61+'3Statement Model'!H70+'3Statement Model'!H71</f>
        <v>1484</v>
      </c>
      <c r="I30" s="103">
        <f>'3Statement Model'!I61+'3Statement Model'!I70+'3Statement Model'!I71</f>
        <v>1648</v>
      </c>
      <c r="J30" s="103">
        <f>'3Statement Model'!J61+'3Statement Model'!J70+'3Statement Model'!J71</f>
        <v>2058.3174000000004</v>
      </c>
      <c r="K30" s="103">
        <f>'3Statement Model'!K61+'3Statement Model'!K70+'3Statement Model'!K71</f>
        <v>2239.1241120000004</v>
      </c>
      <c r="L30" s="103">
        <f>'3Statement Model'!L61+'3Statement Model'!L70+'3Statement Model'!L71</f>
        <v>2437.7582373600003</v>
      </c>
      <c r="M30" s="103">
        <f>'3Statement Model'!M61+'3Statement Model'!M70+'3Statement Model'!M71</f>
        <v>2656.1184674148012</v>
      </c>
      <c r="N30" s="103">
        <f>'3Statement Model'!N61+'3Statement Model'!N70+'3Statement Model'!N71</f>
        <v>2896.3160579677447</v>
      </c>
      <c r="O30" s="103">
        <f>'3Statement Model'!O61+'3Statement Model'!O70+'3Statement Model'!O71</f>
        <v>3160.6993915440917</v>
      </c>
      <c r="P30" s="103">
        <f>'3Statement Model'!P61+'3Statement Model'!P70+'3Statement Model'!P71</f>
        <v>3445.3729871951273</v>
      </c>
      <c r="Q30" s="103">
        <f>'3Statement Model'!Q61+'3Statement Model'!Q70+'3Statement Model'!Q71</f>
        <v>3737.9044045987262</v>
      </c>
      <c r="R30" s="103">
        <f>'3Statement Model'!R61+'3Statement Model'!R70+'3Statement Model'!R71</f>
        <v>4036.1510965634388</v>
      </c>
      <c r="S30" s="103">
        <f>'3Statement Model'!S61+'3Statement Model'!S70+'3Statement Model'!S71</f>
        <v>4338.025458055894</v>
      </c>
    </row>
    <row r="31" spans="1:19" outlineLevel="1">
      <c r="B31" t="s">
        <v>104</v>
      </c>
      <c r="D31" s="103">
        <f>'3Statement Model'!D57</f>
        <v>8246</v>
      </c>
      <c r="E31" s="103">
        <f>'3Statement Model'!E57</f>
        <v>47694</v>
      </c>
      <c r="F31" s="103">
        <f>'3Statement Model'!F57</f>
        <v>49087</v>
      </c>
      <c r="G31" s="103">
        <f>'3Statement Model'!G57</f>
        <v>50522</v>
      </c>
      <c r="H31" s="103">
        <f>'3Statement Model'!H57</f>
        <v>51423</v>
      </c>
      <c r="I31" s="103">
        <f>'3Statement Model'!I57</f>
        <v>49609</v>
      </c>
      <c r="J31" s="103">
        <f>'3Statement Model'!J57</f>
        <v>50658.981210821417</v>
      </c>
      <c r="K31" s="103">
        <f>'3Statement Model'!K57</f>
        <v>51574.96644910091</v>
      </c>
      <c r="L31" s="103">
        <f>'3Statement Model'!L57</f>
        <v>52325.19877538993</v>
      </c>
      <c r="M31" s="103">
        <f>'3Statement Model'!M57</f>
        <v>52872.1596465564</v>
      </c>
      <c r="N31" s="103">
        <f>'3Statement Model'!N57</f>
        <v>53171.634699173555</v>
      </c>
      <c r="O31" s="103">
        <f>'3Statement Model'!O57</f>
        <v>53171.634699173548</v>
      </c>
      <c r="P31" s="103">
        <f>'3Statement Model'!P57</f>
        <v>52819.112562190283</v>
      </c>
      <c r="Q31" s="103">
        <f>'3Statement Model'!Q57</f>
        <v>52057.999816246651</v>
      </c>
      <c r="R31" s="103">
        <f>'3Statement Model'!R57</f>
        <v>50831.290479110692</v>
      </c>
      <c r="S31" s="103">
        <f>'3Statement Model'!S57</f>
        <v>49081.972682705265</v>
      </c>
    </row>
    <row r="32" spans="1:19" outlineLevel="1">
      <c r="B32" s="39" t="s">
        <v>105</v>
      </c>
      <c r="C32" s="40"/>
      <c r="D32" s="101">
        <f t="shared" ref="D32:E32" si="22">D30/D31</f>
        <v>0</v>
      </c>
      <c r="E32" s="101">
        <f t="shared" si="22"/>
        <v>0</v>
      </c>
      <c r="F32" s="101">
        <f>F30/F31</f>
        <v>2.1247988265732272E-2</v>
      </c>
      <c r="G32" s="101">
        <f t="shared" ref="G32:M32" si="23">G30/G31</f>
        <v>2.4128102608764499E-2</v>
      </c>
      <c r="H32" s="101">
        <f t="shared" si="23"/>
        <v>2.8858681912762772E-2</v>
      </c>
      <c r="I32" s="101">
        <f t="shared" si="23"/>
        <v>3.3219778669193088E-2</v>
      </c>
      <c r="J32" s="101">
        <f t="shared" si="23"/>
        <v>4.0630848682766584E-2</v>
      </c>
      <c r="K32" s="101">
        <f t="shared" si="23"/>
        <v>4.3414940738929639E-2</v>
      </c>
      <c r="L32" s="101">
        <f t="shared" si="23"/>
        <v>4.6588609205753258E-2</v>
      </c>
      <c r="M32" s="101">
        <f t="shared" si="23"/>
        <v>5.0236617629592063E-2</v>
      </c>
      <c r="N32" s="101">
        <f t="shared" ref="N32:S32" si="24">N30/N31</f>
        <v>5.4471074179947336E-2</v>
      </c>
      <c r="O32" s="101">
        <f t="shared" si="24"/>
        <v>5.9443336836007013E-2</v>
      </c>
      <c r="P32" s="101">
        <f t="shared" si="24"/>
        <v>6.5229664416237135E-2</v>
      </c>
      <c r="Q32" s="101">
        <f t="shared" si="24"/>
        <v>7.1802689649865747E-2</v>
      </c>
      <c r="R32" s="101">
        <f t="shared" si="24"/>
        <v>7.9402884690132153E-2</v>
      </c>
      <c r="S32" s="101">
        <f t="shared" si="24"/>
        <v>8.8383274366322678E-2</v>
      </c>
    </row>
    <row r="33" spans="1:19" outlineLevel="1"/>
    <row r="34" spans="1:19" outlineLevel="1">
      <c r="B34" t="s">
        <v>103</v>
      </c>
      <c r="D34" s="104">
        <f t="shared" ref="D34:E34" si="25">D30</f>
        <v>0</v>
      </c>
      <c r="E34" s="104">
        <f t="shared" si="25"/>
        <v>0</v>
      </c>
      <c r="F34" s="104">
        <f>F30</f>
        <v>1043</v>
      </c>
      <c r="G34" s="104">
        <f t="shared" ref="G34:M34" si="26">G30</f>
        <v>1219</v>
      </c>
      <c r="H34" s="104">
        <f t="shared" si="26"/>
        <v>1484</v>
      </c>
      <c r="I34" s="104">
        <f t="shared" si="26"/>
        <v>1648</v>
      </c>
      <c r="J34" s="104">
        <f t="shared" si="26"/>
        <v>2058.3174000000004</v>
      </c>
      <c r="K34" s="104">
        <f t="shared" si="26"/>
        <v>2239.1241120000004</v>
      </c>
      <c r="L34" s="104">
        <f t="shared" si="26"/>
        <v>2437.7582373600003</v>
      </c>
      <c r="M34" s="104">
        <f t="shared" si="26"/>
        <v>2656.1184674148012</v>
      </c>
      <c r="N34" s="104">
        <f t="shared" ref="N34:S34" si="27">N30</f>
        <v>2896.3160579677447</v>
      </c>
      <c r="O34" s="104">
        <f t="shared" si="27"/>
        <v>3160.6993915440917</v>
      </c>
      <c r="P34" s="104">
        <f t="shared" si="27"/>
        <v>3445.3729871951273</v>
      </c>
      <c r="Q34" s="104">
        <f t="shared" si="27"/>
        <v>3737.9044045987262</v>
      </c>
      <c r="R34" s="104">
        <f t="shared" si="27"/>
        <v>4036.1510965634388</v>
      </c>
      <c r="S34" s="104">
        <f t="shared" si="27"/>
        <v>4338.025458055894</v>
      </c>
    </row>
    <row r="35" spans="1:19" outlineLevel="1">
      <c r="B35" t="s">
        <v>12</v>
      </c>
      <c r="D35" s="103">
        <f>'3Statement Model'!D109</f>
        <v>20153</v>
      </c>
      <c r="E35" s="103">
        <f>'3Statement Model'!E109</f>
        <v>68757</v>
      </c>
      <c r="F35" s="103">
        <f>'3Statement Model'!F109</f>
        <v>70517</v>
      </c>
      <c r="G35" s="103">
        <f>'3Statement Model'!G109</f>
        <v>73087</v>
      </c>
      <c r="H35" s="103">
        <f>'3Statement Model'!H109</f>
        <v>78499</v>
      </c>
      <c r="I35" s="103">
        <f>'3Statement Model'!I109</f>
        <v>79880</v>
      </c>
      <c r="J35" s="103">
        <f>'3Statement Model'!J109</f>
        <v>84762.475246437869</v>
      </c>
      <c r="K35" s="103">
        <f>'3Statement Model'!K109</f>
        <v>87080.195191281731</v>
      </c>
      <c r="L35" s="103">
        <f>'3Statement Model'!L109</f>
        <v>89364.569787007902</v>
      </c>
      <c r="M35" s="103">
        <f>'3Statement Model'!M109</f>
        <v>91591.627876575076</v>
      </c>
      <c r="N35" s="103">
        <f>'3Statement Model'!N109</f>
        <v>93732.159325287212</v>
      </c>
      <c r="O35" s="103">
        <f>'3Statement Model'!O109</f>
        <v>95854.710818866821</v>
      </c>
      <c r="P35" s="103">
        <f>'3Statement Model'!P109</f>
        <v>97787.636699571449</v>
      </c>
      <c r="Q35" s="103">
        <f>'3Statement Model'!Q109</f>
        <v>99375.057004216898</v>
      </c>
      <c r="R35" s="103">
        <f>'3Statement Model'!R109</f>
        <v>100542.76471645244</v>
      </c>
      <c r="S35" s="103">
        <f>'3Statement Model'!S109</f>
        <v>101216.9880267869</v>
      </c>
    </row>
    <row r="36" spans="1:19" outlineLevel="1">
      <c r="B36" s="39" t="s">
        <v>106</v>
      </c>
      <c r="C36" s="40"/>
      <c r="D36" s="101">
        <f t="shared" ref="D36:E36" si="28">D34/D35</f>
        <v>0</v>
      </c>
      <c r="E36" s="101">
        <f t="shared" si="28"/>
        <v>0</v>
      </c>
      <c r="F36" s="101">
        <f>F34/F35</f>
        <v>1.4790759674971992E-2</v>
      </c>
      <c r="G36" s="101">
        <f t="shared" ref="G36" si="29">G34/G35</f>
        <v>1.6678752719361856E-2</v>
      </c>
      <c r="H36" s="101">
        <f t="shared" ref="H36" si="30">H34/H35</f>
        <v>1.8904699422922586E-2</v>
      </c>
      <c r="I36" s="101">
        <f t="shared" ref="I36" si="31">I34/I35</f>
        <v>2.0630946419629443E-2</v>
      </c>
      <c r="J36" s="101">
        <f t="shared" ref="J36" si="32">J34/J35</f>
        <v>2.4283356450076073E-2</v>
      </c>
      <c r="K36" s="101">
        <f t="shared" ref="K36" si="33">K34/K35</f>
        <v>2.5713356602859068E-2</v>
      </c>
      <c r="L36" s="101">
        <f t="shared" ref="L36" si="34">L34/L35</f>
        <v>2.7278800123697447E-2</v>
      </c>
      <c r="M36" s="101">
        <f t="shared" ref="M36:S36" si="35">M34/M35</f>
        <v>2.8999577024595217E-2</v>
      </c>
      <c r="N36" s="101">
        <f t="shared" si="35"/>
        <v>3.0899918222478971E-2</v>
      </c>
      <c r="O36" s="101">
        <f t="shared" si="35"/>
        <v>3.297385558354822E-2</v>
      </c>
      <c r="P36" s="101">
        <f t="shared" si="35"/>
        <v>3.5233216626148679E-2</v>
      </c>
      <c r="Q36" s="101">
        <f t="shared" si="35"/>
        <v>3.7614110796838199E-2</v>
      </c>
      <c r="R36" s="101">
        <f t="shared" si="35"/>
        <v>4.0143625530350849E-2</v>
      </c>
      <c r="S36" s="101">
        <f t="shared" si="35"/>
        <v>4.2858669701847311E-2</v>
      </c>
    </row>
    <row r="37" spans="1:19" outlineLevel="1"/>
    <row r="38" spans="1:19" outlineLevel="1">
      <c r="B38" t="s">
        <v>104</v>
      </c>
      <c r="D38" s="104">
        <f t="shared" ref="D38:E38" si="36">D31</f>
        <v>8246</v>
      </c>
      <c r="E38" s="104">
        <f t="shared" si="36"/>
        <v>47694</v>
      </c>
      <c r="F38" s="104">
        <f>F31</f>
        <v>49087</v>
      </c>
      <c r="G38" s="104">
        <f t="shared" ref="G38:M38" si="37">G31</f>
        <v>50522</v>
      </c>
      <c r="H38" s="104">
        <f t="shared" si="37"/>
        <v>51423</v>
      </c>
      <c r="I38" s="104">
        <f t="shared" si="37"/>
        <v>49609</v>
      </c>
      <c r="J38" s="104">
        <f t="shared" si="37"/>
        <v>50658.981210821417</v>
      </c>
      <c r="K38" s="104">
        <f t="shared" si="37"/>
        <v>51574.96644910091</v>
      </c>
      <c r="L38" s="104">
        <f t="shared" si="37"/>
        <v>52325.19877538993</v>
      </c>
      <c r="M38" s="104">
        <f t="shared" si="37"/>
        <v>52872.1596465564</v>
      </c>
      <c r="N38" s="104">
        <f t="shared" ref="N38:S38" si="38">N31</f>
        <v>53171.634699173555</v>
      </c>
      <c r="O38" s="104">
        <f t="shared" si="38"/>
        <v>53171.634699173548</v>
      </c>
      <c r="P38" s="104">
        <f t="shared" si="38"/>
        <v>52819.112562190283</v>
      </c>
      <c r="Q38" s="104">
        <f t="shared" si="38"/>
        <v>52057.999816246651</v>
      </c>
      <c r="R38" s="104">
        <f t="shared" si="38"/>
        <v>50831.290479110692</v>
      </c>
      <c r="S38" s="104">
        <f t="shared" si="38"/>
        <v>49081.972682705265</v>
      </c>
    </row>
    <row r="39" spans="1:19" outlineLevel="1">
      <c r="B39" t="s">
        <v>12</v>
      </c>
      <c r="D39" s="104">
        <f t="shared" ref="D39:E39" si="39">D35</f>
        <v>20153</v>
      </c>
      <c r="E39" s="104">
        <f t="shared" si="39"/>
        <v>68757</v>
      </c>
      <c r="F39" s="104">
        <f>F35</f>
        <v>70517</v>
      </c>
      <c r="G39" s="104">
        <f t="shared" ref="G39:M39" si="40">G35</f>
        <v>73087</v>
      </c>
      <c r="H39" s="104">
        <f t="shared" si="40"/>
        <v>78499</v>
      </c>
      <c r="I39" s="104">
        <f t="shared" si="40"/>
        <v>79880</v>
      </c>
      <c r="J39" s="104">
        <f t="shared" si="40"/>
        <v>84762.475246437869</v>
      </c>
      <c r="K39" s="104">
        <f t="shared" si="40"/>
        <v>87080.195191281731</v>
      </c>
      <c r="L39" s="104">
        <f t="shared" si="40"/>
        <v>89364.569787007902</v>
      </c>
      <c r="M39" s="104">
        <f t="shared" si="40"/>
        <v>91591.627876575076</v>
      </c>
      <c r="N39" s="104">
        <f t="shared" ref="N39:S39" si="41">N35</f>
        <v>93732.159325287212</v>
      </c>
      <c r="O39" s="104">
        <f t="shared" si="41"/>
        <v>95854.710818866821</v>
      </c>
      <c r="P39" s="104">
        <f t="shared" si="41"/>
        <v>97787.636699571449</v>
      </c>
      <c r="Q39" s="104">
        <f t="shared" si="41"/>
        <v>99375.057004216898</v>
      </c>
      <c r="R39" s="104">
        <f t="shared" si="41"/>
        <v>100542.76471645244</v>
      </c>
      <c r="S39" s="104">
        <f t="shared" si="41"/>
        <v>101216.9880267869</v>
      </c>
    </row>
    <row r="40" spans="1:19" outlineLevel="1">
      <c r="B40" s="39" t="s">
        <v>1113</v>
      </c>
      <c r="C40" s="40"/>
      <c r="D40" s="521">
        <f>D39/D38</f>
        <v>2.4439728353140917</v>
      </c>
      <c r="E40" s="521">
        <f t="shared" ref="E40" si="42">E38/E39</f>
        <v>0.6936602818622104</v>
      </c>
      <c r="F40" s="521">
        <f>F38/F39</f>
        <v>0.69610164924769913</v>
      </c>
      <c r="G40" s="521">
        <f t="shared" ref="G40" si="43">G38/G39</f>
        <v>0.69125836332042634</v>
      </c>
      <c r="H40" s="521">
        <f t="shared" ref="H40" si="44">H38/H39</f>
        <v>0.65507840864214828</v>
      </c>
      <c r="I40" s="521">
        <f t="shared" ref="I40" si="45">I38/I39</f>
        <v>0.62104406609914875</v>
      </c>
      <c r="J40" s="521">
        <f t="shared" ref="J40" si="46">J38/J39</f>
        <v>0.59765811538107905</v>
      </c>
      <c r="K40" s="521">
        <f t="shared" ref="K40" si="47">K38/K39</f>
        <v>0.59226976163535838</v>
      </c>
      <c r="L40" s="521">
        <f t="shared" ref="L40" si="48">L38/L39</f>
        <v>0.58552510128009516</v>
      </c>
      <c r="M40" s="521">
        <f t="shared" ref="M40:S40" si="49">M38/M39</f>
        <v>0.57725974384694456</v>
      </c>
      <c r="N40" s="521">
        <f t="shared" si="49"/>
        <v>0.56727205563084504</v>
      </c>
      <c r="O40" s="521">
        <f t="shared" si="49"/>
        <v>0.55471071004168027</v>
      </c>
      <c r="P40" s="521">
        <f t="shared" si="49"/>
        <v>0.54014100703204504</v>
      </c>
      <c r="Q40" s="521">
        <f t="shared" si="49"/>
        <v>0.52385378570437058</v>
      </c>
      <c r="R40" s="521">
        <f t="shared" si="49"/>
        <v>0.50556885542647956</v>
      </c>
      <c r="S40" s="521">
        <f t="shared" si="49"/>
        <v>0.48491832882555058</v>
      </c>
    </row>
    <row r="42" spans="1:19" ht="18">
      <c r="A42" t="s">
        <v>27</v>
      </c>
      <c r="B42" s="68" t="s">
        <v>107</v>
      </c>
      <c r="C42" s="69"/>
      <c r="D42" s="70"/>
      <c r="E42" s="70"/>
      <c r="F42" s="70"/>
      <c r="G42" s="70"/>
      <c r="H42" s="70"/>
      <c r="I42" s="70"/>
      <c r="J42" s="70"/>
      <c r="K42" s="70"/>
      <c r="L42" s="70"/>
      <c r="M42" s="70"/>
      <c r="N42" s="70"/>
      <c r="O42" s="70"/>
      <c r="P42" s="70"/>
      <c r="Q42" s="70"/>
      <c r="R42" s="70"/>
      <c r="S42" s="70"/>
    </row>
    <row r="43" spans="1:19" outlineLevel="1"/>
    <row r="44" spans="1:19" outlineLevel="1">
      <c r="B44" t="s">
        <v>3</v>
      </c>
      <c r="D44" s="103">
        <f>'3Statement Model'!D15</f>
        <v>21524</v>
      </c>
      <c r="E44" s="103">
        <f>'3Statement Model'!E15</f>
        <v>24880</v>
      </c>
      <c r="F44" s="103">
        <f>'3Statement Model'!F15</f>
        <v>26711</v>
      </c>
      <c r="G44" s="103">
        <f>'3Statement Model'!G15</f>
        <v>28874</v>
      </c>
      <c r="H44" s="103">
        <f>'3Statement Model'!H15</f>
        <v>32076</v>
      </c>
      <c r="I44" s="103">
        <f>'3Statement Model'!I15</f>
        <v>32543</v>
      </c>
      <c r="J44" s="103">
        <f>'3Statement Model'!J15</f>
        <v>34991.395800000006</v>
      </c>
      <c r="K44" s="103">
        <f>'3Statement Model'!K15</f>
        <v>38233.044212400004</v>
      </c>
      <c r="L44" s="103">
        <f>'3Statement Model'!L15</f>
        <v>41807.553770724</v>
      </c>
      <c r="M44" s="103">
        <f>'3Statement Model'!M15</f>
        <v>45751.640601219944</v>
      </c>
      <c r="N44" s="103">
        <f>'3Statement Model'!N15</f>
        <v>50106.267802841983</v>
      </c>
      <c r="O44" s="103">
        <f>'3Statement Model'!O15</f>
        <v>54680.099473712777</v>
      </c>
      <c r="P44" s="103">
        <f>'3Statement Model'!P15</f>
        <v>59604.952678475711</v>
      </c>
      <c r="Q44" s="103">
        <f>'3Statement Model'!Q15</f>
        <v>64665.746199557965</v>
      </c>
      <c r="R44" s="103">
        <f>'3Statement Model'!R15</f>
        <v>69825.413970547495</v>
      </c>
      <c r="S44" s="103">
        <f>'3Statement Model'!S15</f>
        <v>75047.840424366965</v>
      </c>
    </row>
    <row r="45" spans="1:19" outlineLevel="1">
      <c r="B45" t="s">
        <v>5</v>
      </c>
      <c r="D45" s="103">
        <f>'3Statement Model'!D13</f>
        <v>39783</v>
      </c>
      <c r="E45" s="103">
        <f>'3Statement Model'!E13</f>
        <v>47028</v>
      </c>
      <c r="F45" s="103">
        <f>'3Statement Model'!F13</f>
        <v>52446</v>
      </c>
      <c r="G45" s="103">
        <f>'3Statement Model'!G13</f>
        <v>60590</v>
      </c>
      <c r="H45" s="103">
        <f>'3Statement Model'!H13</f>
        <v>61836</v>
      </c>
      <c r="I45" s="103">
        <f>'3Statement Model'!I13</f>
        <v>63121</v>
      </c>
      <c r="J45" s="103">
        <f>'3Statement Model'!J13</f>
        <v>68610.580000000016</v>
      </c>
      <c r="K45" s="103">
        <f>'3Statement Model'!K13</f>
        <v>74637.470400000006</v>
      </c>
      <c r="L45" s="103">
        <f>'3Statement Model'!L13</f>
        <v>81258.607912000007</v>
      </c>
      <c r="M45" s="103">
        <f>'3Statement Model'!M13</f>
        <v>88537.282247160038</v>
      </c>
      <c r="N45" s="103">
        <f>'3Statement Model'!N13</f>
        <v>96543.868598924819</v>
      </c>
      <c r="O45" s="103">
        <f>'3Statement Model'!O13</f>
        <v>105356.64638480304</v>
      </c>
      <c r="P45" s="103">
        <f>'3Statement Model'!P13</f>
        <v>114845.76623983758</v>
      </c>
      <c r="Q45" s="103">
        <f>'3Statement Model'!Q13</f>
        <v>124596.8134866242</v>
      </c>
      <c r="R45" s="103">
        <f>'3Statement Model'!R13</f>
        <v>134538.36988544796</v>
      </c>
      <c r="S45" s="103">
        <f>'3Statement Model'!S13</f>
        <v>144600.84860186314</v>
      </c>
    </row>
    <row r="46" spans="1:19" outlineLevel="1">
      <c r="B46" s="39" t="s">
        <v>108</v>
      </c>
      <c r="C46" s="40"/>
      <c r="D46" s="102">
        <f t="shared" ref="D46:E46" si="50">D44/D45</f>
        <v>0.54103511550159611</v>
      </c>
      <c r="E46" s="102">
        <f t="shared" si="50"/>
        <v>0.52904652547418562</v>
      </c>
      <c r="F46" s="102">
        <f>F44/F45</f>
        <v>0.50930480875567252</v>
      </c>
      <c r="G46" s="102">
        <f t="shared" ref="G46" si="51">G44/G45</f>
        <v>0.47654728503053312</v>
      </c>
      <c r="H46" s="102">
        <f t="shared" ref="H46" si="52">H44/H45</f>
        <v>0.51872695517174461</v>
      </c>
      <c r="I46" s="102">
        <f t="shared" ref="I46" si="53">I44/I45</f>
        <v>0.51556534275439236</v>
      </c>
      <c r="J46" s="102">
        <f t="shared" ref="J46" si="54">J44/J45</f>
        <v>0.51</v>
      </c>
      <c r="K46" s="102">
        <f t="shared" ref="K46" si="55">K44/K45</f>
        <v>0.51224999999999998</v>
      </c>
      <c r="L46" s="102">
        <f t="shared" ref="L46" si="56">L44/L45</f>
        <v>0.51449999999999996</v>
      </c>
      <c r="M46" s="102">
        <f t="shared" ref="M46:S46" si="57">M44/M45</f>
        <v>0.51674999999999993</v>
      </c>
      <c r="N46" s="102">
        <f t="shared" si="57"/>
        <v>0.51900000000000002</v>
      </c>
      <c r="O46" s="102">
        <f t="shared" si="57"/>
        <v>0.51900000000000002</v>
      </c>
      <c r="P46" s="102">
        <f t="shared" si="57"/>
        <v>0.51900000000000002</v>
      </c>
      <c r="Q46" s="102">
        <f t="shared" si="57"/>
        <v>0.51900000000000002</v>
      </c>
      <c r="R46" s="102">
        <f t="shared" si="57"/>
        <v>0.51900000000000002</v>
      </c>
      <c r="S46" s="102">
        <f t="shared" si="57"/>
        <v>0.51900000000000002</v>
      </c>
    </row>
    <row r="47" spans="1:19" outlineLevel="1"/>
    <row r="48" spans="1:19" outlineLevel="1">
      <c r="B48" t="s">
        <v>63</v>
      </c>
      <c r="D48" s="103">
        <f>'3Statement Model'!D22</f>
        <v>9861</v>
      </c>
      <c r="E48" s="103">
        <f>'3Statement Model'!E22</f>
        <v>11626</v>
      </c>
      <c r="F48" s="103">
        <f>'3Statement Model'!F22</f>
        <v>12857</v>
      </c>
      <c r="G48" s="103">
        <f>'3Statement Model'!G22</f>
        <v>14159</v>
      </c>
      <c r="H48" s="103">
        <f>'3Statement Model'!H22</f>
        <v>14603</v>
      </c>
      <c r="I48" s="103">
        <f>'3Statement Model'!I22</f>
        <v>14851</v>
      </c>
      <c r="J48" s="103">
        <f>'3Statement Model'!J22</f>
        <v>15780.433400000002</v>
      </c>
      <c r="K48" s="103">
        <f>'3Statement Model'!K22</f>
        <v>17334.552500400001</v>
      </c>
      <c r="L48" s="103">
        <f>'3Statement Model'!L22</f>
        <v>19055.143555363997</v>
      </c>
      <c r="M48" s="103">
        <f>'3Statement Model'!M22</f>
        <v>20961.201572015132</v>
      </c>
      <c r="N48" s="103">
        <f>'3Statement Model'!N22</f>
        <v>23073.984595143032</v>
      </c>
      <c r="O48" s="103">
        <f>'3Statement Model'!O22</f>
        <v>25180.238485967922</v>
      </c>
      <c r="P48" s="103">
        <f>'3Statement Model'!P22</f>
        <v>27448.138131321186</v>
      </c>
      <c r="Q48" s="103">
        <f>'3Statement Model'!Q22</f>
        <v>29778.638423303186</v>
      </c>
      <c r="R48" s="103">
        <f>'3Statement Model'!R22</f>
        <v>32154.670402622069</v>
      </c>
      <c r="S48" s="103">
        <f>'3Statement Model'!S22</f>
        <v>34559.602815845283</v>
      </c>
    </row>
    <row r="49" spans="2:19" outlineLevel="1">
      <c r="B49" t="s">
        <v>5</v>
      </c>
      <c r="D49" s="104">
        <f t="shared" ref="D49:E49" si="58">D45</f>
        <v>39783</v>
      </c>
      <c r="E49" s="104">
        <f t="shared" si="58"/>
        <v>47028</v>
      </c>
      <c r="F49" s="104">
        <f>F45</f>
        <v>52446</v>
      </c>
      <c r="G49" s="104">
        <f t="shared" ref="G49:M49" si="59">G45</f>
        <v>60590</v>
      </c>
      <c r="H49" s="104">
        <f t="shared" si="59"/>
        <v>61836</v>
      </c>
      <c r="I49" s="104">
        <f t="shared" si="59"/>
        <v>63121</v>
      </c>
      <c r="J49" s="104">
        <f t="shared" si="59"/>
        <v>68610.580000000016</v>
      </c>
      <c r="K49" s="104">
        <f t="shared" si="59"/>
        <v>74637.470400000006</v>
      </c>
      <c r="L49" s="104">
        <f t="shared" si="59"/>
        <v>81258.607912000007</v>
      </c>
      <c r="M49" s="104">
        <f t="shared" si="59"/>
        <v>88537.282247160038</v>
      </c>
      <c r="N49" s="104">
        <f t="shared" ref="N49:S49" si="60">N45</f>
        <v>96543.868598924819</v>
      </c>
      <c r="O49" s="104">
        <f t="shared" si="60"/>
        <v>105356.64638480304</v>
      </c>
      <c r="P49" s="104">
        <f t="shared" si="60"/>
        <v>114845.76623983758</v>
      </c>
      <c r="Q49" s="104">
        <f t="shared" si="60"/>
        <v>124596.8134866242</v>
      </c>
      <c r="R49" s="104">
        <f t="shared" si="60"/>
        <v>134538.36988544796</v>
      </c>
      <c r="S49" s="104">
        <f t="shared" si="60"/>
        <v>144600.84860186314</v>
      </c>
    </row>
    <row r="50" spans="2:19" outlineLevel="1">
      <c r="B50" s="39" t="s">
        <v>109</v>
      </c>
      <c r="C50" s="40"/>
      <c r="D50" s="102">
        <f t="shared" ref="D50:E50" si="61">D48/D49</f>
        <v>0.24786969308498605</v>
      </c>
      <c r="E50" s="102">
        <f t="shared" si="61"/>
        <v>0.24721442544866887</v>
      </c>
      <c r="F50" s="102">
        <f>F48/F49</f>
        <v>0.24514738969606834</v>
      </c>
      <c r="G50" s="102">
        <f t="shared" ref="G50" si="62">G48/G49</f>
        <v>0.23368542663805908</v>
      </c>
      <c r="H50" s="102">
        <f t="shared" ref="H50" si="63">H48/H49</f>
        <v>0.23615693123746684</v>
      </c>
      <c r="I50" s="102">
        <f t="shared" ref="I50" si="64">I48/I49</f>
        <v>0.23527827505901364</v>
      </c>
      <c r="J50" s="102">
        <f t="shared" ref="J50" si="65">J48/J49</f>
        <v>0.22999999999999998</v>
      </c>
      <c r="K50" s="102">
        <f t="shared" ref="K50" si="66">K48/K49</f>
        <v>0.23224999999999998</v>
      </c>
      <c r="L50" s="102">
        <f t="shared" ref="L50" si="67">L48/L49</f>
        <v>0.23449999999999993</v>
      </c>
      <c r="M50" s="102">
        <f t="shared" ref="M50:S50" si="68">M48/M49</f>
        <v>0.23674999999999993</v>
      </c>
      <c r="N50" s="102">
        <f t="shared" si="68"/>
        <v>0.23900000000000002</v>
      </c>
      <c r="O50" s="102">
        <f t="shared" si="68"/>
        <v>0.23899999999999996</v>
      </c>
      <c r="P50" s="102">
        <f t="shared" si="68"/>
        <v>0.23900000000000002</v>
      </c>
      <c r="Q50" s="102">
        <f t="shared" si="68"/>
        <v>0.23900000000000002</v>
      </c>
      <c r="R50" s="102">
        <f t="shared" si="68"/>
        <v>0.23900000000000005</v>
      </c>
      <c r="S50" s="102">
        <f t="shared" si="68"/>
        <v>0.23899999999999996</v>
      </c>
    </row>
    <row r="51" spans="2:19" outlineLevel="1"/>
    <row r="52" spans="2:19" outlineLevel="1">
      <c r="B52" t="s">
        <v>112</v>
      </c>
      <c r="D52" s="103">
        <f>'3Statement Model'!D28</f>
        <v>8859</v>
      </c>
      <c r="E52" s="103">
        <f>'3Statement Model'!E28</f>
        <v>10552</v>
      </c>
      <c r="F52" s="103">
        <f>'3Statement Model'!F28</f>
        <v>11766</v>
      </c>
      <c r="G52" s="103">
        <f>'3Statement Model'!G28</f>
        <v>13022</v>
      </c>
      <c r="H52" s="103">
        <f>'3Statement Model'!H28</f>
        <v>13387</v>
      </c>
      <c r="I52" s="103">
        <f>'3Statement Model'!I28</f>
        <v>13496</v>
      </c>
      <c r="J52" s="103">
        <f>'3Statement Model'!J28</f>
        <v>14249.57367466663</v>
      </c>
      <c r="K52" s="103">
        <f>'3Statement Model'!K28</f>
        <v>15630.161288841487</v>
      </c>
      <c r="L52" s="103">
        <f>'3Statement Model'!L28</f>
        <v>17161.707573314394</v>
      </c>
      <c r="M52" s="103">
        <f>'3Statement Model'!M28</f>
        <v>18861.658378937478</v>
      </c>
      <c r="N52" s="103">
        <f>'3Statement Model'!N28</f>
        <v>20749.556166969167</v>
      </c>
      <c r="O52" s="103">
        <f>'3Statement Model'!O28</f>
        <v>22609.974526450162</v>
      </c>
      <c r="P52" s="103">
        <f>'3Statement Model'!P28</f>
        <v>24609.813848487342</v>
      </c>
      <c r="Q52" s="103">
        <f>'3Statement Model'!Q28</f>
        <v>26650.18330838922</v>
      </c>
      <c r="R52" s="103">
        <f>'3Statement Model'!R28</f>
        <v>28713.615374284636</v>
      </c>
      <c r="S52" s="103">
        <f>'3Statement Model'!S28</f>
        <v>30783.203257033827</v>
      </c>
    </row>
    <row r="53" spans="2:19" outlineLevel="1">
      <c r="B53" t="s">
        <v>5</v>
      </c>
      <c r="D53" s="104">
        <f t="shared" ref="D53:E53" si="69">D49</f>
        <v>39783</v>
      </c>
      <c r="E53" s="104">
        <f t="shared" si="69"/>
        <v>47028</v>
      </c>
      <c r="F53" s="104">
        <f>F49</f>
        <v>52446</v>
      </c>
      <c r="G53" s="104">
        <f t="shared" ref="G53:M53" si="70">G49</f>
        <v>60590</v>
      </c>
      <c r="H53" s="104">
        <f t="shared" si="70"/>
        <v>61836</v>
      </c>
      <c r="I53" s="104">
        <f t="shared" si="70"/>
        <v>63121</v>
      </c>
      <c r="J53" s="104">
        <f t="shared" si="70"/>
        <v>68610.580000000016</v>
      </c>
      <c r="K53" s="104">
        <f t="shared" si="70"/>
        <v>74637.470400000006</v>
      </c>
      <c r="L53" s="104">
        <f t="shared" si="70"/>
        <v>81258.607912000007</v>
      </c>
      <c r="M53" s="104">
        <f t="shared" si="70"/>
        <v>88537.282247160038</v>
      </c>
      <c r="N53" s="104">
        <f t="shared" ref="N53:S53" si="71">N49</f>
        <v>96543.868598924819</v>
      </c>
      <c r="O53" s="104">
        <f t="shared" si="71"/>
        <v>105356.64638480304</v>
      </c>
      <c r="P53" s="104">
        <f t="shared" si="71"/>
        <v>114845.76623983758</v>
      </c>
      <c r="Q53" s="104">
        <f t="shared" si="71"/>
        <v>124596.8134866242</v>
      </c>
      <c r="R53" s="104">
        <f t="shared" si="71"/>
        <v>134538.36988544796</v>
      </c>
      <c r="S53" s="104">
        <f t="shared" si="71"/>
        <v>144600.84860186314</v>
      </c>
    </row>
    <row r="54" spans="2:19" outlineLevel="1">
      <c r="B54" s="39" t="s">
        <v>110</v>
      </c>
      <c r="C54" s="40"/>
      <c r="D54" s="102">
        <f t="shared" ref="D54:E54" si="72">D52/D53</f>
        <v>0.22268305557650253</v>
      </c>
      <c r="E54" s="102">
        <f t="shared" si="72"/>
        <v>0.22437696691332823</v>
      </c>
      <c r="F54" s="102">
        <f>F52/F53</f>
        <v>0.22434504061320215</v>
      </c>
      <c r="G54" s="102">
        <f t="shared" ref="G54" si="73">G52/G53</f>
        <v>0.21491995378775375</v>
      </c>
      <c r="H54" s="102">
        <f t="shared" ref="H54" si="74">H52/H53</f>
        <v>0.21649201112620481</v>
      </c>
      <c r="I54" s="102">
        <f t="shared" ref="I54" si="75">I52/I53</f>
        <v>0.2138115682577906</v>
      </c>
      <c r="J54" s="102">
        <f t="shared" ref="J54" si="76">J52/J53</f>
        <v>0.20768770173152051</v>
      </c>
      <c r="K54" s="102">
        <f t="shared" ref="K54" si="77">K52/K53</f>
        <v>0.20941440278020845</v>
      </c>
      <c r="L54" s="102">
        <f t="shared" ref="L54" si="78">L52/L53</f>
        <v>0.21119864115688361</v>
      </c>
      <c r="M54" s="102">
        <f t="shared" ref="M54:S54" si="79">M52/M53</f>
        <v>0.21303633791562981</v>
      </c>
      <c r="N54" s="102">
        <f t="shared" si="79"/>
        <v>0.2149236038299821</v>
      </c>
      <c r="O54" s="102">
        <f t="shared" si="79"/>
        <v>0.21460415932251514</v>
      </c>
      <c r="P54" s="102">
        <f t="shared" si="79"/>
        <v>0.21428577347025191</v>
      </c>
      <c r="Q54" s="102">
        <f t="shared" si="79"/>
        <v>0.21389137139731257</v>
      </c>
      <c r="R54" s="102">
        <f t="shared" si="79"/>
        <v>0.21342324422938011</v>
      </c>
      <c r="S54" s="102">
        <f t="shared" si="79"/>
        <v>0.21288397374340992</v>
      </c>
    </row>
    <row r="55" spans="2:19" outlineLevel="1"/>
    <row r="56" spans="2:19" outlineLevel="1">
      <c r="B56" t="s">
        <v>0</v>
      </c>
      <c r="D56" s="103">
        <f>'3Statement Model'!D40</f>
        <v>6764</v>
      </c>
      <c r="E56" s="103">
        <f>'3Statement Model'!E40</f>
        <v>8000</v>
      </c>
      <c r="F56" s="103">
        <f>'3Statement Model'!F40</f>
        <v>8887</v>
      </c>
      <c r="G56" s="103">
        <f>'3Statement Model'!G40</f>
        <v>10154</v>
      </c>
      <c r="H56" s="103">
        <f>'3Statement Model'!H40</f>
        <v>10222</v>
      </c>
      <c r="I56" s="103">
        <f>'3Statement Model'!I40</f>
        <v>10671</v>
      </c>
      <c r="J56" s="103">
        <f>'3Statement Model'!J40</f>
        <v>10499.812108214202</v>
      </c>
      <c r="K56" s="103">
        <f>'3Statement Model'!K40</f>
        <v>11449.815478493663</v>
      </c>
      <c r="L56" s="103">
        <f>'3Statement Model'!L40</f>
        <v>12503.872104817005</v>
      </c>
      <c r="M56" s="103">
        <f>'3Statement Model'!M40</f>
        <v>13674.021779161838</v>
      </c>
      <c r="N56" s="103">
        <f>'3Statement Model'!N40</f>
        <v>14973.752630857951</v>
      </c>
      <c r="O56" s="103">
        <f>'3Statement Model'!O40</f>
        <v>16252.053059759881</v>
      </c>
      <c r="P56" s="103">
        <f>'3Statement Model'!P40</f>
        <v>17626.106849163691</v>
      </c>
      <c r="Q56" s="103">
        <f>'3Statement Model'!Q40</f>
        <v>19027.818648590699</v>
      </c>
      <c r="R56" s="103">
        <f>'3Statement Model'!R40</f>
        <v>20445.155618932513</v>
      </c>
      <c r="S56" s="103">
        <f>'3Statement Model'!S40</f>
        <v>21866.472455067662</v>
      </c>
    </row>
    <row r="57" spans="2:19" outlineLevel="1">
      <c r="B57" t="s">
        <v>5</v>
      </c>
      <c r="D57" s="104">
        <f t="shared" ref="D57:E57" si="80">D53</f>
        <v>39783</v>
      </c>
      <c r="E57" s="104">
        <f t="shared" si="80"/>
        <v>47028</v>
      </c>
      <c r="F57" s="104">
        <f>F53</f>
        <v>52446</v>
      </c>
      <c r="G57" s="104">
        <f t="shared" ref="G57:M57" si="81">G53</f>
        <v>60590</v>
      </c>
      <c r="H57" s="104">
        <f t="shared" si="81"/>
        <v>61836</v>
      </c>
      <c r="I57" s="104">
        <f t="shared" si="81"/>
        <v>63121</v>
      </c>
      <c r="J57" s="104">
        <f t="shared" si="81"/>
        <v>68610.580000000016</v>
      </c>
      <c r="K57" s="104">
        <f t="shared" si="81"/>
        <v>74637.470400000006</v>
      </c>
      <c r="L57" s="104">
        <f t="shared" si="81"/>
        <v>81258.607912000007</v>
      </c>
      <c r="M57" s="104">
        <f t="shared" si="81"/>
        <v>88537.282247160038</v>
      </c>
      <c r="N57" s="104">
        <f t="shared" ref="N57:S57" si="82">N53</f>
        <v>96543.868598924819</v>
      </c>
      <c r="O57" s="104">
        <f t="shared" si="82"/>
        <v>105356.64638480304</v>
      </c>
      <c r="P57" s="104">
        <f t="shared" si="82"/>
        <v>114845.76623983758</v>
      </c>
      <c r="Q57" s="104">
        <f t="shared" si="82"/>
        <v>124596.8134866242</v>
      </c>
      <c r="R57" s="104">
        <f t="shared" si="82"/>
        <v>134538.36988544796</v>
      </c>
      <c r="S57" s="104">
        <f t="shared" si="82"/>
        <v>144600.84860186314</v>
      </c>
    </row>
    <row r="58" spans="2:19" outlineLevel="1">
      <c r="B58" s="39" t="s">
        <v>111</v>
      </c>
      <c r="C58" s="40"/>
      <c r="D58" s="102">
        <f t="shared" ref="D58:E58" si="83">D56/D57</f>
        <v>0.17002237136465326</v>
      </c>
      <c r="E58" s="102">
        <f t="shared" si="83"/>
        <v>0.17011142298205326</v>
      </c>
      <c r="F58" s="102">
        <f>F56/F57</f>
        <v>0.16945048240094573</v>
      </c>
      <c r="G58" s="102">
        <f t="shared" ref="G58" si="84">G56/G57</f>
        <v>0.16758541013368541</v>
      </c>
      <c r="H58" s="102">
        <f t="shared" ref="H58" si="85">H56/H57</f>
        <v>0.1653082346852966</v>
      </c>
      <c r="I58" s="102">
        <f t="shared" ref="I58" si="86">I56/I57</f>
        <v>0.16905625703014845</v>
      </c>
      <c r="J58" s="102">
        <f t="shared" ref="J58" si="87">J56/J57</f>
        <v>0.15303488336950657</v>
      </c>
      <c r="K58" s="102">
        <f t="shared" ref="K58" si="88">K56/K57</f>
        <v>0.15340572794243121</v>
      </c>
      <c r="L58" s="102">
        <f t="shared" ref="L58" si="89">L56/L57</f>
        <v>0.15387750819406387</v>
      </c>
      <c r="M58" s="102">
        <f t="shared" ref="M58:S58" si="90">M56/M57</f>
        <v>0.15444365844650096</v>
      </c>
      <c r="N58" s="102">
        <f t="shared" si="90"/>
        <v>0.15509791401734557</v>
      </c>
      <c r="O58" s="102">
        <f t="shared" si="90"/>
        <v>0.15425750170901534</v>
      </c>
      <c r="P58" s="102">
        <f t="shared" si="90"/>
        <v>0.1534763311374866</v>
      </c>
      <c r="Q58" s="102">
        <f t="shared" si="90"/>
        <v>0.15271513063721637</v>
      </c>
      <c r="R58" s="102">
        <f t="shared" si="90"/>
        <v>0.15196523962896563</v>
      </c>
      <c r="S58" s="102">
        <f t="shared" si="90"/>
        <v>0.15121953063549254</v>
      </c>
    </row>
    <row r="59" spans="2:19" outlineLevel="1"/>
    <row r="60" spans="2:19" outlineLevel="1">
      <c r="B60" t="s">
        <v>112</v>
      </c>
      <c r="D60" s="104">
        <f t="shared" ref="D60:E60" si="91">D52</f>
        <v>8859</v>
      </c>
      <c r="E60" s="104">
        <f t="shared" si="91"/>
        <v>10552</v>
      </c>
      <c r="F60" s="104">
        <f>F52</f>
        <v>11766</v>
      </c>
      <c r="G60" s="104">
        <f t="shared" ref="G60:M60" si="92">G52</f>
        <v>13022</v>
      </c>
      <c r="H60" s="104">
        <f t="shared" si="92"/>
        <v>13387</v>
      </c>
      <c r="I60" s="104">
        <f t="shared" si="92"/>
        <v>13496</v>
      </c>
      <c r="J60" s="104">
        <f t="shared" si="92"/>
        <v>14249.57367466663</v>
      </c>
      <c r="K60" s="104">
        <f t="shared" si="92"/>
        <v>15630.161288841487</v>
      </c>
      <c r="L60" s="104">
        <f t="shared" si="92"/>
        <v>17161.707573314394</v>
      </c>
      <c r="M60" s="104">
        <f t="shared" si="92"/>
        <v>18861.658378937478</v>
      </c>
      <c r="N60" s="104">
        <f t="shared" ref="N60:S60" si="93">N52</f>
        <v>20749.556166969167</v>
      </c>
      <c r="O60" s="104">
        <f t="shared" si="93"/>
        <v>22609.974526450162</v>
      </c>
      <c r="P60" s="104">
        <f t="shared" si="93"/>
        <v>24609.813848487342</v>
      </c>
      <c r="Q60" s="104">
        <f t="shared" si="93"/>
        <v>26650.18330838922</v>
      </c>
      <c r="R60" s="104">
        <f t="shared" si="93"/>
        <v>28713.615374284636</v>
      </c>
      <c r="S60" s="104">
        <f t="shared" si="93"/>
        <v>30783.203257033827</v>
      </c>
    </row>
    <row r="61" spans="2:19" outlineLevel="1">
      <c r="B61" t="s">
        <v>12</v>
      </c>
      <c r="D61" s="104">
        <f t="shared" ref="D61:E61" si="94">D39</f>
        <v>20153</v>
      </c>
      <c r="E61" s="104">
        <f t="shared" si="94"/>
        <v>68757</v>
      </c>
      <c r="F61" s="104">
        <f>F39</f>
        <v>70517</v>
      </c>
      <c r="G61" s="104">
        <f t="shared" ref="G61:M61" si="95">G39</f>
        <v>73087</v>
      </c>
      <c r="H61" s="104">
        <f t="shared" si="95"/>
        <v>78499</v>
      </c>
      <c r="I61" s="104">
        <f t="shared" si="95"/>
        <v>79880</v>
      </c>
      <c r="J61" s="104">
        <f t="shared" si="95"/>
        <v>84762.475246437869</v>
      </c>
      <c r="K61" s="104">
        <f t="shared" si="95"/>
        <v>87080.195191281731</v>
      </c>
      <c r="L61" s="104">
        <f t="shared" si="95"/>
        <v>89364.569787007902</v>
      </c>
      <c r="M61" s="104">
        <f t="shared" si="95"/>
        <v>91591.627876575076</v>
      </c>
      <c r="N61" s="104">
        <f t="shared" ref="N61:S61" si="96">N39</f>
        <v>93732.159325287212</v>
      </c>
      <c r="O61" s="104">
        <f t="shared" si="96"/>
        <v>95854.710818866821</v>
      </c>
      <c r="P61" s="104">
        <f t="shared" si="96"/>
        <v>97787.636699571449</v>
      </c>
      <c r="Q61" s="104">
        <f t="shared" si="96"/>
        <v>99375.057004216898</v>
      </c>
      <c r="R61" s="104">
        <f t="shared" si="96"/>
        <v>100542.76471645244</v>
      </c>
      <c r="S61" s="104">
        <f t="shared" si="96"/>
        <v>101216.9880267869</v>
      </c>
    </row>
    <row r="62" spans="2:19" outlineLevel="1">
      <c r="B62" s="39" t="s">
        <v>113</v>
      </c>
      <c r="C62" s="40"/>
      <c r="D62" s="102">
        <f t="shared" ref="D62:E62" si="97">D60/D61</f>
        <v>0.43958715823946809</v>
      </c>
      <c r="E62" s="102">
        <f t="shared" si="97"/>
        <v>0.15346801052983697</v>
      </c>
      <c r="F62" s="102">
        <f>F60/F61</f>
        <v>0.16685338287221521</v>
      </c>
      <c r="G62" s="102">
        <f t="shared" ref="G62" si="98">G60/G61</f>
        <v>0.17817122060010673</v>
      </c>
      <c r="H62" s="102">
        <f t="shared" ref="H62" si="99">H60/H61</f>
        <v>0.17053720429559613</v>
      </c>
      <c r="I62" s="102">
        <f t="shared" ref="I62" si="100">I60/I61</f>
        <v>0.16895343014521783</v>
      </c>
      <c r="J62" s="102">
        <f t="shared" ref="J62" si="101">J60/J61</f>
        <v>0.16811181638145314</v>
      </c>
      <c r="K62" s="102">
        <f t="shared" ref="K62" si="102">K60/K61</f>
        <v>0.17949157388207534</v>
      </c>
      <c r="L62" s="102">
        <f t="shared" ref="L62" si="103">L60/L61</f>
        <v>0.19204151728383764</v>
      </c>
      <c r="M62" s="102">
        <f t="shared" ref="M62:S62" si="104">M60/M61</f>
        <v>0.20593212301406669</v>
      </c>
      <c r="N62" s="102">
        <f t="shared" si="104"/>
        <v>0.22137072608089717</v>
      </c>
      <c r="O62" s="102">
        <f t="shared" si="104"/>
        <v>0.23587755190431289</v>
      </c>
      <c r="P62" s="102">
        <f t="shared" si="104"/>
        <v>0.25166590255264032</v>
      </c>
      <c r="Q62" s="102">
        <f t="shared" si="104"/>
        <v>0.26817779140753945</v>
      </c>
      <c r="R62" s="102">
        <f t="shared" si="104"/>
        <v>0.28558609319389494</v>
      </c>
      <c r="S62" s="102">
        <f t="shared" si="104"/>
        <v>0.30413079718285141</v>
      </c>
    </row>
    <row r="63" spans="2:19" outlineLevel="1"/>
    <row r="64" spans="2:19" outlineLevel="1">
      <c r="B64" t="s">
        <v>0</v>
      </c>
      <c r="D64" s="104">
        <f t="shared" ref="D64:E64" si="105">D56</f>
        <v>6764</v>
      </c>
      <c r="E64" s="104">
        <f t="shared" si="105"/>
        <v>8000</v>
      </c>
      <c r="F64" s="104">
        <f>F56</f>
        <v>8887</v>
      </c>
      <c r="G64" s="104">
        <f t="shared" ref="G64:M64" si="106">G56</f>
        <v>10154</v>
      </c>
      <c r="H64" s="104">
        <f t="shared" si="106"/>
        <v>10222</v>
      </c>
      <c r="I64" s="104">
        <f t="shared" si="106"/>
        <v>10671</v>
      </c>
      <c r="J64" s="104">
        <f t="shared" si="106"/>
        <v>10499.812108214202</v>
      </c>
      <c r="K64" s="104">
        <f t="shared" si="106"/>
        <v>11449.815478493663</v>
      </c>
      <c r="L64" s="104">
        <f t="shared" si="106"/>
        <v>12503.872104817005</v>
      </c>
      <c r="M64" s="104">
        <f t="shared" si="106"/>
        <v>13674.021779161838</v>
      </c>
      <c r="N64" s="104">
        <f t="shared" ref="N64:S64" si="107">N56</f>
        <v>14973.752630857951</v>
      </c>
      <c r="O64" s="104">
        <f t="shared" si="107"/>
        <v>16252.053059759881</v>
      </c>
      <c r="P64" s="104">
        <f t="shared" si="107"/>
        <v>17626.106849163691</v>
      </c>
      <c r="Q64" s="104">
        <f t="shared" si="107"/>
        <v>19027.818648590699</v>
      </c>
      <c r="R64" s="104">
        <f t="shared" si="107"/>
        <v>20445.155618932513</v>
      </c>
      <c r="S64" s="104">
        <f t="shared" si="107"/>
        <v>21866.472455067662</v>
      </c>
    </row>
    <row r="65" spans="1:19" outlineLevel="1">
      <c r="B65" t="s">
        <v>104</v>
      </c>
      <c r="D65" s="104">
        <f t="shared" ref="D65:E65" si="108">D38</f>
        <v>8246</v>
      </c>
      <c r="E65" s="104">
        <f t="shared" si="108"/>
        <v>47694</v>
      </c>
      <c r="F65" s="104">
        <f>F38</f>
        <v>49087</v>
      </c>
      <c r="G65" s="104">
        <f t="shared" ref="G65:M65" si="109">G38</f>
        <v>50522</v>
      </c>
      <c r="H65" s="104">
        <f t="shared" si="109"/>
        <v>51423</v>
      </c>
      <c r="I65" s="104">
        <f t="shared" si="109"/>
        <v>49609</v>
      </c>
      <c r="J65" s="104">
        <f t="shared" si="109"/>
        <v>50658.981210821417</v>
      </c>
      <c r="K65" s="104">
        <f t="shared" si="109"/>
        <v>51574.96644910091</v>
      </c>
      <c r="L65" s="104">
        <f t="shared" si="109"/>
        <v>52325.19877538993</v>
      </c>
      <c r="M65" s="104">
        <f t="shared" si="109"/>
        <v>52872.1596465564</v>
      </c>
      <c r="N65" s="104">
        <f t="shared" ref="N65:S65" si="110">N38</f>
        <v>53171.634699173555</v>
      </c>
      <c r="O65" s="104">
        <f t="shared" si="110"/>
        <v>53171.634699173548</v>
      </c>
      <c r="P65" s="104">
        <f t="shared" si="110"/>
        <v>52819.112562190283</v>
      </c>
      <c r="Q65" s="104">
        <f t="shared" si="110"/>
        <v>52057.999816246651</v>
      </c>
      <c r="R65" s="104">
        <f t="shared" si="110"/>
        <v>50831.290479110692</v>
      </c>
      <c r="S65" s="104">
        <f t="shared" si="110"/>
        <v>49081.972682705265</v>
      </c>
    </row>
    <row r="66" spans="1:19" outlineLevel="1">
      <c r="B66" s="39" t="s">
        <v>114</v>
      </c>
      <c r="C66" s="40"/>
      <c r="D66" s="102">
        <f t="shared" ref="D66:E66" si="111">D64/D65</f>
        <v>0.82027649769585254</v>
      </c>
      <c r="E66" s="102">
        <f t="shared" si="111"/>
        <v>0.16773598356187361</v>
      </c>
      <c r="F66" s="102">
        <f>F64/F65</f>
        <v>0.18104589809929308</v>
      </c>
      <c r="G66" s="102">
        <f t="shared" ref="G66" si="112">G64/G65</f>
        <v>0.20098175052452397</v>
      </c>
      <c r="H66" s="102">
        <f t="shared" ref="H66" si="113">H64/H65</f>
        <v>0.19878264589775002</v>
      </c>
      <c r="I66" s="102">
        <f t="shared" ref="I66" si="114">I64/I65</f>
        <v>0.21510209840956279</v>
      </c>
      <c r="J66" s="102">
        <f t="shared" ref="J66" si="115">J64/J65</f>
        <v>0.2072645729790418</v>
      </c>
      <c r="K66" s="102">
        <f t="shared" ref="K66" si="116">K64/K65</f>
        <v>0.22200335292110043</v>
      </c>
      <c r="L66" s="102">
        <f t="shared" ref="L66" si="117">L64/L65</f>
        <v>0.23896463649361119</v>
      </c>
      <c r="M66" s="102">
        <f t="shared" ref="M66:S66" si="118">M64/M65</f>
        <v>0.25862423382307281</v>
      </c>
      <c r="N66" s="102">
        <f t="shared" si="118"/>
        <v>0.28161166598646414</v>
      </c>
      <c r="O66" s="102">
        <f t="shared" si="118"/>
        <v>0.30565268778566418</v>
      </c>
      <c r="P66" s="102">
        <f t="shared" si="118"/>
        <v>0.33370698586445124</v>
      </c>
      <c r="Q66" s="102">
        <f t="shared" si="118"/>
        <v>0.36551190433275837</v>
      </c>
      <c r="R66" s="102">
        <f t="shared" si="118"/>
        <v>0.40221594663890198</v>
      </c>
      <c r="S66" s="102">
        <f t="shared" si="118"/>
        <v>0.44550924219010918</v>
      </c>
    </row>
    <row r="68" spans="1:19" ht="18">
      <c r="A68" t="s">
        <v>27</v>
      </c>
      <c r="B68" s="68" t="s">
        <v>115</v>
      </c>
      <c r="C68" s="69"/>
      <c r="D68" s="70"/>
      <c r="E68" s="70"/>
      <c r="F68" s="70"/>
      <c r="G68" s="70"/>
      <c r="H68" s="70"/>
      <c r="I68" s="70"/>
      <c r="J68" s="70"/>
      <c r="K68" s="70"/>
      <c r="L68" s="70"/>
      <c r="M68" s="70"/>
      <c r="N68" s="70"/>
      <c r="O68" s="70"/>
      <c r="P68" s="70"/>
      <c r="Q68" s="70"/>
      <c r="R68" s="70"/>
      <c r="S68" s="70"/>
    </row>
    <row r="69" spans="1:19" outlineLevel="1"/>
    <row r="70" spans="1:19" outlineLevel="1">
      <c r="B70" t="s">
        <v>5</v>
      </c>
      <c r="D70" s="104">
        <f t="shared" ref="D70:E70" si="119">D57</f>
        <v>39783</v>
      </c>
      <c r="E70" s="104">
        <f t="shared" si="119"/>
        <v>47028</v>
      </c>
      <c r="F70" s="104">
        <f>F57</f>
        <v>52446</v>
      </c>
      <c r="G70" s="104">
        <f t="shared" ref="G70:M70" si="120">G57</f>
        <v>60590</v>
      </c>
      <c r="H70" s="104">
        <f t="shared" si="120"/>
        <v>61836</v>
      </c>
      <c r="I70" s="104">
        <f t="shared" si="120"/>
        <v>63121</v>
      </c>
      <c r="J70" s="104">
        <f t="shared" si="120"/>
        <v>68610.580000000016</v>
      </c>
      <c r="K70" s="104">
        <f t="shared" si="120"/>
        <v>74637.470400000006</v>
      </c>
      <c r="L70" s="104">
        <f t="shared" si="120"/>
        <v>81258.607912000007</v>
      </c>
      <c r="M70" s="104">
        <f t="shared" si="120"/>
        <v>88537.282247160038</v>
      </c>
      <c r="N70" s="104">
        <f t="shared" ref="N70:S70" si="121">N57</f>
        <v>96543.868598924819</v>
      </c>
      <c r="O70" s="104">
        <f t="shared" si="121"/>
        <v>105356.64638480304</v>
      </c>
      <c r="P70" s="104">
        <f t="shared" si="121"/>
        <v>114845.76623983758</v>
      </c>
      <c r="Q70" s="104">
        <f t="shared" si="121"/>
        <v>124596.8134866242</v>
      </c>
      <c r="R70" s="104">
        <f t="shared" si="121"/>
        <v>134538.36988544796</v>
      </c>
      <c r="S70" s="104">
        <f t="shared" si="121"/>
        <v>144600.84860186314</v>
      </c>
    </row>
    <row r="71" spans="1:19" outlineLevel="1">
      <c r="B71" t="s">
        <v>12</v>
      </c>
      <c r="D71" s="104">
        <f t="shared" ref="D71:E71" si="122">D61</f>
        <v>20153</v>
      </c>
      <c r="E71" s="104">
        <f t="shared" si="122"/>
        <v>68757</v>
      </c>
      <c r="F71" s="104">
        <f>F61</f>
        <v>70517</v>
      </c>
      <c r="G71" s="104">
        <f t="shared" ref="G71:M71" si="123">G61</f>
        <v>73087</v>
      </c>
      <c r="H71" s="104">
        <f t="shared" si="123"/>
        <v>78499</v>
      </c>
      <c r="I71" s="104">
        <f t="shared" si="123"/>
        <v>79880</v>
      </c>
      <c r="J71" s="104">
        <f t="shared" si="123"/>
        <v>84762.475246437869</v>
      </c>
      <c r="K71" s="104">
        <f t="shared" si="123"/>
        <v>87080.195191281731</v>
      </c>
      <c r="L71" s="104">
        <f t="shared" si="123"/>
        <v>89364.569787007902</v>
      </c>
      <c r="M71" s="104">
        <f t="shared" si="123"/>
        <v>91591.627876575076</v>
      </c>
      <c r="N71" s="104">
        <f t="shared" ref="N71:S71" si="124">N61</f>
        <v>93732.159325287212</v>
      </c>
      <c r="O71" s="104">
        <f t="shared" si="124"/>
        <v>95854.710818866821</v>
      </c>
      <c r="P71" s="104">
        <f t="shared" si="124"/>
        <v>97787.636699571449</v>
      </c>
      <c r="Q71" s="104">
        <f t="shared" si="124"/>
        <v>99375.057004216898</v>
      </c>
      <c r="R71" s="104">
        <f t="shared" si="124"/>
        <v>100542.76471645244</v>
      </c>
      <c r="S71" s="104">
        <f t="shared" si="124"/>
        <v>101216.9880267869</v>
      </c>
    </row>
    <row r="72" spans="1:19" outlineLevel="1">
      <c r="B72" s="39" t="s">
        <v>116</v>
      </c>
      <c r="C72" s="40"/>
      <c r="D72" s="105">
        <f t="shared" ref="D72:E72" si="125">D70/D71</f>
        <v>1.974048528755024</v>
      </c>
      <c r="E72" s="105">
        <f t="shared" si="125"/>
        <v>0.68397399537501635</v>
      </c>
      <c r="F72" s="105">
        <f>F70/F71</f>
        <v>0.74373555312903272</v>
      </c>
      <c r="G72" s="105">
        <f t="shared" ref="G72" si="126">G70/G71</f>
        <v>0.82901199939797776</v>
      </c>
      <c r="H72" s="105">
        <f t="shared" ref="H72" si="127">H70/H71</f>
        <v>0.7877297799971974</v>
      </c>
      <c r="I72" s="105">
        <f t="shared" ref="I72" si="128">I70/I71</f>
        <v>0.79019779669504253</v>
      </c>
      <c r="J72" s="105">
        <f t="shared" ref="J72" si="129">J70/J71</f>
        <v>0.80944521500253575</v>
      </c>
      <c r="K72" s="105">
        <f t="shared" ref="K72" si="130">K70/K71</f>
        <v>0.85711188676196881</v>
      </c>
      <c r="L72" s="105">
        <f t="shared" ref="L72" si="131">L70/L71</f>
        <v>0.90929333745658159</v>
      </c>
      <c r="M72" s="105">
        <f t="shared" ref="M72:S72" si="132">M70/M71</f>
        <v>0.96665256748650719</v>
      </c>
      <c r="N72" s="105">
        <f t="shared" si="132"/>
        <v>1.0299972740826324</v>
      </c>
      <c r="O72" s="105">
        <f t="shared" si="132"/>
        <v>1.0991285194516072</v>
      </c>
      <c r="P72" s="105">
        <f t="shared" si="132"/>
        <v>1.1744405542049559</v>
      </c>
      <c r="Q72" s="105">
        <f t="shared" si="132"/>
        <v>1.2538036932279399</v>
      </c>
      <c r="R72" s="105">
        <f t="shared" si="132"/>
        <v>1.3381208510116951</v>
      </c>
      <c r="S72" s="105">
        <f t="shared" si="132"/>
        <v>1.4286223233949105</v>
      </c>
    </row>
    <row r="73" spans="1:19" outlineLevel="1"/>
    <row r="74" spans="1:19" outlineLevel="1">
      <c r="B74" t="s">
        <v>79</v>
      </c>
      <c r="D74" s="103">
        <f>-'3Statement Model'!D14</f>
        <v>18259</v>
      </c>
      <c r="E74" s="103">
        <f>-'3Statement Model'!E14</f>
        <v>22148</v>
      </c>
      <c r="F74" s="103">
        <f>-'3Statement Model'!F14</f>
        <v>25735</v>
      </c>
      <c r="G74" s="103">
        <f>-'3Statement Model'!G14</f>
        <v>31716</v>
      </c>
      <c r="H74" s="103">
        <f>-'3Statement Model'!H14</f>
        <v>29760</v>
      </c>
      <c r="I74" s="103">
        <f>-'3Statement Model'!I14</f>
        <v>30578</v>
      </c>
      <c r="J74" s="103">
        <f>-'3Statement Model'!J14</f>
        <v>33619.184200000011</v>
      </c>
      <c r="K74" s="103">
        <f>-'3Statement Model'!K14</f>
        <v>36404.426187600002</v>
      </c>
      <c r="L74" s="103">
        <f>-'3Statement Model'!L14</f>
        <v>39451.054141276007</v>
      </c>
      <c r="M74" s="103">
        <f>-'3Statement Model'!M14</f>
        <v>42785.641645940093</v>
      </c>
      <c r="N74" s="103">
        <f>-'3Statement Model'!N14</f>
        <v>46437.600796082836</v>
      </c>
      <c r="O74" s="103">
        <f>-'3Statement Model'!O14</f>
        <v>50676.546911090263</v>
      </c>
      <c r="P74" s="103">
        <f>-'3Statement Model'!P14</f>
        <v>55240.813561361872</v>
      </c>
      <c r="Q74" s="103">
        <f>-'3Statement Model'!Q14</f>
        <v>59931.067287066238</v>
      </c>
      <c r="R74" s="103">
        <f>-'3Statement Model'!R14</f>
        <v>64712.955914900464</v>
      </c>
      <c r="S74" s="103">
        <f>-'3Statement Model'!S14</f>
        <v>69553.008177496173</v>
      </c>
    </row>
    <row r="75" spans="1:19" outlineLevel="1">
      <c r="B75" t="s">
        <v>19</v>
      </c>
      <c r="D75" s="104">
        <f t="shared" ref="D75:E75" si="133">D18</f>
        <v>2767</v>
      </c>
      <c r="E75" s="104">
        <f t="shared" si="133"/>
        <v>3579</v>
      </c>
      <c r="F75" s="104">
        <f>F18</f>
        <v>4096</v>
      </c>
      <c r="G75" s="104">
        <f t="shared" ref="G75:M75" si="134">G18</f>
        <v>4251</v>
      </c>
      <c r="H75" s="104">
        <f t="shared" si="134"/>
        <v>4022</v>
      </c>
      <c r="I75" s="104">
        <f t="shared" si="134"/>
        <v>4415</v>
      </c>
      <c r="J75" s="104">
        <f t="shared" si="134"/>
        <v>5526.4412383561657</v>
      </c>
      <c r="K75" s="104">
        <f t="shared" si="134"/>
        <v>5984.289236317808</v>
      </c>
      <c r="L75" s="104">
        <f t="shared" si="134"/>
        <v>6485.1047903467406</v>
      </c>
      <c r="M75" s="104">
        <f t="shared" si="134"/>
        <v>7033.2561609764534</v>
      </c>
      <c r="N75" s="104">
        <f t="shared" ref="N75:S75" si="135">N18</f>
        <v>7633.5782130547123</v>
      </c>
      <c r="O75" s="104">
        <f t="shared" si="135"/>
        <v>8330.3912730559332</v>
      </c>
      <c r="P75" s="104">
        <f t="shared" si="135"/>
        <v>9080.6816813197602</v>
      </c>
      <c r="Q75" s="104">
        <f t="shared" si="135"/>
        <v>9851.6822937643119</v>
      </c>
      <c r="R75" s="104">
        <f t="shared" si="135"/>
        <v>10637.746177791856</v>
      </c>
      <c r="S75" s="104">
        <f t="shared" si="135"/>
        <v>11433.371207259645</v>
      </c>
    </row>
    <row r="76" spans="1:19" outlineLevel="1">
      <c r="B76" s="39" t="s">
        <v>117</v>
      </c>
      <c r="C76" s="40"/>
      <c r="D76" s="105">
        <f t="shared" ref="D76:E76" si="136">D74/D75</f>
        <v>6.5988435128297791</v>
      </c>
      <c r="E76" s="105">
        <f t="shared" si="136"/>
        <v>6.1883207599888239</v>
      </c>
      <c r="F76" s="105">
        <f>F74/F75</f>
        <v>6.282958984375</v>
      </c>
      <c r="G76" s="105">
        <f t="shared" ref="G76" si="137">G74/G75</f>
        <v>7.4608327452364147</v>
      </c>
      <c r="H76" s="105">
        <f t="shared" ref="H76" si="138">H74/H75</f>
        <v>7.3993038289408251</v>
      </c>
      <c r="I76" s="105">
        <f t="shared" ref="I76" si="139">I74/I75</f>
        <v>6.9259343148357875</v>
      </c>
      <c r="J76" s="105">
        <f t="shared" ref="J76" si="140">J74/J75</f>
        <v>6.0833333333333339</v>
      </c>
      <c r="K76" s="105">
        <f t="shared" ref="K76" si="141">K74/K75</f>
        <v>6.0833333333333339</v>
      </c>
      <c r="L76" s="105">
        <f t="shared" ref="L76" si="142">L74/L75</f>
        <v>6.0833333333333339</v>
      </c>
      <c r="M76" s="105">
        <f t="shared" ref="M76:S76" si="143">M74/M75</f>
        <v>6.0833333333333339</v>
      </c>
      <c r="N76" s="105">
        <f t="shared" si="143"/>
        <v>6.0833333333333339</v>
      </c>
      <c r="O76" s="105">
        <f t="shared" si="143"/>
        <v>6.0833333333333339</v>
      </c>
      <c r="P76" s="105">
        <f t="shared" si="143"/>
        <v>6.083333333333333</v>
      </c>
      <c r="Q76" s="105">
        <f t="shared" si="143"/>
        <v>6.0833333333333339</v>
      </c>
      <c r="R76" s="105">
        <f t="shared" si="143"/>
        <v>6.0833333333333339</v>
      </c>
      <c r="S76" s="105">
        <f t="shared" si="143"/>
        <v>6.0833333333333339</v>
      </c>
    </row>
    <row r="77" spans="1:19" outlineLevel="1"/>
    <row r="78" spans="1:19" outlineLevel="1">
      <c r="B78" t="s">
        <v>94</v>
      </c>
      <c r="D78" s="103">
        <f>-'3Statement Model'!D138</f>
        <v>798</v>
      </c>
      <c r="E78" s="103">
        <f>-'3Statement Model'!E138</f>
        <v>644</v>
      </c>
      <c r="F78" s="103">
        <f>-'3Statement Model'!F138</f>
        <v>1079</v>
      </c>
      <c r="G78" s="103">
        <f>-'3Statement Model'!G138</f>
        <v>1053</v>
      </c>
      <c r="H78" s="103">
        <f>-'3Statement Model'!H138</f>
        <v>1448</v>
      </c>
      <c r="I78" s="103">
        <f>-'3Statement Model'!I138</f>
        <v>1241</v>
      </c>
      <c r="J78" s="103">
        <f>-'3Statement Model'!J138</f>
        <v>1411.5824117793791</v>
      </c>
      <c r="K78" s="103">
        <f>-'3Statement Model'!K138</f>
        <v>1535.578630531093</v>
      </c>
      <c r="L78" s="103">
        <f>-'3Statement Model'!L138</f>
        <v>1671.8007883661073</v>
      </c>
      <c r="M78" s="103">
        <f>-'3Statement Model'!M138</f>
        <v>1821.5509970450291</v>
      </c>
      <c r="N78" s="103">
        <f>-'3Statement Model'!N138</f>
        <v>1986.2771438367338</v>
      </c>
      <c r="O78" s="103">
        <f>-'3Statement Model'!O138</f>
        <v>2167.5897361725765</v>
      </c>
      <c r="P78" s="103">
        <f>-'3Statement Model'!P138</f>
        <v>2362.8172752872911</v>
      </c>
      <c r="Q78" s="103">
        <f>-'3Statement Model'!Q138</f>
        <v>2563.4336640424031</v>
      </c>
      <c r="R78" s="103">
        <f>-'3Statement Model'!R138</f>
        <v>2767.9695557123518</v>
      </c>
      <c r="S78" s="103">
        <f>-'3Statement Model'!S138</f>
        <v>2974.993282592317</v>
      </c>
    </row>
    <row r="79" spans="1:19" outlineLevel="1">
      <c r="B79" t="s">
        <v>1114</v>
      </c>
      <c r="D79" s="327">
        <f>-'3Statement Model'!D139</f>
        <v>12</v>
      </c>
      <c r="E79" s="327">
        <f>-'3Statement Model'!E139</f>
        <v>3422</v>
      </c>
      <c r="F79" s="327">
        <f>-'3Statement Model'!F139</f>
        <v>3</v>
      </c>
      <c r="G79" s="327">
        <f>-'3Statement Model'!G139</f>
        <v>18</v>
      </c>
      <c r="H79" s="327">
        <f>-'3Statement Model'!H139</f>
        <v>9</v>
      </c>
      <c r="I79" s="327">
        <f>-'3Statement Model'!I139</f>
        <v>21</v>
      </c>
      <c r="J79" s="327">
        <f>-'3Statement Model'!J139</f>
        <v>53.418630221204637</v>
      </c>
      <c r="K79" s="327">
        <f>-'3Statement Model'!K139</f>
        <v>58.111029406014495</v>
      </c>
      <c r="L79" s="327">
        <f>-'3Statement Model'!L139</f>
        <v>63.266095817015071</v>
      </c>
      <c r="M79" s="327">
        <f>-'3Statement Model'!M139</f>
        <v>68.933105377501136</v>
      </c>
      <c r="N79" s="327">
        <f>-'3Statement Model'!N139</f>
        <v>75.166850605410104</v>
      </c>
      <c r="O79" s="327">
        <f>-'3Statement Model'!O139</f>
        <v>86.101125538207498</v>
      </c>
      <c r="P79" s="327">
        <f>-'3Statement Model'!P139</f>
        <v>98.62597354068987</v>
      </c>
      <c r="Q79" s="327">
        <f>-'3Statement Model'!Q139</f>
        <v>112.97277005435251</v>
      </c>
      <c r="R79" s="327">
        <f>-'3Statement Model'!R139</f>
        <v>129.40654794639954</v>
      </c>
      <c r="S79" s="327">
        <f>-'3Statement Model'!S139</f>
        <v>148.23089354494073</v>
      </c>
    </row>
    <row r="80" spans="1:19" outlineLevel="1">
      <c r="B80" t="s">
        <v>95</v>
      </c>
      <c r="D80" s="103">
        <f>'3Statement Model'!D132</f>
        <v>411</v>
      </c>
      <c r="E80" s="327">
        <f>'3Statement Model'!E132</f>
        <v>-101</v>
      </c>
      <c r="F80" s="327">
        <f>'3Statement Model'!F132</f>
        <v>-1000</v>
      </c>
      <c r="G80" s="327">
        <f>'3Statement Model'!G132</f>
        <v>-958</v>
      </c>
      <c r="H80" s="327">
        <f>'3Statement Model'!H132</f>
        <v>1313</v>
      </c>
      <c r="I80" s="327">
        <f>'3Statement Model'!I132</f>
        <v>-788</v>
      </c>
      <c r="J80" s="327">
        <f>'3Statement Model'!J132</f>
        <v>3853.7104612054809</v>
      </c>
      <c r="K80" s="327">
        <f>'3Statement Model'!K132</f>
        <v>758.86218052197103</v>
      </c>
      <c r="L80" s="327">
        <f>'3Statement Model'!L132</f>
        <v>417.30701149305514</v>
      </c>
      <c r="M80" s="327">
        <f>'3Statement Model'!M132</f>
        <v>455.04194793552608</v>
      </c>
      <c r="N80" s="327">
        <f>'3Statement Model'!N132</f>
        <v>496.45805864672229</v>
      </c>
      <c r="O80" s="327">
        <f>'3Statement Model'!O132</f>
        <v>602.13485306488201</v>
      </c>
      <c r="P80" s="327">
        <f>'3Statement Model'!P132</f>
        <v>648.34606391438092</v>
      </c>
      <c r="Q80" s="327">
        <f>'3Statement Model'!Q132</f>
        <v>666.24230677654236</v>
      </c>
      <c r="R80" s="327">
        <f>'3Statement Model'!R132</f>
        <v>679.25888373519388</v>
      </c>
      <c r="S80" s="327">
        <f>'3Statement Model'!S132</f>
        <v>687.52092593167936</v>
      </c>
    </row>
    <row r="81" spans="1:19" outlineLevel="1">
      <c r="B81" t="s">
        <v>1077</v>
      </c>
      <c r="D81" s="103">
        <f>DCFVal!E17</f>
        <v>6450</v>
      </c>
      <c r="E81" s="103">
        <f>DCFVal!F17</f>
        <v>7946</v>
      </c>
      <c r="F81" s="103">
        <f>DCFVal!G17</f>
        <v>8779</v>
      </c>
      <c r="G81" s="103">
        <f>DCFVal!H17</f>
        <v>9821</v>
      </c>
      <c r="H81" s="103">
        <f>DCFVal!I17</f>
        <v>9743</v>
      </c>
      <c r="I81" s="103">
        <f>DCFVal!J17</f>
        <v>9752</v>
      </c>
      <c r="J81" s="103">
        <f>DCFVal!K17</f>
        <v>9749.6541997176864</v>
      </c>
      <c r="K81" s="103">
        <f>DCFVal!L17</f>
        <v>10723.097512344204</v>
      </c>
      <c r="L81" s="103">
        <f>DCFVal!M17</f>
        <v>11802.905242678535</v>
      </c>
      <c r="M81" s="103">
        <f>DCFVal!N17</f>
        <v>13001.36333072526</v>
      </c>
      <c r="N81" s="103">
        <f>DCFVal!O17</f>
        <v>14332.23361088719</v>
      </c>
      <c r="O81" s="103">
        <f>DCFVal!P17</f>
        <v>15644.808929410214</v>
      </c>
      <c r="P81" s="103">
        <f>DCFVal!Q17</f>
        <v>17055.768055988618</v>
      </c>
      <c r="Q81" s="103">
        <f>DCFVal!R17</f>
        <v>18495.403887564637</v>
      </c>
      <c r="R81" s="103">
        <f>DCFVal!S17</f>
        <v>19951.405823313558</v>
      </c>
      <c r="S81" s="103">
        <f>DCFVal!T17</f>
        <v>21411.857919147686</v>
      </c>
    </row>
    <row r="82" spans="1:19" outlineLevel="1">
      <c r="B82" s="39" t="s">
        <v>118</v>
      </c>
      <c r="C82" s="40"/>
      <c r="D82" s="101">
        <f>(D78+D79+D80)/D81</f>
        <v>0.18930232558139534</v>
      </c>
      <c r="E82" s="101">
        <f t="shared" ref="E82:S82" si="144">(E78+E79+E80)/E81</f>
        <v>0.49899320412786308</v>
      </c>
      <c r="F82" s="101">
        <f t="shared" si="144"/>
        <v>9.3404715799065945E-3</v>
      </c>
      <c r="G82" s="101">
        <f t="shared" si="144"/>
        <v>1.1505956623561756E-2</v>
      </c>
      <c r="H82" s="101">
        <f t="shared" si="144"/>
        <v>0.2843066817202094</v>
      </c>
      <c r="I82" s="101">
        <f t="shared" si="144"/>
        <v>4.8605414273995076E-2</v>
      </c>
      <c r="J82" s="101">
        <f t="shared" si="144"/>
        <v>0.54552822020703817</v>
      </c>
      <c r="K82" s="101">
        <f t="shared" si="144"/>
        <v>0.2193910703274749</v>
      </c>
      <c r="L82" s="101">
        <f t="shared" si="144"/>
        <v>0.18235966920189567</v>
      </c>
      <c r="M82" s="101">
        <f t="shared" si="144"/>
        <v>0.18040616131502377</v>
      </c>
      <c r="N82" s="101">
        <f t="shared" si="144"/>
        <v>0.17847197600420131</v>
      </c>
      <c r="O82" s="101">
        <f t="shared" si="144"/>
        <v>0.18254142493278289</v>
      </c>
      <c r="P82" s="101">
        <f t="shared" si="144"/>
        <v>0.18233065216024988</v>
      </c>
      <c r="Q82" s="101">
        <f t="shared" si="144"/>
        <v>0.18072861567087617</v>
      </c>
      <c r="R82" s="101">
        <f t="shared" si="144"/>
        <v>0.17926731675291704</v>
      </c>
      <c r="S82" s="101">
        <f t="shared" si="144"/>
        <v>0.17797358437826896</v>
      </c>
    </row>
    <row r="84" spans="1:19" ht="18">
      <c r="A84" t="s">
        <v>27</v>
      </c>
      <c r="B84" s="68" t="s">
        <v>119</v>
      </c>
      <c r="C84" s="69"/>
      <c r="D84" s="70"/>
      <c r="E84" s="70"/>
      <c r="F84" s="70"/>
      <c r="G84" s="70"/>
      <c r="H84" s="70"/>
      <c r="I84" s="70"/>
      <c r="J84" s="70"/>
      <c r="K84" s="70"/>
      <c r="L84" s="70"/>
      <c r="M84" s="70"/>
      <c r="N84" s="70"/>
      <c r="O84" s="70"/>
      <c r="P84" s="70"/>
      <c r="Q84" s="70"/>
      <c r="R84" s="70"/>
      <c r="S84" s="70"/>
    </row>
    <row r="85" spans="1:19" outlineLevel="1"/>
    <row r="86" spans="1:19" outlineLevel="1">
      <c r="B86" t="s">
        <v>103</v>
      </c>
      <c r="D86" s="104">
        <f t="shared" ref="D86:E86" si="145">D34</f>
        <v>0</v>
      </c>
      <c r="E86" s="104">
        <f t="shared" si="145"/>
        <v>0</v>
      </c>
      <c r="F86" s="104">
        <f>F34</f>
        <v>1043</v>
      </c>
      <c r="G86" s="104">
        <f t="shared" ref="G86:M86" si="146">G34</f>
        <v>1219</v>
      </c>
      <c r="H86" s="104">
        <f t="shared" si="146"/>
        <v>1484</v>
      </c>
      <c r="I86" s="104">
        <f t="shared" si="146"/>
        <v>1648</v>
      </c>
      <c r="J86" s="104">
        <f t="shared" si="146"/>
        <v>2058.3174000000004</v>
      </c>
      <c r="K86" s="104">
        <f t="shared" si="146"/>
        <v>2239.1241120000004</v>
      </c>
      <c r="L86" s="104">
        <f t="shared" si="146"/>
        <v>2437.7582373600003</v>
      </c>
      <c r="M86" s="104">
        <f t="shared" si="146"/>
        <v>2656.1184674148012</v>
      </c>
      <c r="N86" s="104">
        <f t="shared" ref="N86:S86" si="147">N34</f>
        <v>2896.3160579677447</v>
      </c>
      <c r="O86" s="104">
        <f t="shared" si="147"/>
        <v>3160.6993915440917</v>
      </c>
      <c r="P86" s="104">
        <f t="shared" si="147"/>
        <v>3445.3729871951273</v>
      </c>
      <c r="Q86" s="104">
        <f t="shared" si="147"/>
        <v>3737.9044045987262</v>
      </c>
      <c r="R86" s="104">
        <f t="shared" si="147"/>
        <v>4036.1510965634388</v>
      </c>
      <c r="S86" s="104">
        <f t="shared" si="147"/>
        <v>4338.025458055894</v>
      </c>
    </row>
    <row r="87" spans="1:19" outlineLevel="1">
      <c r="B87" t="s">
        <v>63</v>
      </c>
      <c r="D87" s="104">
        <f t="shared" ref="D87:E87" si="148">D48</f>
        <v>9861</v>
      </c>
      <c r="E87" s="104">
        <f t="shared" si="148"/>
        <v>11626</v>
      </c>
      <c r="F87" s="104">
        <f>F48</f>
        <v>12857</v>
      </c>
      <c r="G87" s="104">
        <f t="shared" ref="G87:M87" si="149">G48</f>
        <v>14159</v>
      </c>
      <c r="H87" s="104">
        <f t="shared" si="149"/>
        <v>14603</v>
      </c>
      <c r="I87" s="104">
        <f t="shared" si="149"/>
        <v>14851</v>
      </c>
      <c r="J87" s="104">
        <f t="shared" si="149"/>
        <v>15780.433400000002</v>
      </c>
      <c r="K87" s="104">
        <f t="shared" si="149"/>
        <v>17334.552500400001</v>
      </c>
      <c r="L87" s="104">
        <f t="shared" si="149"/>
        <v>19055.143555363997</v>
      </c>
      <c r="M87" s="104">
        <f t="shared" si="149"/>
        <v>20961.201572015132</v>
      </c>
      <c r="N87" s="104">
        <f t="shared" ref="N87:S87" si="150">N48</f>
        <v>23073.984595143032</v>
      </c>
      <c r="O87" s="104">
        <f t="shared" si="150"/>
        <v>25180.238485967922</v>
      </c>
      <c r="P87" s="104">
        <f t="shared" si="150"/>
        <v>27448.138131321186</v>
      </c>
      <c r="Q87" s="104">
        <f t="shared" si="150"/>
        <v>29778.638423303186</v>
      </c>
      <c r="R87" s="104">
        <f t="shared" si="150"/>
        <v>32154.670402622069</v>
      </c>
      <c r="S87" s="104">
        <f t="shared" si="150"/>
        <v>34559.602815845283</v>
      </c>
    </row>
    <row r="88" spans="1:19" outlineLevel="1">
      <c r="B88" s="39" t="s">
        <v>120</v>
      </c>
      <c r="C88" s="40"/>
      <c r="D88" s="105">
        <f t="shared" ref="D88:E88" si="151">D86/D87</f>
        <v>0</v>
      </c>
      <c r="E88" s="105">
        <f t="shared" si="151"/>
        <v>0</v>
      </c>
      <c r="F88" s="105">
        <f>F86/F87</f>
        <v>8.1123123590262108E-2</v>
      </c>
      <c r="G88" s="105">
        <f t="shared" ref="G88" si="152">G86/G87</f>
        <v>8.60936506815453E-2</v>
      </c>
      <c r="H88" s="105">
        <f t="shared" ref="H88" si="153">H86/H87</f>
        <v>0.10162295418749571</v>
      </c>
      <c r="I88" s="105">
        <f t="shared" ref="I88" si="154">I86/I87</f>
        <v>0.1109689583193051</v>
      </c>
      <c r="J88" s="105">
        <f t="shared" ref="J88" si="155">J86/J87</f>
        <v>0.13043478260869565</v>
      </c>
      <c r="K88" s="105">
        <f t="shared" ref="K88" si="156">K86/K87</f>
        <v>0.12917115177610336</v>
      </c>
      <c r="L88" s="105">
        <f t="shared" ref="L88" si="157">L86/L87</f>
        <v>0.12793176972281453</v>
      </c>
      <c r="M88" s="105">
        <f t="shared" ref="M88:S88" si="158">M86/M87</f>
        <v>0.12671594508975717</v>
      </c>
      <c r="N88" s="105">
        <f t="shared" si="158"/>
        <v>0.12552301255230125</v>
      </c>
      <c r="O88" s="105">
        <f t="shared" si="158"/>
        <v>0.12552301255230131</v>
      </c>
      <c r="P88" s="105">
        <f t="shared" si="158"/>
        <v>0.12552301255230122</v>
      </c>
      <c r="Q88" s="105">
        <f t="shared" si="158"/>
        <v>0.12552301255230125</v>
      </c>
      <c r="R88" s="105">
        <f t="shared" si="158"/>
        <v>0.12552301255230122</v>
      </c>
      <c r="S88" s="105">
        <f t="shared" si="158"/>
        <v>0.12552301255230128</v>
      </c>
    </row>
    <row r="89" spans="1:19" outlineLevel="1"/>
    <row r="90" spans="1:19" outlineLevel="1">
      <c r="B90" t="s">
        <v>112</v>
      </c>
      <c r="D90" s="104">
        <f t="shared" ref="D90:E90" si="159">D60</f>
        <v>8859</v>
      </c>
      <c r="E90" s="104">
        <f t="shared" si="159"/>
        <v>10552</v>
      </c>
      <c r="F90" s="104">
        <f>F60</f>
        <v>11766</v>
      </c>
      <c r="G90" s="104">
        <f t="shared" ref="G90:M90" si="160">G60</f>
        <v>13022</v>
      </c>
      <c r="H90" s="104">
        <f t="shared" si="160"/>
        <v>13387</v>
      </c>
      <c r="I90" s="104">
        <f t="shared" si="160"/>
        <v>13496</v>
      </c>
      <c r="J90" s="104">
        <f t="shared" si="160"/>
        <v>14249.57367466663</v>
      </c>
      <c r="K90" s="104">
        <f t="shared" si="160"/>
        <v>15630.161288841487</v>
      </c>
      <c r="L90" s="104">
        <f t="shared" si="160"/>
        <v>17161.707573314394</v>
      </c>
      <c r="M90" s="104">
        <f t="shared" si="160"/>
        <v>18861.658378937478</v>
      </c>
      <c r="N90" s="104">
        <f t="shared" ref="N90:S90" si="161">N60</f>
        <v>20749.556166969167</v>
      </c>
      <c r="O90" s="104">
        <f t="shared" si="161"/>
        <v>22609.974526450162</v>
      </c>
      <c r="P90" s="104">
        <f t="shared" si="161"/>
        <v>24609.813848487342</v>
      </c>
      <c r="Q90" s="104">
        <f t="shared" si="161"/>
        <v>26650.18330838922</v>
      </c>
      <c r="R90" s="104">
        <f t="shared" si="161"/>
        <v>28713.615374284636</v>
      </c>
      <c r="S90" s="104">
        <f t="shared" si="161"/>
        <v>30783.203257033827</v>
      </c>
    </row>
    <row r="91" spans="1:19" outlineLevel="1">
      <c r="B91" t="s">
        <v>93</v>
      </c>
      <c r="D91" s="104">
        <f>-'3Statement Model'!D32</f>
        <v>118</v>
      </c>
      <c r="E91" s="104">
        <f>-'3Statement Model'!E32</f>
        <v>117</v>
      </c>
      <c r="F91" s="104">
        <f>-'3Statement Model'!F32</f>
        <v>106</v>
      </c>
      <c r="G91" s="104">
        <f>-'3Statement Model'!G32</f>
        <v>114</v>
      </c>
      <c r="H91" s="104">
        <f>-'3Statement Model'!H32</f>
        <v>334</v>
      </c>
      <c r="I91" s="104">
        <f>-'3Statement Model'!I32</f>
        <v>395</v>
      </c>
      <c r="J91" s="104">
        <f>-'3Statement Model'!J32</f>
        <v>266.84209150348255</v>
      </c>
      <c r="K91" s="104">
        <f>-'3Statement Model'!K32</f>
        <v>290.28203385054121</v>
      </c>
      <c r="L91" s="104">
        <f>-'3Statement Model'!L32</f>
        <v>316.03313786152967</v>
      </c>
      <c r="M91" s="104">
        <f>-'3Statement Model'!M32</f>
        <v>344.34155156342263</v>
      </c>
      <c r="N91" s="104">
        <f>-'3Statement Model'!N32</f>
        <v>375.48098002923871</v>
      </c>
      <c r="O91" s="104">
        <f>-'3Statement Model'!O32</f>
        <v>409.75586965033176</v>
      </c>
      <c r="P91" s="104">
        <f>-'3Statement Model'!P32</f>
        <v>446.66120682492846</v>
      </c>
      <c r="Q91" s="104">
        <f>-'3Statement Model'!Q32</f>
        <v>484.58523897393252</v>
      </c>
      <c r="R91" s="104">
        <f>-'3Statement Model'!R32</f>
        <v>523.25020438104548</v>
      </c>
      <c r="S91" s="104">
        <f>-'3Statement Model'!S32</f>
        <v>562.38546408002355</v>
      </c>
    </row>
    <row r="92" spans="1:19" outlineLevel="1">
      <c r="B92" t="s">
        <v>123</v>
      </c>
      <c r="C92" t="s">
        <v>42</v>
      </c>
      <c r="D92" s="104">
        <f>-'3Statement Model'!D157</f>
        <v>453</v>
      </c>
      <c r="E92" s="104">
        <f>-'3Statement Model'!E157</f>
        <v>492</v>
      </c>
      <c r="F92" s="104">
        <f>-'3Statement Model'!F157</f>
        <v>510</v>
      </c>
      <c r="G92" s="104">
        <f>-'3Statement Model'!G157</f>
        <v>541</v>
      </c>
      <c r="H92" s="104">
        <f>-'3Statement Model'!H157</f>
        <v>529</v>
      </c>
      <c r="I92" s="104">
        <f>-'3Statement Model'!I157</f>
        <v>625</v>
      </c>
      <c r="J92" s="104">
        <f>-'3Statement Model'!J157</f>
        <v>761.57743800000014</v>
      </c>
      <c r="K92" s="104">
        <f>-'3Statement Model'!K157</f>
        <v>828.47592144000009</v>
      </c>
      <c r="L92" s="104">
        <f>-'3Statement Model'!L157</f>
        <v>901.97054782320015</v>
      </c>
      <c r="M92" s="104">
        <f>-'3Statement Model'!M157</f>
        <v>982.76383294347647</v>
      </c>
      <c r="N92" s="104">
        <f>-'3Statement Model'!N157</f>
        <v>1071.6369414480655</v>
      </c>
      <c r="O92" s="104">
        <f>-'3Statement Model'!O157</f>
        <v>1169.4587748713138</v>
      </c>
      <c r="P92" s="104">
        <f>-'3Statement Model'!P157</f>
        <v>1274.788005262197</v>
      </c>
      <c r="Q92" s="104">
        <f>-'3Statement Model'!Q157</f>
        <v>1383.0246297015287</v>
      </c>
      <c r="R92" s="104">
        <f>-'3Statement Model'!R157</f>
        <v>1493.3759057284724</v>
      </c>
      <c r="S92" s="104">
        <f>-'3Statement Model'!S157</f>
        <v>1605.0694194806808</v>
      </c>
    </row>
    <row r="93" spans="1:19" outlineLevel="1">
      <c r="B93" s="39" t="s">
        <v>121</v>
      </c>
      <c r="C93" s="40"/>
      <c r="D93" s="105">
        <f t="shared" ref="D93:E93" si="162">D90/(SUM(D91:D92))</f>
        <v>15.514886164623467</v>
      </c>
      <c r="E93" s="105">
        <f t="shared" si="162"/>
        <v>17.326765188834155</v>
      </c>
      <c r="F93" s="105">
        <f>F90/(SUM(F91:F92))</f>
        <v>19.100649350649352</v>
      </c>
      <c r="G93" s="105">
        <f t="shared" ref="G93:M93" si="163">G90/(SUM(G91:G92))</f>
        <v>19.880916030534351</v>
      </c>
      <c r="H93" s="105">
        <f t="shared" si="163"/>
        <v>15.512166859791424</v>
      </c>
      <c r="I93" s="105">
        <f t="shared" si="163"/>
        <v>13.231372549019607</v>
      </c>
      <c r="J93" s="105">
        <f t="shared" si="163"/>
        <v>13.855798403153891</v>
      </c>
      <c r="K93" s="105">
        <f t="shared" si="163"/>
        <v>13.970994543482229</v>
      </c>
      <c r="L93" s="105">
        <f t="shared" si="163"/>
        <v>14.09002926265082</v>
      </c>
      <c r="M93" s="105">
        <f t="shared" si="163"/>
        <v>14.212630435484021</v>
      </c>
      <c r="N93" s="105">
        <f t="shared" ref="N93:S93" si="164">N90/(SUM(N91:N92))</f>
        <v>14.33853859386026</v>
      </c>
      <c r="O93" s="105">
        <f t="shared" si="164"/>
        <v>14.31722698677156</v>
      </c>
      <c r="P93" s="105">
        <f t="shared" si="164"/>
        <v>14.295986007423259</v>
      </c>
      <c r="Q93" s="105">
        <f t="shared" si="164"/>
        <v>14.269673637615737</v>
      </c>
      <c r="R93" s="105">
        <f t="shared" si="164"/>
        <v>14.238442728843411</v>
      </c>
      <c r="S93" s="105">
        <f t="shared" si="164"/>
        <v>14.202465523279104</v>
      </c>
    </row>
    <row r="94" spans="1:19" outlineLevel="1"/>
    <row r="95" spans="1:19" outlineLevel="1">
      <c r="B95" t="s">
        <v>112</v>
      </c>
      <c r="D95" s="104">
        <f t="shared" ref="D95:E95" si="165">D90</f>
        <v>8859</v>
      </c>
      <c r="E95" s="104">
        <f t="shared" si="165"/>
        <v>10552</v>
      </c>
      <c r="F95" s="104">
        <f>F90</f>
        <v>11766</v>
      </c>
      <c r="G95" s="104">
        <f t="shared" ref="G95:M95" si="166">G90</f>
        <v>13022</v>
      </c>
      <c r="H95" s="104">
        <f t="shared" si="166"/>
        <v>13387</v>
      </c>
      <c r="I95" s="104">
        <f t="shared" si="166"/>
        <v>13496</v>
      </c>
      <c r="J95" s="104">
        <f t="shared" si="166"/>
        <v>14249.57367466663</v>
      </c>
      <c r="K95" s="104">
        <f t="shared" si="166"/>
        <v>15630.161288841487</v>
      </c>
      <c r="L95" s="104">
        <f t="shared" si="166"/>
        <v>17161.707573314394</v>
      </c>
      <c r="M95" s="104">
        <f t="shared" si="166"/>
        <v>18861.658378937478</v>
      </c>
      <c r="N95" s="104">
        <f t="shared" ref="N95:S95" si="167">N90</f>
        <v>20749.556166969167</v>
      </c>
      <c r="O95" s="104">
        <f t="shared" si="167"/>
        <v>22609.974526450162</v>
      </c>
      <c r="P95" s="104">
        <f t="shared" si="167"/>
        <v>24609.813848487342</v>
      </c>
      <c r="Q95" s="104">
        <f t="shared" si="167"/>
        <v>26650.18330838922</v>
      </c>
      <c r="R95" s="104">
        <f t="shared" si="167"/>
        <v>28713.615374284636</v>
      </c>
      <c r="S95" s="104">
        <f t="shared" si="167"/>
        <v>30783.203257033827</v>
      </c>
    </row>
    <row r="96" spans="1:19" outlineLevel="1">
      <c r="B96" t="s">
        <v>93</v>
      </c>
      <c r="D96" s="104">
        <f t="shared" ref="D96:E96" si="168">D91</f>
        <v>118</v>
      </c>
      <c r="E96" s="104">
        <f t="shared" si="168"/>
        <v>117</v>
      </c>
      <c r="F96" s="104">
        <f>F91</f>
        <v>106</v>
      </c>
      <c r="G96" s="104">
        <f t="shared" ref="G96:M96" si="169">G91</f>
        <v>114</v>
      </c>
      <c r="H96" s="104">
        <f t="shared" si="169"/>
        <v>334</v>
      </c>
      <c r="I96" s="104">
        <f t="shared" si="169"/>
        <v>395</v>
      </c>
      <c r="J96" s="104">
        <f t="shared" si="169"/>
        <v>266.84209150348255</v>
      </c>
      <c r="K96" s="104">
        <f t="shared" si="169"/>
        <v>290.28203385054121</v>
      </c>
      <c r="L96" s="104">
        <f t="shared" si="169"/>
        <v>316.03313786152967</v>
      </c>
      <c r="M96" s="104">
        <f t="shared" si="169"/>
        <v>344.34155156342263</v>
      </c>
      <c r="N96" s="104">
        <f t="shared" ref="N96:S96" si="170">N91</f>
        <v>375.48098002923871</v>
      </c>
      <c r="O96" s="104">
        <f t="shared" si="170"/>
        <v>409.75586965033176</v>
      </c>
      <c r="P96" s="104">
        <f t="shared" si="170"/>
        <v>446.66120682492846</v>
      </c>
      <c r="Q96" s="104">
        <f t="shared" si="170"/>
        <v>484.58523897393252</v>
      </c>
      <c r="R96" s="104">
        <f t="shared" si="170"/>
        <v>523.25020438104548</v>
      </c>
      <c r="S96" s="104">
        <f t="shared" si="170"/>
        <v>562.38546408002355</v>
      </c>
    </row>
    <row r="97" spans="2:19" outlineLevel="1">
      <c r="B97" s="39" t="s">
        <v>122</v>
      </c>
      <c r="C97" s="40"/>
      <c r="D97" s="105">
        <f t="shared" ref="D97:E97" si="171">D95/D96</f>
        <v>75.076271186440678</v>
      </c>
      <c r="E97" s="105">
        <f t="shared" si="171"/>
        <v>90.188034188034194</v>
      </c>
      <c r="F97" s="105">
        <f>F95/F96</f>
        <v>111</v>
      </c>
      <c r="G97" s="105">
        <f t="shared" ref="G97" si="172">G95/G96</f>
        <v>114.2280701754386</v>
      </c>
      <c r="H97" s="105">
        <f t="shared" ref="H97" si="173">H95/H96</f>
        <v>40.080838323353291</v>
      </c>
      <c r="I97" s="105">
        <f t="shared" ref="I97" si="174">I95/I96</f>
        <v>34.167088607594934</v>
      </c>
      <c r="J97" s="105">
        <f t="shared" ref="J97" si="175">J95/J96</f>
        <v>53.400771948606391</v>
      </c>
      <c r="K97" s="105">
        <f t="shared" ref="K97" si="176">K95/K96</f>
        <v>53.844742237437465</v>
      </c>
      <c r="L97" s="105">
        <f t="shared" ref="L97" si="177">L95/L96</f>
        <v>54.303506554536753</v>
      </c>
      <c r="M97" s="105">
        <f t="shared" ref="M97:S97" si="178">M95/M96</f>
        <v>54.776016119168354</v>
      </c>
      <c r="N97" s="105">
        <f t="shared" si="178"/>
        <v>55.261270931362219</v>
      </c>
      <c r="O97" s="105">
        <f t="shared" si="178"/>
        <v>55.179135190289166</v>
      </c>
      <c r="P97" s="105">
        <f t="shared" si="178"/>
        <v>55.097271651203201</v>
      </c>
      <c r="Q97" s="105">
        <f t="shared" si="178"/>
        <v>54.995862781166601</v>
      </c>
      <c r="R97" s="105">
        <f t="shared" si="178"/>
        <v>54.875497675629333</v>
      </c>
      <c r="S97" s="105">
        <f t="shared" si="178"/>
        <v>54.736840162450555</v>
      </c>
    </row>
  </sheetData>
  <mergeCells count="3">
    <mergeCell ref="O8:S8"/>
    <mergeCell ref="D8:I8"/>
    <mergeCell ref="J8:N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7" r:id="rId3" name="Drop Down 1">
              <controlPr defaultSize="0" autoLine="0" autoPict="0">
                <anchor moveWithCells="1">
                  <from>
                    <xdr:col>8</xdr:col>
                    <xdr:colOff>30480</xdr:colOff>
                    <xdr:row>2</xdr:row>
                    <xdr:rowOff>220980</xdr:rowOff>
                  </from>
                  <to>
                    <xdr:col>10</xdr:col>
                    <xdr:colOff>60960</xdr:colOff>
                    <xdr:row>4</xdr:row>
                    <xdr:rowOff>15240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EA09-7A2C-4584-BE82-F28613B6C152}">
  <sheetPr>
    <pageSetUpPr fitToPage="1"/>
  </sheetPr>
  <dimension ref="B1:Q115"/>
  <sheetViews>
    <sheetView showGridLines="0" topLeftCell="A58" zoomScaleNormal="100" workbookViewId="0">
      <selection activeCell="C3" sqref="C3"/>
    </sheetView>
  </sheetViews>
  <sheetFormatPr defaultRowHeight="14.4"/>
  <cols>
    <col min="1" max="1" width="1.88671875" customWidth="1"/>
    <col min="2" max="2" width="47.109375" customWidth="1"/>
    <col min="3" max="3" width="10.6640625" customWidth="1"/>
    <col min="4" max="6" width="10.6640625" bestFit="1" customWidth="1"/>
    <col min="7" max="8" width="11.6640625" customWidth="1"/>
  </cols>
  <sheetData>
    <row r="1" spans="2:6" ht="9.75" customHeight="1"/>
    <row r="2" spans="2:6" ht="38.25" customHeight="1">
      <c r="B2" s="493" t="str">
        <f>'Input Sheet'!C6</f>
        <v>Hindustan Unilever Ltd.</v>
      </c>
      <c r="E2" s="695" t="s">
        <v>1069</v>
      </c>
      <c r="F2" s="695"/>
    </row>
    <row r="3" spans="2:6" ht="18">
      <c r="B3" s="494" t="s">
        <v>1341</v>
      </c>
      <c r="E3" s="695"/>
      <c r="F3" s="695"/>
    </row>
    <row r="4" spans="2:6" ht="3.75" customHeight="1" thickBot="1">
      <c r="B4" s="495"/>
      <c r="C4" s="496"/>
      <c r="D4" s="496"/>
      <c r="E4" s="496"/>
      <c r="F4" s="496"/>
    </row>
    <row r="5" spans="2:6" ht="20.25" customHeight="1">
      <c r="B5" s="497" t="s">
        <v>1070</v>
      </c>
    </row>
    <row r="6" spans="2:6" ht="5.25" customHeight="1"/>
    <row r="7" spans="2:6" ht="14.25" customHeight="1">
      <c r="B7" s="696" t="s">
        <v>1097</v>
      </c>
      <c r="C7" s="696"/>
      <c r="D7" s="696"/>
      <c r="E7" s="696"/>
      <c r="F7" s="696"/>
    </row>
    <row r="8" spans="2:6" ht="14.25" customHeight="1">
      <c r="B8" s="696"/>
      <c r="C8" s="696"/>
      <c r="D8" s="696"/>
      <c r="E8" s="696"/>
      <c r="F8" s="696"/>
    </row>
    <row r="9" spans="2:6" ht="14.25" customHeight="1">
      <c r="B9" s="696"/>
      <c r="C9" s="696"/>
      <c r="D9" s="696"/>
      <c r="E9" s="696"/>
      <c r="F9" s="696"/>
    </row>
    <row r="10" spans="2:6" ht="7.5" customHeight="1">
      <c r="B10" s="696"/>
      <c r="C10" s="696"/>
      <c r="D10" s="696"/>
      <c r="E10" s="696"/>
      <c r="F10" s="696"/>
    </row>
    <row r="11" spans="2:6" ht="8.25" customHeight="1">
      <c r="B11" s="498"/>
      <c r="C11" s="498"/>
      <c r="D11" s="498"/>
      <c r="E11" s="498"/>
      <c r="F11" s="498"/>
    </row>
    <row r="12" spans="2:6" ht="33.75" customHeight="1">
      <c r="B12" s="650" t="s">
        <v>1071</v>
      </c>
      <c r="C12" s="498"/>
      <c r="D12" s="498"/>
      <c r="E12" s="498"/>
      <c r="F12" s="498"/>
    </row>
    <row r="13" spans="2:6" ht="11.25" customHeight="1">
      <c r="B13" s="498"/>
      <c r="C13" s="498"/>
      <c r="D13" s="498"/>
      <c r="E13" s="498"/>
      <c r="F13" s="498"/>
    </row>
    <row r="14" spans="2:6" ht="33.75" customHeight="1">
      <c r="B14" s="498"/>
      <c r="C14" s="498"/>
      <c r="D14" s="498"/>
      <c r="E14" s="498"/>
      <c r="F14" s="498"/>
    </row>
    <row r="15" spans="2:6" ht="33.75" customHeight="1">
      <c r="B15" s="498"/>
      <c r="C15" s="498"/>
      <c r="D15" s="498"/>
      <c r="E15" s="498"/>
      <c r="F15" s="498"/>
    </row>
    <row r="16" spans="2:6" ht="33.75" customHeight="1">
      <c r="B16" s="498"/>
      <c r="C16" s="498"/>
      <c r="D16" s="498"/>
      <c r="E16" s="498"/>
      <c r="F16" s="498"/>
    </row>
    <row r="17" spans="2:8" ht="33.75" customHeight="1">
      <c r="B17" s="498"/>
      <c r="C17" s="498"/>
      <c r="D17" s="498"/>
      <c r="E17" s="498"/>
      <c r="F17" s="498"/>
    </row>
    <row r="18" spans="2:8" ht="33.75" customHeight="1">
      <c r="B18" s="498"/>
      <c r="C18" s="498"/>
      <c r="D18" s="498"/>
      <c r="E18" s="498"/>
      <c r="F18" s="498"/>
    </row>
    <row r="19" spans="2:8" ht="33.75" customHeight="1">
      <c r="B19" s="498"/>
      <c r="C19" s="498"/>
      <c r="D19" s="498"/>
      <c r="E19" s="498"/>
      <c r="F19" s="498"/>
    </row>
    <row r="20" spans="2:8" ht="33.75" customHeight="1">
      <c r="B20" s="498"/>
      <c r="C20" s="498"/>
      <c r="D20" s="498"/>
      <c r="E20" s="498"/>
      <c r="F20" s="498"/>
    </row>
    <row r="21" spans="2:8" ht="33.75" customHeight="1">
      <c r="B21" s="498"/>
      <c r="C21" s="498"/>
      <c r="D21" s="498"/>
      <c r="E21" s="498"/>
      <c r="F21" s="498"/>
    </row>
    <row r="22" spans="2:8" ht="33.75" customHeight="1">
      <c r="B22" s="498"/>
      <c r="C22" s="498"/>
      <c r="D22" s="498"/>
      <c r="E22" s="498"/>
      <c r="F22" s="498"/>
    </row>
    <row r="26" spans="2:8" ht="4.5" customHeight="1"/>
    <row r="27" spans="2:8" ht="15.75" customHeight="1">
      <c r="B27" s="699" t="s">
        <v>1072</v>
      </c>
      <c r="C27" s="700"/>
      <c r="D27" s="700"/>
      <c r="E27" s="700"/>
      <c r="F27" s="700"/>
      <c r="G27" s="700"/>
      <c r="H27" s="700"/>
    </row>
    <row r="28" spans="2:8" ht="15.6">
      <c r="B28" s="518" t="s">
        <v>308</v>
      </c>
      <c r="C28" s="519">
        <v>2020</v>
      </c>
      <c r="D28" s="519">
        <f>C28+1</f>
        <v>2021</v>
      </c>
      <c r="E28" s="519">
        <f t="shared" ref="E28:H28" si="0">D28+1</f>
        <v>2022</v>
      </c>
      <c r="F28" s="519">
        <f t="shared" si="0"/>
        <v>2023</v>
      </c>
      <c r="G28" s="519">
        <f t="shared" si="0"/>
        <v>2024</v>
      </c>
      <c r="H28" s="519">
        <f t="shared" si="0"/>
        <v>2025</v>
      </c>
    </row>
    <row r="29" spans="2:8">
      <c r="B29" s="499" t="s">
        <v>1098</v>
      </c>
      <c r="C29" s="520">
        <f>'3Statement Model'!D40</f>
        <v>6764</v>
      </c>
      <c r="D29" s="520">
        <f>'3Statement Model'!E40</f>
        <v>8000</v>
      </c>
      <c r="E29" s="520">
        <f>'3Statement Model'!F40</f>
        <v>8887</v>
      </c>
      <c r="F29" s="520">
        <f>'3Statement Model'!G40</f>
        <v>10154</v>
      </c>
      <c r="G29" s="520">
        <f>'3Statement Model'!H40</f>
        <v>10222</v>
      </c>
      <c r="H29" s="520">
        <f>'3Statement Model'!I40</f>
        <v>10671</v>
      </c>
    </row>
    <row r="30" spans="2:8">
      <c r="B30" s="499" t="s">
        <v>1099</v>
      </c>
      <c r="C30" s="520">
        <f>SUM('3Statement Model'!D57,'Balance Sheet'!C13)/2</f>
        <v>8065.5</v>
      </c>
      <c r="D30" s="520">
        <f>SUM('3Statement Model'!D57:E57)/2</f>
        <v>27970</v>
      </c>
      <c r="E30" s="520">
        <f>SUM('3Statement Model'!E57:F57)/2</f>
        <v>48390.5</v>
      </c>
      <c r="F30" s="520">
        <f>SUM('3Statement Model'!F57:G57)/2</f>
        <v>49804.5</v>
      </c>
      <c r="G30" s="520">
        <f>SUM('3Statement Model'!G57:H57)/2</f>
        <v>50972.5</v>
      </c>
      <c r="H30" s="520">
        <f>SUM('3Statement Model'!H57:I57)/2</f>
        <v>50516</v>
      </c>
    </row>
    <row r="31" spans="2:8" ht="15" thickBot="1">
      <c r="B31" s="501" t="s">
        <v>1112</v>
      </c>
      <c r="C31" s="502">
        <f>IFERROR(C29/C30,0)</f>
        <v>0.83863368669022376</v>
      </c>
      <c r="D31" s="502">
        <f t="shared" ref="D31:F31" si="1">IFERROR(D29/D30,0)</f>
        <v>0.28602073650339649</v>
      </c>
      <c r="E31" s="502">
        <f t="shared" si="1"/>
        <v>0.18365174982692883</v>
      </c>
      <c r="F31" s="502">
        <f t="shared" si="1"/>
        <v>0.20387715969440512</v>
      </c>
      <c r="G31" s="502">
        <f t="shared" ref="G31:H31" si="2">IFERROR(G29/G30,0)</f>
        <v>0.20053950659669428</v>
      </c>
      <c r="H31" s="502">
        <f t="shared" si="2"/>
        <v>0.21124000316731334</v>
      </c>
    </row>
    <row r="32" spans="2:8" ht="15" thickTop="1">
      <c r="B32" s="503"/>
      <c r="C32" s="503"/>
      <c r="D32" s="503"/>
      <c r="E32" s="503"/>
      <c r="F32" s="503"/>
    </row>
    <row r="33" spans="2:8" ht="15.6">
      <c r="B33" s="699" t="s">
        <v>1073</v>
      </c>
      <c r="C33" s="700"/>
      <c r="D33" s="700"/>
      <c r="E33" s="700"/>
      <c r="F33" s="700"/>
      <c r="G33" s="700"/>
      <c r="H33" s="700"/>
    </row>
    <row r="34" spans="2:8" ht="15.6">
      <c r="B34" s="518"/>
      <c r="C34" s="519">
        <f t="shared" ref="C34:E34" si="3">C28</f>
        <v>2020</v>
      </c>
      <c r="D34" s="519">
        <f t="shared" si="3"/>
        <v>2021</v>
      </c>
      <c r="E34" s="519">
        <f t="shared" si="3"/>
        <v>2022</v>
      </c>
      <c r="F34" s="519">
        <f>F28</f>
        <v>2023</v>
      </c>
      <c r="G34" s="519">
        <f t="shared" ref="G34:H34" si="4">G28</f>
        <v>2024</v>
      </c>
      <c r="H34" s="519">
        <f t="shared" si="4"/>
        <v>2025</v>
      </c>
    </row>
    <row r="35" spans="2:8">
      <c r="B35" s="499" t="s">
        <v>1098</v>
      </c>
      <c r="C35" s="500">
        <f>C29</f>
        <v>6764</v>
      </c>
      <c r="D35" s="500">
        <f t="shared" ref="D35:H35" si="5">D29</f>
        <v>8000</v>
      </c>
      <c r="E35" s="500">
        <f t="shared" si="5"/>
        <v>8887</v>
      </c>
      <c r="F35" s="500">
        <f t="shared" si="5"/>
        <v>10154</v>
      </c>
      <c r="G35" s="500">
        <f t="shared" si="5"/>
        <v>10222</v>
      </c>
      <c r="H35" s="500">
        <f t="shared" si="5"/>
        <v>10671</v>
      </c>
    </row>
    <row r="36" spans="2:8">
      <c r="B36" s="499" t="s">
        <v>52</v>
      </c>
      <c r="C36" s="520">
        <f>'3Statement Model'!D13</f>
        <v>39783</v>
      </c>
      <c r="D36" s="520">
        <f>'3Statement Model'!E13</f>
        <v>47028</v>
      </c>
      <c r="E36" s="520">
        <f>'3Statement Model'!F13</f>
        <v>52446</v>
      </c>
      <c r="F36" s="520">
        <f>'3Statement Model'!G13</f>
        <v>60590</v>
      </c>
      <c r="G36" s="520">
        <f>'3Statement Model'!H13</f>
        <v>61836</v>
      </c>
      <c r="H36" s="520">
        <f>'3Statement Model'!I13</f>
        <v>63121</v>
      </c>
    </row>
    <row r="37" spans="2:8" ht="15" thickBot="1">
      <c r="B37" s="501" t="s">
        <v>1100</v>
      </c>
      <c r="C37" s="502">
        <f>IFERROR(C35/C36,0)</f>
        <v>0.17002237136465326</v>
      </c>
      <c r="D37" s="502">
        <f t="shared" ref="D37:F37" si="6">IFERROR(D35/D36,0)</f>
        <v>0.17011142298205326</v>
      </c>
      <c r="E37" s="502">
        <f t="shared" si="6"/>
        <v>0.16945048240094573</v>
      </c>
      <c r="F37" s="502">
        <f t="shared" si="6"/>
        <v>0.16758541013368541</v>
      </c>
      <c r="G37" s="502">
        <f t="shared" ref="G37:H37" si="7">IFERROR(G35/G36,0)</f>
        <v>0.1653082346852966</v>
      </c>
      <c r="H37" s="502">
        <f t="shared" si="7"/>
        <v>0.16905625703014845</v>
      </c>
    </row>
    <row r="38" spans="2:8" ht="15" thickTop="1">
      <c r="B38" s="499"/>
      <c r="C38" s="499"/>
      <c r="D38" s="499"/>
      <c r="E38" s="499"/>
      <c r="F38" s="499"/>
    </row>
    <row r="39" spans="2:8">
      <c r="B39" s="499" t="s">
        <v>52</v>
      </c>
      <c r="C39" s="500">
        <f>C36</f>
        <v>39783</v>
      </c>
      <c r="D39" s="500">
        <f t="shared" ref="D39:H39" si="8">D36</f>
        <v>47028</v>
      </c>
      <c r="E39" s="500">
        <f t="shared" si="8"/>
        <v>52446</v>
      </c>
      <c r="F39" s="500">
        <f t="shared" si="8"/>
        <v>60590</v>
      </c>
      <c r="G39" s="500">
        <f t="shared" si="8"/>
        <v>61836</v>
      </c>
      <c r="H39" s="500">
        <f t="shared" si="8"/>
        <v>63121</v>
      </c>
    </row>
    <row r="40" spans="2:8">
      <c r="B40" s="499" t="s">
        <v>1101</v>
      </c>
      <c r="C40" s="520">
        <f>SUM('Balance Sheet'!C65,'3Statement Model'!D109)/2</f>
        <v>19391</v>
      </c>
      <c r="D40" s="520">
        <f>SUM('3Statement Model'!D109:E109)/2</f>
        <v>44455</v>
      </c>
      <c r="E40" s="520">
        <f>SUM('3Statement Model'!E109:F109)/2</f>
        <v>69637</v>
      </c>
      <c r="F40" s="520">
        <f>SUM('3Statement Model'!F109:G109)/2</f>
        <v>71802</v>
      </c>
      <c r="G40" s="520">
        <f>SUM('3Statement Model'!G109:H109)/2</f>
        <v>75793</v>
      </c>
      <c r="H40" s="520">
        <f>SUM('3Statement Model'!H109:I109)/2</f>
        <v>79189.5</v>
      </c>
    </row>
    <row r="41" spans="2:8" ht="15" thickBot="1">
      <c r="B41" s="501" t="s">
        <v>1102</v>
      </c>
      <c r="C41" s="502">
        <f>IFERROR(C39/C40,0)</f>
        <v>2.051621886442164</v>
      </c>
      <c r="D41" s="502">
        <f t="shared" ref="D41:F41" si="9">IFERROR(D39/D40,0)</f>
        <v>1.0578787537959735</v>
      </c>
      <c r="E41" s="502">
        <f t="shared" si="9"/>
        <v>0.75313410974051154</v>
      </c>
      <c r="F41" s="502">
        <f t="shared" si="9"/>
        <v>0.843848360769895</v>
      </c>
      <c r="G41" s="502">
        <f t="shared" ref="G41:H41" si="10">IFERROR(G39/G40,0)</f>
        <v>0.81585370680669722</v>
      </c>
      <c r="H41" s="502">
        <f t="shared" si="10"/>
        <v>0.79708799777748307</v>
      </c>
    </row>
    <row r="42" spans="2:8" ht="15" thickTop="1">
      <c r="B42" s="499"/>
      <c r="C42" s="507"/>
      <c r="D42" s="507"/>
      <c r="E42" s="507"/>
      <c r="F42" s="507"/>
    </row>
    <row r="43" spans="2:8">
      <c r="B43" s="499" t="s">
        <v>1101</v>
      </c>
      <c r="C43" s="500">
        <f t="shared" ref="C43:E43" si="11">C40</f>
        <v>19391</v>
      </c>
      <c r="D43" s="500">
        <f t="shared" si="11"/>
        <v>44455</v>
      </c>
      <c r="E43" s="500">
        <f t="shared" si="11"/>
        <v>69637</v>
      </c>
      <c r="F43" s="500">
        <f>F40</f>
        <v>71802</v>
      </c>
      <c r="G43" s="500">
        <f t="shared" ref="G43:H43" si="12">G40</f>
        <v>75793</v>
      </c>
      <c r="H43" s="500">
        <f t="shared" si="12"/>
        <v>79189.5</v>
      </c>
    </row>
    <row r="44" spans="2:8">
      <c r="B44" s="499" t="s">
        <v>1099</v>
      </c>
      <c r="C44" s="500">
        <f>C30</f>
        <v>8065.5</v>
      </c>
      <c r="D44" s="500">
        <f t="shared" ref="D44:E44" si="13">D30</f>
        <v>27970</v>
      </c>
      <c r="E44" s="500">
        <f t="shared" si="13"/>
        <v>48390.5</v>
      </c>
      <c r="F44" s="500">
        <f>F30</f>
        <v>49804.5</v>
      </c>
      <c r="G44" s="500">
        <f t="shared" ref="G44:H44" si="14">G30</f>
        <v>50972.5</v>
      </c>
      <c r="H44" s="500">
        <f t="shared" si="14"/>
        <v>50516</v>
      </c>
    </row>
    <row r="45" spans="2:8" ht="15" thickBot="1">
      <c r="B45" s="501" t="s">
        <v>1103</v>
      </c>
      <c r="C45" s="502">
        <f>IFERROR(C43/C44,0)</f>
        <v>2.4041906887359743</v>
      </c>
      <c r="D45" s="502">
        <f t="shared" ref="D45:H45" si="15">IFERROR(D43/D44,0)</f>
        <v>1.5893814801573114</v>
      </c>
      <c r="E45" s="502">
        <f t="shared" si="15"/>
        <v>1.4390634525371715</v>
      </c>
      <c r="F45" s="502">
        <f t="shared" si="15"/>
        <v>1.4416769569014849</v>
      </c>
      <c r="G45" s="502">
        <f t="shared" si="15"/>
        <v>1.4869390357545735</v>
      </c>
      <c r="H45" s="502">
        <f t="shared" si="15"/>
        <v>1.5676122416660068</v>
      </c>
    </row>
    <row r="46" spans="2:8" ht="15" thickTop="1">
      <c r="B46" s="499"/>
      <c r="C46" s="507"/>
      <c r="D46" s="507"/>
      <c r="E46" s="507"/>
      <c r="F46" s="507"/>
    </row>
    <row r="47" spans="2:8" ht="15" thickBot="1">
      <c r="B47" s="501" t="s">
        <v>1104</v>
      </c>
      <c r="C47" s="502">
        <f>IFERROR(C37*C41*C45,0)</f>
        <v>0.83863368669022398</v>
      </c>
      <c r="D47" s="502">
        <f t="shared" ref="D47:H47" si="16">IFERROR(D37*D41*D45,0)</f>
        <v>0.28602073650339654</v>
      </c>
      <c r="E47" s="502">
        <f t="shared" si="16"/>
        <v>0.18365174982692886</v>
      </c>
      <c r="F47" s="502">
        <f t="shared" si="16"/>
        <v>0.20387715969440512</v>
      </c>
      <c r="G47" s="502">
        <f t="shared" si="16"/>
        <v>0.20053950659669428</v>
      </c>
      <c r="H47" s="502">
        <f t="shared" si="16"/>
        <v>0.21124000316731334</v>
      </c>
    </row>
    <row r="48" spans="2:8" ht="15" thickTop="1">
      <c r="B48" s="508"/>
      <c r="C48" s="509"/>
      <c r="D48" s="509"/>
      <c r="E48" s="509"/>
      <c r="F48" s="509"/>
    </row>
    <row r="49" spans="2:8" ht="15.6">
      <c r="B49" s="699" t="s">
        <v>1074</v>
      </c>
      <c r="C49" s="700"/>
      <c r="D49" s="700"/>
      <c r="E49" s="700"/>
      <c r="F49" s="700"/>
      <c r="G49" s="700"/>
      <c r="H49" s="700"/>
    </row>
    <row r="50" spans="2:8" ht="15.6">
      <c r="B50" s="518"/>
      <c r="C50" s="519">
        <f>C34</f>
        <v>2020</v>
      </c>
      <c r="D50" s="519">
        <f t="shared" ref="D50:F51" si="17">D34</f>
        <v>2021</v>
      </c>
      <c r="E50" s="519">
        <f t="shared" si="17"/>
        <v>2022</v>
      </c>
      <c r="F50" s="519">
        <f t="shared" si="17"/>
        <v>2023</v>
      </c>
      <c r="G50" s="519">
        <f t="shared" ref="G50:H50" si="18">G34</f>
        <v>2024</v>
      </c>
      <c r="H50" s="519">
        <f t="shared" si="18"/>
        <v>2025</v>
      </c>
    </row>
    <row r="51" spans="2:8">
      <c r="B51" s="499" t="s">
        <v>1098</v>
      </c>
      <c r="C51" s="500">
        <f>C35</f>
        <v>6764</v>
      </c>
      <c r="D51" s="500">
        <f t="shared" si="17"/>
        <v>8000</v>
      </c>
      <c r="E51" s="500">
        <f>E35</f>
        <v>8887</v>
      </c>
      <c r="F51" s="500">
        <f t="shared" si="17"/>
        <v>10154</v>
      </c>
      <c r="G51" s="500">
        <f t="shared" ref="G51:H51" si="19">G35</f>
        <v>10222</v>
      </c>
      <c r="H51" s="500">
        <f t="shared" si="19"/>
        <v>10671</v>
      </c>
    </row>
    <row r="52" spans="2:8">
      <c r="B52" s="499" t="s">
        <v>1101</v>
      </c>
      <c r="C52" s="500">
        <f>C43</f>
        <v>19391</v>
      </c>
      <c r="D52" s="500">
        <f t="shared" ref="D52:F52" si="20">D43</f>
        <v>44455</v>
      </c>
      <c r="E52" s="500">
        <f t="shared" si="20"/>
        <v>69637</v>
      </c>
      <c r="F52" s="500">
        <f t="shared" si="20"/>
        <v>71802</v>
      </c>
      <c r="G52" s="500">
        <f t="shared" ref="G52:H52" si="21">G43</f>
        <v>75793</v>
      </c>
      <c r="H52" s="500">
        <f t="shared" si="21"/>
        <v>79189.5</v>
      </c>
    </row>
    <row r="53" spans="2:8" ht="15" thickBot="1">
      <c r="B53" s="501" t="s">
        <v>1105</v>
      </c>
      <c r="C53" s="502">
        <f>IFERROR(C51/C52,0)</f>
        <v>0.34882161827652003</v>
      </c>
      <c r="D53" s="502">
        <f t="shared" ref="D53:F53" si="22">IFERROR(D51/D52,0)</f>
        <v>0.1799572601507142</v>
      </c>
      <c r="E53" s="502">
        <f t="shared" si="22"/>
        <v>0.12761893820813647</v>
      </c>
      <c r="F53" s="502">
        <f t="shared" si="22"/>
        <v>0.141416673630261</v>
      </c>
      <c r="G53" s="502">
        <f t="shared" ref="G53:H53" si="23">IFERROR(G51/G52,0)</f>
        <v>0.13486733603367065</v>
      </c>
      <c r="H53" s="502">
        <f t="shared" si="23"/>
        <v>0.13475271342791659</v>
      </c>
    </row>
    <row r="54" spans="2:8" ht="15" thickTop="1">
      <c r="B54" s="508"/>
      <c r="C54" s="509"/>
      <c r="D54" s="509"/>
      <c r="E54" s="509"/>
      <c r="F54" s="509"/>
    </row>
    <row r="55" spans="2:8" ht="15.6">
      <c r="B55" s="699" t="s">
        <v>1075</v>
      </c>
      <c r="C55" s="700"/>
      <c r="D55" s="700"/>
      <c r="E55" s="700"/>
      <c r="F55" s="700"/>
      <c r="G55" s="700"/>
      <c r="H55" s="700"/>
    </row>
    <row r="56" spans="2:8" ht="15.6">
      <c r="B56" s="518"/>
      <c r="C56" s="519">
        <f t="shared" ref="C56:E56" si="24">C50</f>
        <v>2020</v>
      </c>
      <c r="D56" s="519">
        <f t="shared" si="24"/>
        <v>2021</v>
      </c>
      <c r="E56" s="519">
        <f t="shared" si="24"/>
        <v>2022</v>
      </c>
      <c r="F56" s="519">
        <f>F50</f>
        <v>2023</v>
      </c>
      <c r="G56" s="519">
        <f t="shared" ref="G56:H56" si="25">G50</f>
        <v>2024</v>
      </c>
      <c r="H56" s="519">
        <f t="shared" si="25"/>
        <v>2025</v>
      </c>
    </row>
    <row r="57" spans="2:8">
      <c r="B57" s="499" t="s">
        <v>1098</v>
      </c>
      <c r="C57" s="500">
        <f>C35</f>
        <v>6764</v>
      </c>
      <c r="D57" s="500">
        <f t="shared" ref="D57:F57" si="26">D35</f>
        <v>8000</v>
      </c>
      <c r="E57" s="500">
        <f t="shared" si="26"/>
        <v>8887</v>
      </c>
      <c r="F57" s="500">
        <f t="shared" si="26"/>
        <v>10154</v>
      </c>
      <c r="G57" s="500">
        <f t="shared" ref="G57:H57" si="27">G35</f>
        <v>10222</v>
      </c>
      <c r="H57" s="500">
        <f t="shared" si="27"/>
        <v>10671</v>
      </c>
    </row>
    <row r="58" spans="2:8">
      <c r="B58" s="499" t="s">
        <v>52</v>
      </c>
      <c r="C58" s="500">
        <f t="shared" ref="C58:F58" si="28">C36</f>
        <v>39783</v>
      </c>
      <c r="D58" s="500">
        <f t="shared" si="28"/>
        <v>47028</v>
      </c>
      <c r="E58" s="500">
        <f t="shared" si="28"/>
        <v>52446</v>
      </c>
      <c r="F58" s="500">
        <f t="shared" si="28"/>
        <v>60590</v>
      </c>
      <c r="G58" s="500">
        <f t="shared" ref="G58:H58" si="29">G36</f>
        <v>61836</v>
      </c>
      <c r="H58" s="500">
        <f t="shared" si="29"/>
        <v>63121</v>
      </c>
    </row>
    <row r="59" spans="2:8" ht="15" thickBot="1">
      <c r="B59" s="501" t="s">
        <v>1100</v>
      </c>
      <c r="C59" s="502">
        <f>IFERROR(C57/C58,0)</f>
        <v>0.17002237136465326</v>
      </c>
      <c r="D59" s="502">
        <f t="shared" ref="D59:F59" si="30">IFERROR(D57/D58,0)</f>
        <v>0.17011142298205326</v>
      </c>
      <c r="E59" s="502">
        <f t="shared" si="30"/>
        <v>0.16945048240094573</v>
      </c>
      <c r="F59" s="502">
        <f t="shared" si="30"/>
        <v>0.16758541013368541</v>
      </c>
      <c r="G59" s="502">
        <f t="shared" ref="G59:H59" si="31">IFERROR(G57/G58,0)</f>
        <v>0.1653082346852966</v>
      </c>
      <c r="H59" s="502">
        <f t="shared" si="31"/>
        <v>0.16905625703014845</v>
      </c>
    </row>
    <row r="60" spans="2:8" ht="15" thickTop="1">
      <c r="B60" s="499"/>
      <c r="C60" s="499"/>
      <c r="D60" s="499"/>
      <c r="E60" s="499"/>
      <c r="F60" s="499"/>
    </row>
    <row r="61" spans="2:8">
      <c r="B61" s="499" t="s">
        <v>52</v>
      </c>
      <c r="C61" s="500">
        <f>C39</f>
        <v>39783</v>
      </c>
      <c r="D61" s="500">
        <f t="shared" ref="D61:F61" si="32">D39</f>
        <v>47028</v>
      </c>
      <c r="E61" s="500">
        <f t="shared" si="32"/>
        <v>52446</v>
      </c>
      <c r="F61" s="500">
        <f t="shared" si="32"/>
        <v>60590</v>
      </c>
      <c r="G61" s="500">
        <f t="shared" ref="G61:H61" si="33">G39</f>
        <v>61836</v>
      </c>
      <c r="H61" s="500">
        <f t="shared" si="33"/>
        <v>63121</v>
      </c>
    </row>
    <row r="62" spans="2:8">
      <c r="B62" s="499" t="s">
        <v>1101</v>
      </c>
      <c r="C62" s="500">
        <f t="shared" ref="C62:F62" si="34">C40</f>
        <v>19391</v>
      </c>
      <c r="D62" s="500">
        <f t="shared" si="34"/>
        <v>44455</v>
      </c>
      <c r="E62" s="500">
        <f t="shared" si="34"/>
        <v>69637</v>
      </c>
      <c r="F62" s="500">
        <f t="shared" si="34"/>
        <v>71802</v>
      </c>
      <c r="G62" s="500">
        <f t="shared" ref="G62:H62" si="35">G40</f>
        <v>75793</v>
      </c>
      <c r="H62" s="500">
        <f t="shared" si="35"/>
        <v>79189.5</v>
      </c>
    </row>
    <row r="63" spans="2:8" ht="15" thickBot="1">
      <c r="B63" s="501" t="s">
        <v>1102</v>
      </c>
      <c r="C63" s="502">
        <f>IFERROR(C61/C62,0)</f>
        <v>2.051621886442164</v>
      </c>
      <c r="D63" s="502">
        <f t="shared" ref="D63:F63" si="36">IFERROR(D61/D62,0)</f>
        <v>1.0578787537959735</v>
      </c>
      <c r="E63" s="502">
        <f t="shared" si="36"/>
        <v>0.75313410974051154</v>
      </c>
      <c r="F63" s="502">
        <f t="shared" si="36"/>
        <v>0.843848360769895</v>
      </c>
      <c r="G63" s="502">
        <f t="shared" ref="G63:H63" si="37">IFERROR(G61/G62,0)</f>
        <v>0.81585370680669722</v>
      </c>
      <c r="H63" s="502">
        <f t="shared" si="37"/>
        <v>0.79708799777748307</v>
      </c>
    </row>
    <row r="64" spans="2:8" ht="15" thickTop="1">
      <c r="B64" s="499"/>
      <c r="C64" s="507"/>
      <c r="D64" s="507"/>
      <c r="E64" s="507"/>
      <c r="F64" s="507"/>
    </row>
    <row r="65" spans="2:8" ht="15" thickBot="1">
      <c r="B65" s="501" t="s">
        <v>1106</v>
      </c>
      <c r="C65" s="502">
        <f>IFERROR(C59*C63,0)</f>
        <v>0.34882161827652008</v>
      </c>
      <c r="D65" s="502">
        <f t="shared" ref="D65:H65" si="38">IFERROR(D59*D63,0)</f>
        <v>0.17995726015071423</v>
      </c>
      <c r="E65" s="502">
        <f t="shared" si="38"/>
        <v>0.1276189382081365</v>
      </c>
      <c r="F65" s="502">
        <f t="shared" si="38"/>
        <v>0.14141667363026098</v>
      </c>
      <c r="G65" s="502">
        <f>IFERROR(G59*G63,0)</f>
        <v>0.13486733603367065</v>
      </c>
      <c r="H65" s="502">
        <f t="shared" si="38"/>
        <v>0.13475271342791659</v>
      </c>
    </row>
    <row r="66" spans="2:8" ht="15" thickTop="1">
      <c r="B66" s="508"/>
      <c r="C66" s="509"/>
      <c r="D66" s="509"/>
      <c r="E66" s="509"/>
      <c r="F66" s="509"/>
    </row>
    <row r="67" spans="2:8" ht="15.6">
      <c r="B67" s="699" t="s">
        <v>1076</v>
      </c>
      <c r="C67" s="700"/>
      <c r="D67" s="700"/>
      <c r="E67" s="700"/>
      <c r="F67" s="700"/>
      <c r="G67" s="700"/>
      <c r="H67" s="700"/>
    </row>
    <row r="68" spans="2:8" ht="15.6">
      <c r="B68" s="518"/>
      <c r="C68" s="519">
        <f>C56</f>
        <v>2020</v>
      </c>
      <c r="D68" s="519">
        <f t="shared" ref="D68:F68" si="39">D56</f>
        <v>2021</v>
      </c>
      <c r="E68" s="519">
        <f t="shared" si="39"/>
        <v>2022</v>
      </c>
      <c r="F68" s="519">
        <f t="shared" si="39"/>
        <v>2023</v>
      </c>
      <c r="G68" s="519">
        <f t="shared" ref="G68:H68" si="40">G56</f>
        <v>2024</v>
      </c>
      <c r="H68" s="519">
        <f t="shared" si="40"/>
        <v>2025</v>
      </c>
    </row>
    <row r="69" spans="2:8">
      <c r="B69" s="499" t="s">
        <v>1077</v>
      </c>
      <c r="C69" s="520">
        <f>DCFVal!E17</f>
        <v>6450</v>
      </c>
      <c r="D69" s="520">
        <f>DCFVal!F17</f>
        <v>7946</v>
      </c>
      <c r="E69" s="520">
        <f>DCFVal!G17</f>
        <v>8779</v>
      </c>
      <c r="F69" s="520">
        <f>DCFVal!H17</f>
        <v>9821</v>
      </c>
      <c r="G69" s="520">
        <f>DCFVal!I17</f>
        <v>9743</v>
      </c>
      <c r="H69" s="520">
        <f>DCFVal!J17</f>
        <v>9752</v>
      </c>
    </row>
    <row r="70" spans="2:8">
      <c r="B70" s="499" t="s">
        <v>1107</v>
      </c>
      <c r="C70" s="520">
        <f>('ROIIC Profiling- Saber'!G7+'ROIIC Profiling- Saber'!F7)/2</f>
        <v>8115</v>
      </c>
      <c r="D70" s="520">
        <f>('ROIIC Profiling- Saber'!H7+'ROIIC Profiling- Saber'!G7)/2</f>
        <v>27970</v>
      </c>
      <c r="E70" s="520">
        <f>('ROIIC Profiling- Saber'!I7+'ROIIC Profiling- Saber'!H7)/2</f>
        <v>48761</v>
      </c>
      <c r="F70" s="520">
        <f>('ROIIC Profiling- Saber'!J7+'ROIIC Profiling- Saber'!I7)/2</f>
        <v>50627.5</v>
      </c>
      <c r="G70" s="520">
        <f>('ROIIC Profiling- Saber'!K7+'ROIIC Profiling- Saber'!J7)/2</f>
        <v>51984.5</v>
      </c>
      <c r="H70" s="520">
        <f>('ROIIC Profiling- Saber'!L7+'ROIIC Profiling- Saber'!K7)/2</f>
        <v>51697.5</v>
      </c>
    </row>
    <row r="71" spans="2:8" ht="15" thickBot="1">
      <c r="B71" s="501" t="s">
        <v>1111</v>
      </c>
      <c r="C71" s="502">
        <f>IFERROR(C69/C70,0)</f>
        <v>0.79482439926062842</v>
      </c>
      <c r="D71" s="502">
        <f t="shared" ref="D71:F71" si="41">IFERROR(D69/D70,0)</f>
        <v>0.28409009653199857</v>
      </c>
      <c r="E71" s="502">
        <f t="shared" si="41"/>
        <v>0.18004142654990668</v>
      </c>
      <c r="F71" s="502">
        <f t="shared" si="41"/>
        <v>0.19398548219840994</v>
      </c>
      <c r="G71" s="502">
        <f t="shared" ref="G71:H71" si="42">IFERROR(G69/G70,0)</f>
        <v>0.18742125056507228</v>
      </c>
      <c r="H71" s="502">
        <f t="shared" si="42"/>
        <v>0.1886358141109338</v>
      </c>
    </row>
    <row r="72" spans="2:8" ht="15" thickTop="1">
      <c r="B72" s="508"/>
      <c r="C72" s="509"/>
      <c r="D72" s="509"/>
      <c r="E72" s="509"/>
      <c r="F72" s="509"/>
    </row>
    <row r="73" spans="2:8" ht="15.6">
      <c r="B73" s="699" t="s">
        <v>1078</v>
      </c>
      <c r="C73" s="700"/>
      <c r="D73" s="700"/>
      <c r="E73" s="700"/>
      <c r="F73" s="700"/>
      <c r="G73" s="700"/>
      <c r="H73" s="700"/>
    </row>
    <row r="74" spans="2:8" ht="15.6">
      <c r="B74" s="518"/>
      <c r="C74" s="519">
        <f>C68</f>
        <v>2020</v>
      </c>
      <c r="D74" s="519">
        <f t="shared" ref="D74:F75" si="43">D68</f>
        <v>2021</v>
      </c>
      <c r="E74" s="519">
        <f t="shared" si="43"/>
        <v>2022</v>
      </c>
      <c r="F74" s="519">
        <f>F68</f>
        <v>2023</v>
      </c>
      <c r="G74" s="519">
        <f t="shared" ref="G74:H74" si="44">G68</f>
        <v>2024</v>
      </c>
      <c r="H74" s="519">
        <f t="shared" si="44"/>
        <v>2025</v>
      </c>
    </row>
    <row r="75" spans="2:8">
      <c r="B75" s="499" t="s">
        <v>1077</v>
      </c>
      <c r="C75" s="500">
        <f>C69</f>
        <v>6450</v>
      </c>
      <c r="D75" s="500">
        <f t="shared" si="43"/>
        <v>7946</v>
      </c>
      <c r="E75" s="500">
        <f t="shared" si="43"/>
        <v>8779</v>
      </c>
      <c r="F75" s="500">
        <f t="shared" si="43"/>
        <v>9821</v>
      </c>
      <c r="G75" s="500">
        <f t="shared" ref="G75:H75" si="45">G69</f>
        <v>9743</v>
      </c>
      <c r="H75" s="500">
        <f t="shared" si="45"/>
        <v>9752</v>
      </c>
    </row>
    <row r="76" spans="2:8">
      <c r="B76" s="499" t="s">
        <v>52</v>
      </c>
      <c r="C76" s="500">
        <f>C61</f>
        <v>39783</v>
      </c>
      <c r="D76" s="500">
        <f t="shared" ref="D76:F76" si="46">D61</f>
        <v>47028</v>
      </c>
      <c r="E76" s="500">
        <f t="shared" si="46"/>
        <v>52446</v>
      </c>
      <c r="F76" s="500">
        <f t="shared" si="46"/>
        <v>60590</v>
      </c>
      <c r="G76" s="500">
        <f t="shared" ref="G76:H76" si="47">G61</f>
        <v>61836</v>
      </c>
      <c r="H76" s="500">
        <f t="shared" si="47"/>
        <v>63121</v>
      </c>
    </row>
    <row r="77" spans="2:8" ht="15" thickBot="1">
      <c r="B77" s="501" t="s">
        <v>1108</v>
      </c>
      <c r="C77" s="502">
        <f>IFERROR(C75/C76,0)</f>
        <v>0.16212955282407057</v>
      </c>
      <c r="D77" s="502">
        <f t="shared" ref="D77:F77" si="48">IFERROR(D75/D76,0)</f>
        <v>0.16896317087692439</v>
      </c>
      <c r="E77" s="502">
        <f t="shared" si="48"/>
        <v>0.1673912214468215</v>
      </c>
      <c r="F77" s="502">
        <f t="shared" si="48"/>
        <v>0.1620894537052319</v>
      </c>
      <c r="G77" s="502">
        <f t="shared" ref="G77:H77" si="49">IFERROR(G75/G76,0)</f>
        <v>0.15756193802962676</v>
      </c>
      <c r="H77" s="502">
        <f t="shared" si="49"/>
        <v>0.15449691861662521</v>
      </c>
    </row>
    <row r="78" spans="2:8" ht="15" thickTop="1">
      <c r="B78" s="499"/>
      <c r="C78" s="499"/>
      <c r="D78" s="499"/>
      <c r="E78" s="499"/>
      <c r="F78" s="499"/>
    </row>
    <row r="79" spans="2:8">
      <c r="B79" s="499" t="s">
        <v>52</v>
      </c>
      <c r="C79" s="500">
        <f>C76</f>
        <v>39783</v>
      </c>
      <c r="D79" s="500">
        <f t="shared" ref="D79:F79" si="50">D76</f>
        <v>47028</v>
      </c>
      <c r="E79" s="500">
        <f t="shared" si="50"/>
        <v>52446</v>
      </c>
      <c r="F79" s="500">
        <f t="shared" si="50"/>
        <v>60590</v>
      </c>
      <c r="G79" s="500">
        <f t="shared" ref="G79:H79" si="51">G76</f>
        <v>61836</v>
      </c>
      <c r="H79" s="500">
        <f t="shared" si="51"/>
        <v>63121</v>
      </c>
    </row>
    <row r="80" spans="2:8">
      <c r="B80" s="499" t="s">
        <v>1107</v>
      </c>
      <c r="C80" s="500">
        <f>C70</f>
        <v>8115</v>
      </c>
      <c r="D80" s="500">
        <f t="shared" ref="D80:F80" si="52">D70</f>
        <v>27970</v>
      </c>
      <c r="E80" s="500">
        <f t="shared" si="52"/>
        <v>48761</v>
      </c>
      <c r="F80" s="500">
        <f t="shared" si="52"/>
        <v>50627.5</v>
      </c>
      <c r="G80" s="500">
        <f t="shared" ref="G80:H80" si="53">G70</f>
        <v>51984.5</v>
      </c>
      <c r="H80" s="500">
        <f t="shared" si="53"/>
        <v>51697.5</v>
      </c>
    </row>
    <row r="81" spans="2:17" ht="15" thickBot="1">
      <c r="B81" s="501" t="s">
        <v>1109</v>
      </c>
      <c r="C81" s="522">
        <f>IFERROR(C79/C80,0)</f>
        <v>4.902402957486137</v>
      </c>
      <c r="D81" s="522">
        <f t="shared" ref="D81:F81" si="54">IFERROR(D79/D80,0)</f>
        <v>1.6813728995352164</v>
      </c>
      <c r="E81" s="522">
        <f t="shared" si="54"/>
        <v>1.0755726912901704</v>
      </c>
      <c r="F81" s="522">
        <f t="shared" si="54"/>
        <v>1.1967804059058811</v>
      </c>
      <c r="G81" s="522">
        <f t="shared" ref="G81:H81" si="55">IFERROR(G79/G80,0)</f>
        <v>1.1895084111610192</v>
      </c>
      <c r="H81" s="522">
        <f t="shared" si="55"/>
        <v>1.2209681319212728</v>
      </c>
    </row>
    <row r="82" spans="2:17" ht="15" thickTop="1">
      <c r="B82" s="499"/>
      <c r="C82" s="507"/>
      <c r="D82" s="507"/>
      <c r="E82" s="507"/>
      <c r="F82" s="507"/>
    </row>
    <row r="83" spans="2:17" ht="15" thickBot="1">
      <c r="B83" s="501" t="s">
        <v>1110</v>
      </c>
      <c r="C83" s="502">
        <f t="shared" ref="C83:E83" si="56">IFERROR(C77*C81,0)</f>
        <v>0.79482439926062842</v>
      </c>
      <c r="D83" s="502">
        <f t="shared" si="56"/>
        <v>0.28409009653199857</v>
      </c>
      <c r="E83" s="502">
        <f t="shared" si="56"/>
        <v>0.18004142654990671</v>
      </c>
      <c r="F83" s="502">
        <f>IFERROR(F77*F81,0)</f>
        <v>0.19398548219840994</v>
      </c>
      <c r="G83" s="502">
        <f t="shared" ref="G83:H83" si="57">IFERROR(G77*G81,0)</f>
        <v>0.18742125056507231</v>
      </c>
      <c r="H83" s="502">
        <f t="shared" si="57"/>
        <v>0.1886358141109338</v>
      </c>
    </row>
    <row r="84" spans="2:17" ht="15" thickTop="1">
      <c r="B84" s="508"/>
      <c r="C84" s="509"/>
      <c r="D84" s="509"/>
      <c r="E84" s="509"/>
      <c r="F84" s="509"/>
    </row>
    <row r="85" spans="2:17" ht="15.6">
      <c r="B85" s="701" t="s">
        <v>1079</v>
      </c>
      <c r="C85" s="702"/>
      <c r="D85" s="702"/>
      <c r="E85" s="702"/>
      <c r="F85" s="702"/>
      <c r="G85" s="702"/>
      <c r="H85" s="703"/>
    </row>
    <row r="86" spans="2:17" ht="15.6">
      <c r="B86" s="504"/>
      <c r="C86" s="519">
        <f t="shared" ref="C86:E86" si="58">C74</f>
        <v>2020</v>
      </c>
      <c r="D86" s="519">
        <f t="shared" si="58"/>
        <v>2021</v>
      </c>
      <c r="E86" s="519">
        <f t="shared" si="58"/>
        <v>2022</v>
      </c>
      <c r="F86" s="519">
        <f>F74</f>
        <v>2023</v>
      </c>
      <c r="G86" s="519">
        <f t="shared" ref="G86:H86" si="59">G74</f>
        <v>2024</v>
      </c>
      <c r="H86" s="519">
        <f t="shared" si="59"/>
        <v>2025</v>
      </c>
    </row>
    <row r="87" spans="2:17">
      <c r="B87" s="505" t="s">
        <v>1080</v>
      </c>
      <c r="C87" s="510">
        <f>'Ratio Analysis'!D46</f>
        <v>0.54103511550159611</v>
      </c>
      <c r="D87" s="510">
        <f>'Ratio Analysis'!E46</f>
        <v>0.52904652547418562</v>
      </c>
      <c r="E87" s="510">
        <f>'Ratio Analysis'!F46</f>
        <v>0.50930480875567252</v>
      </c>
      <c r="F87" s="510">
        <f>'Ratio Analysis'!G46</f>
        <v>0.47654728503053312</v>
      </c>
      <c r="G87" s="510">
        <f>'Ratio Analysis'!H46</f>
        <v>0.51872695517174461</v>
      </c>
      <c r="H87" s="510">
        <f>'Ratio Analysis'!I46</f>
        <v>0.51556534275439236</v>
      </c>
      <c r="K87" s="694" t="s">
        <v>1081</v>
      </c>
      <c r="L87" s="695"/>
      <c r="M87" s="695"/>
      <c r="N87" s="695"/>
      <c r="O87" s="695"/>
      <c r="P87" s="695"/>
      <c r="Q87" s="695"/>
    </row>
    <row r="88" spans="2:17">
      <c r="B88" s="505" t="s">
        <v>1082</v>
      </c>
      <c r="C88" s="510">
        <f>'Ratio Analysis'!D50</f>
        <v>0.24786969308498605</v>
      </c>
      <c r="D88" s="510">
        <f>'Ratio Analysis'!E50</f>
        <v>0.24721442544866887</v>
      </c>
      <c r="E88" s="510">
        <f>'Ratio Analysis'!F50</f>
        <v>0.24514738969606834</v>
      </c>
      <c r="F88" s="510">
        <f>'Ratio Analysis'!G50</f>
        <v>0.23368542663805908</v>
      </c>
      <c r="G88" s="510">
        <f>'Ratio Analysis'!H50</f>
        <v>0.23615693123746684</v>
      </c>
      <c r="H88" s="510">
        <f>'Ratio Analysis'!I50</f>
        <v>0.23527827505901364</v>
      </c>
      <c r="K88" s="694"/>
      <c r="L88" s="695"/>
      <c r="M88" s="695"/>
      <c r="N88" s="695"/>
      <c r="O88" s="695"/>
      <c r="P88" s="695"/>
      <c r="Q88" s="695"/>
    </row>
    <row r="89" spans="2:17">
      <c r="B89" s="499" t="s">
        <v>1083</v>
      </c>
      <c r="C89" s="510">
        <f>'Ratio Analysis'!D58</f>
        <v>0.17002237136465326</v>
      </c>
      <c r="D89" s="510">
        <f>'Ratio Analysis'!E58</f>
        <v>0.17011142298205326</v>
      </c>
      <c r="E89" s="510">
        <f>'Ratio Analysis'!F58</f>
        <v>0.16945048240094573</v>
      </c>
      <c r="F89" s="510">
        <f>'Ratio Analysis'!G58</f>
        <v>0.16758541013368541</v>
      </c>
      <c r="G89" s="510">
        <f>'Ratio Analysis'!H58</f>
        <v>0.1653082346852966</v>
      </c>
      <c r="H89" s="510">
        <f>'Ratio Analysis'!I58</f>
        <v>0.16905625703014845</v>
      </c>
      <c r="K89" s="694"/>
      <c r="L89" s="695"/>
      <c r="M89" s="695"/>
      <c r="N89" s="695"/>
      <c r="O89" s="695"/>
      <c r="P89" s="695"/>
      <c r="Q89" s="695"/>
    </row>
    <row r="90" spans="2:17" ht="15" customHeight="1">
      <c r="B90" s="499" t="s">
        <v>1084</v>
      </c>
      <c r="C90" s="510">
        <v>2.2000000000000002</v>
      </c>
      <c r="D90" s="510">
        <v>0.19</v>
      </c>
      <c r="E90" s="510">
        <v>0.19</v>
      </c>
      <c r="F90" s="510">
        <v>0.22</v>
      </c>
      <c r="G90" s="510">
        <v>0.23</v>
      </c>
      <c r="H90" s="510">
        <v>0.25</v>
      </c>
      <c r="K90" s="694"/>
      <c r="L90" s="695"/>
      <c r="M90" s="695"/>
      <c r="N90" s="695"/>
      <c r="O90" s="695"/>
      <c r="P90" s="695"/>
      <c r="Q90" s="695"/>
    </row>
    <row r="91" spans="2:17">
      <c r="B91" s="506" t="s">
        <v>1085</v>
      </c>
      <c r="C91" s="510">
        <f t="shared" ref="C91:E91" si="60">C71</f>
        <v>0.79482439926062842</v>
      </c>
      <c r="D91" s="510">
        <f t="shared" si="60"/>
        <v>0.28409009653199857</v>
      </c>
      <c r="E91" s="510">
        <f t="shared" si="60"/>
        <v>0.18004142654990668</v>
      </c>
      <c r="F91" s="510">
        <f>F71</f>
        <v>0.19398548219840994</v>
      </c>
      <c r="G91" s="510">
        <f t="shared" ref="G91:H91" si="61">G71</f>
        <v>0.18742125056507228</v>
      </c>
      <c r="H91" s="510">
        <f t="shared" si="61"/>
        <v>0.1886358141109338</v>
      </c>
      <c r="K91" s="694"/>
      <c r="L91" s="695"/>
      <c r="M91" s="695"/>
      <c r="N91" s="695"/>
      <c r="O91" s="695"/>
      <c r="P91" s="695"/>
      <c r="Q91" s="695"/>
    </row>
    <row r="92" spans="2:17">
      <c r="B92" s="506" t="s">
        <v>1086</v>
      </c>
      <c r="C92" s="510">
        <f>C31</f>
        <v>0.83863368669022376</v>
      </c>
      <c r="D92" s="510">
        <f t="shared" ref="D92:H92" si="62">D31</f>
        <v>0.28602073650339649</v>
      </c>
      <c r="E92" s="510">
        <f t="shared" si="62"/>
        <v>0.18365174982692883</v>
      </c>
      <c r="F92" s="510">
        <f t="shared" si="62"/>
        <v>0.20387715969440512</v>
      </c>
      <c r="G92" s="510">
        <f t="shared" si="62"/>
        <v>0.20053950659669428</v>
      </c>
      <c r="H92" s="510">
        <f t="shared" si="62"/>
        <v>0.21124000316731334</v>
      </c>
      <c r="K92" s="694"/>
      <c r="L92" s="695"/>
      <c r="M92" s="695"/>
      <c r="N92" s="695"/>
      <c r="O92" s="695"/>
      <c r="P92" s="695"/>
      <c r="Q92" s="695"/>
    </row>
    <row r="93" spans="2:17">
      <c r="B93" s="499" t="s">
        <v>1087</v>
      </c>
      <c r="C93" s="651">
        <v>31.17</v>
      </c>
      <c r="D93" s="651">
        <v>34.03</v>
      </c>
      <c r="E93" s="651">
        <v>37.79</v>
      </c>
      <c r="F93" s="651">
        <v>43.07</v>
      </c>
      <c r="G93" s="651">
        <v>43.74</v>
      </c>
      <c r="H93" s="651">
        <v>45.32</v>
      </c>
    </row>
    <row r="94" spans="2:17">
      <c r="B94" s="499" t="s">
        <v>1088</v>
      </c>
      <c r="C94" s="510">
        <f t="shared" ref="C94:E94" si="63">C53</f>
        <v>0.34882161827652003</v>
      </c>
      <c r="D94" s="510">
        <f t="shared" si="63"/>
        <v>0.1799572601507142</v>
      </c>
      <c r="E94" s="510">
        <f t="shared" si="63"/>
        <v>0.12761893820813647</v>
      </c>
      <c r="F94" s="510">
        <f>F53</f>
        <v>0.141416673630261</v>
      </c>
      <c r="G94" s="510">
        <f t="shared" ref="G94:H94" si="64">G53</f>
        <v>0.13486733603367065</v>
      </c>
      <c r="H94" s="510">
        <f t="shared" si="64"/>
        <v>0.13475271342791659</v>
      </c>
    </row>
    <row r="95" spans="2:17">
      <c r="B95" s="508"/>
      <c r="C95" s="509"/>
      <c r="D95" s="509"/>
      <c r="E95" s="509"/>
      <c r="F95" s="509"/>
    </row>
    <row r="96" spans="2:17">
      <c r="B96" s="508"/>
      <c r="C96" s="509"/>
      <c r="D96" s="509"/>
      <c r="E96" s="509"/>
      <c r="F96" s="509"/>
    </row>
    <row r="97" spans="2:11">
      <c r="B97" s="508"/>
      <c r="C97" s="509"/>
      <c r="D97" s="509"/>
      <c r="E97" s="509"/>
      <c r="F97" s="509"/>
    </row>
    <row r="98" spans="2:11">
      <c r="B98" s="508"/>
      <c r="C98" s="509"/>
      <c r="D98" s="509"/>
      <c r="E98" s="509"/>
      <c r="F98" s="509"/>
    </row>
    <row r="99" spans="2:11">
      <c r="B99" s="503"/>
      <c r="C99" s="503"/>
      <c r="D99" s="503"/>
      <c r="E99" s="503"/>
      <c r="F99" s="503"/>
    </row>
    <row r="100" spans="2:11" ht="16.2" thickBot="1">
      <c r="B100" s="523" t="s">
        <v>1089</v>
      </c>
      <c r="C100" s="524"/>
      <c r="D100" s="524"/>
      <c r="E100" s="524"/>
      <c r="F100" s="524"/>
      <c r="G100" s="524"/>
    </row>
    <row r="101" spans="2:11" ht="25.5" customHeight="1">
      <c r="B101" s="511"/>
      <c r="C101" s="538" t="str">
        <f>'Input Sheet'!C6</f>
        <v>Hindustan Unilever Ltd.</v>
      </c>
      <c r="D101" s="525" t="s">
        <v>1115</v>
      </c>
      <c r="E101" s="526" t="s">
        <v>1116</v>
      </c>
      <c r="F101" s="526" t="s">
        <v>540</v>
      </c>
      <c r="G101" s="526" t="s">
        <v>1117</v>
      </c>
      <c r="H101" s="513"/>
    </row>
    <row r="102" spans="2:11" ht="25.5" customHeight="1">
      <c r="B102" s="514" t="s">
        <v>1100</v>
      </c>
      <c r="C102" s="539">
        <f>H59</f>
        <v>0.16905625703014845</v>
      </c>
      <c r="D102" s="531">
        <v>0.13850000000000001</v>
      </c>
      <c r="E102" s="529">
        <v>0.12889999999999999</v>
      </c>
      <c r="F102" s="529">
        <v>0.15310000000000001</v>
      </c>
      <c r="G102" s="529">
        <v>7.3099999999999998E-2</v>
      </c>
    </row>
    <row r="103" spans="2:11">
      <c r="B103" s="514" t="s">
        <v>1102</v>
      </c>
      <c r="C103" s="540">
        <f>H63</f>
        <v>0.79708799777748307</v>
      </c>
      <c r="D103" s="537">
        <v>0.77</v>
      </c>
      <c r="E103" s="530">
        <v>0.74</v>
      </c>
      <c r="F103" s="530">
        <v>1.31</v>
      </c>
      <c r="G103" s="530">
        <v>0.55000000000000004</v>
      </c>
    </row>
    <row r="104" spans="2:11">
      <c r="B104" s="514" t="s">
        <v>1103</v>
      </c>
      <c r="C104" s="540">
        <f>H45</f>
        <v>1.5676122416660068</v>
      </c>
      <c r="D104" s="537">
        <v>1.5</v>
      </c>
      <c r="E104" s="530">
        <v>1.61</v>
      </c>
      <c r="F104" s="530">
        <v>2.08</v>
      </c>
      <c r="G104" s="530">
        <v>1.59</v>
      </c>
      <c r="K104" s="99"/>
    </row>
    <row r="105" spans="2:11">
      <c r="B105" s="514"/>
      <c r="C105" s="544"/>
      <c r="D105" s="545"/>
      <c r="E105" s="546"/>
      <c r="F105" s="546"/>
      <c r="G105" s="546"/>
      <c r="K105" s="99"/>
    </row>
    <row r="106" spans="2:11" ht="15" thickBot="1">
      <c r="B106" s="515" t="s">
        <v>1093</v>
      </c>
      <c r="C106" s="547">
        <f>IFERROR(C102*C103*C104,0)</f>
        <v>0.21124000316731334</v>
      </c>
      <c r="D106" s="548">
        <f>IFERROR(D102*D103*D104,0)</f>
        <v>0.15996750000000004</v>
      </c>
      <c r="E106" s="548">
        <f t="shared" ref="E106:F106" si="65">IFERROR(E102*E103*E104,0)</f>
        <v>0.15357145999999999</v>
      </c>
      <c r="F106" s="548">
        <f t="shared" si="65"/>
        <v>0.41716688000000007</v>
      </c>
      <c r="G106" s="548">
        <f t="shared" ref="G106" si="66">IFERROR(G102*G103*G104,0)</f>
        <v>6.3925950000000009E-2</v>
      </c>
      <c r="K106" s="99"/>
    </row>
    <row r="107" spans="2:11" ht="15" thickTop="1">
      <c r="B107" s="503"/>
      <c r="C107" s="503"/>
      <c r="D107" s="503"/>
      <c r="E107" s="503"/>
      <c r="F107" s="503"/>
    </row>
    <row r="108" spans="2:11" ht="16.2" thickBot="1">
      <c r="B108" s="697" t="s">
        <v>1094</v>
      </c>
      <c r="C108" s="698"/>
      <c r="D108" s="698"/>
      <c r="E108" s="698"/>
      <c r="F108" s="698"/>
    </row>
    <row r="109" spans="2:11" ht="27" customHeight="1">
      <c r="B109" s="511"/>
      <c r="C109" s="541"/>
      <c r="D109" s="512" t="str">
        <f>C101</f>
        <v>Hindustan Unilever Ltd.</v>
      </c>
      <c r="E109" s="516" t="s">
        <v>1095</v>
      </c>
      <c r="F109" s="517" t="s">
        <v>1096</v>
      </c>
    </row>
    <row r="110" spans="2:11">
      <c r="B110" s="514" t="s">
        <v>1090</v>
      </c>
      <c r="C110" s="542"/>
      <c r="D110" s="527">
        <f>C102</f>
        <v>0.16905625703014845</v>
      </c>
      <c r="E110" s="531">
        <f>AVERAGE(D102:G102)</f>
        <v>0.1234</v>
      </c>
      <c r="F110" s="529">
        <f>MEDIAN(D102:F102)</f>
        <v>0.13850000000000001</v>
      </c>
    </row>
    <row r="111" spans="2:11">
      <c r="B111" s="514" t="s">
        <v>1091</v>
      </c>
      <c r="C111" s="542"/>
      <c r="D111" s="527">
        <f>C103</f>
        <v>0.79708799777748307</v>
      </c>
      <c r="E111" s="531">
        <f>AVERAGE(D103:G103)</f>
        <v>0.84250000000000003</v>
      </c>
      <c r="F111" s="529">
        <f>MEDIAN(D103:F103)</f>
        <v>0.77</v>
      </c>
    </row>
    <row r="112" spans="2:11">
      <c r="B112" s="514" t="s">
        <v>1092</v>
      </c>
      <c r="C112" s="542"/>
      <c r="D112" s="528">
        <f>C104</f>
        <v>1.5676122416660068</v>
      </c>
      <c r="E112" s="537">
        <f t="shared" ref="E112" si="67">AVERAGE(D104:G104)</f>
        <v>1.6950000000000001</v>
      </c>
      <c r="F112" s="530">
        <f>MEDIAN(D104:F104)</f>
        <v>1.61</v>
      </c>
    </row>
    <row r="113" spans="2:6">
      <c r="B113" s="514"/>
      <c r="C113" s="542"/>
      <c r="D113" s="532"/>
      <c r="E113" s="533"/>
      <c r="F113" s="534"/>
    </row>
    <row r="114" spans="2:6" ht="15" thickBot="1">
      <c r="B114" s="515" t="s">
        <v>1093</v>
      </c>
      <c r="C114" s="543"/>
      <c r="D114" s="535">
        <f>IFERROR(D110*D111*D112,0)</f>
        <v>0.21124000316731334</v>
      </c>
      <c r="E114" s="536">
        <f>IFERROR(E110*E111*E112,0)</f>
        <v>0.17621982750000001</v>
      </c>
      <c r="F114" s="536">
        <f>IFERROR(F110*F111*F112,0)</f>
        <v>0.17169845000000003</v>
      </c>
    </row>
    <row r="115" spans="2:6" ht="15" thickTop="1"/>
  </sheetData>
  <mergeCells count="11">
    <mergeCell ref="K87:Q92"/>
    <mergeCell ref="E2:F3"/>
    <mergeCell ref="B7:F10"/>
    <mergeCell ref="B108:F108"/>
    <mergeCell ref="B27:H27"/>
    <mergeCell ref="B33:H33"/>
    <mergeCell ref="B49:H49"/>
    <mergeCell ref="B55:H55"/>
    <mergeCell ref="B67:H67"/>
    <mergeCell ref="B73:H73"/>
    <mergeCell ref="B85:H85"/>
  </mergeCells>
  <conditionalFormatting sqref="C29:H30">
    <cfRule type="containsBlanks" dxfId="12" priority="23">
      <formula>LEN(TRIM(C29))=0</formula>
    </cfRule>
  </conditionalFormatting>
  <conditionalFormatting sqref="C35:H36">
    <cfRule type="containsBlanks" dxfId="11" priority="21">
      <formula>LEN(TRIM(C35))=0</formula>
    </cfRule>
  </conditionalFormatting>
  <conditionalFormatting sqref="C39:H40">
    <cfRule type="containsBlanks" dxfId="10" priority="19">
      <formula>LEN(TRIM(C39))=0</formula>
    </cfRule>
  </conditionalFormatting>
  <conditionalFormatting sqref="C43:H44">
    <cfRule type="containsBlanks" dxfId="9" priority="17">
      <formula>LEN(TRIM(C43))=0</formula>
    </cfRule>
  </conditionalFormatting>
  <conditionalFormatting sqref="C51:H52">
    <cfRule type="containsBlanks" dxfId="8" priority="15">
      <formula>LEN(TRIM(C51))=0</formula>
    </cfRule>
  </conditionalFormatting>
  <conditionalFormatting sqref="C57:H58">
    <cfRule type="containsBlanks" dxfId="7" priority="13">
      <formula>LEN(TRIM(C57))=0</formula>
    </cfRule>
  </conditionalFormatting>
  <conditionalFormatting sqref="C61:H62">
    <cfRule type="containsBlanks" dxfId="6" priority="11">
      <formula>LEN(TRIM(C61))=0</formula>
    </cfRule>
  </conditionalFormatting>
  <conditionalFormatting sqref="C69:H70">
    <cfRule type="containsBlanks" dxfId="5" priority="7">
      <formula>LEN(TRIM(C69))=0</formula>
    </cfRule>
  </conditionalFormatting>
  <conditionalFormatting sqref="C75:H76">
    <cfRule type="containsBlanks" dxfId="4" priority="5">
      <formula>LEN(TRIM(C75))=0</formula>
    </cfRule>
  </conditionalFormatting>
  <conditionalFormatting sqref="C79:H80">
    <cfRule type="containsBlanks" dxfId="3" priority="3">
      <formula>LEN(TRIM(C79))=0</formula>
    </cfRule>
  </conditionalFormatting>
  <conditionalFormatting sqref="C87:H88">
    <cfRule type="containsBlanks" dxfId="2" priority="2">
      <formula>LEN(TRIM(C87))=0</formula>
    </cfRule>
  </conditionalFormatting>
  <conditionalFormatting sqref="C91:H92">
    <cfRule type="containsBlanks" dxfId="1" priority="1">
      <formula>LEN(TRIM(C91))=0</formula>
    </cfRule>
  </conditionalFormatting>
  <printOptions horizontalCentered="1" verticalCentered="1"/>
  <pageMargins left="0.23622047244094491" right="0.23622047244094491" top="0.23622047244094491" bottom="0.23622047244094491" header="0.31496062992125984" footer="0"/>
  <pageSetup scale="40" orientation="portrait" r:id="rId1"/>
  <colBreaks count="1" manualBreakCount="1">
    <brk id="6"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3E53-CAC7-426D-82F6-DF32CD04FD0B}">
  <dimension ref="A2:L19"/>
  <sheetViews>
    <sheetView showGridLines="0" topLeftCell="B1" workbookViewId="0">
      <selection activeCell="B7" sqref="B7:L7"/>
    </sheetView>
  </sheetViews>
  <sheetFormatPr defaultRowHeight="14.4"/>
  <cols>
    <col min="1" max="1" width="3.109375" customWidth="1"/>
    <col min="2" max="2" width="27.88671875" bestFit="1" customWidth="1"/>
    <col min="3" max="3" width="10.5546875" bestFit="1" customWidth="1"/>
    <col min="4" max="12" width="11.88671875" bestFit="1" customWidth="1"/>
  </cols>
  <sheetData>
    <row r="2" spans="1:12" ht="18">
      <c r="B2" s="710" t="str">
        <f>"ROIIC Profiling"&amp;" - "&amp;'[1]Data Sheet'!B1</f>
        <v>ROIIC Profiling - HINDUSTAN UNILEVER LTD</v>
      </c>
      <c r="C2" s="710"/>
      <c r="D2" s="710"/>
      <c r="E2" s="710"/>
      <c r="F2" s="710"/>
      <c r="G2" s="710"/>
      <c r="H2" s="710"/>
      <c r="I2" s="710"/>
      <c r="J2" s="710"/>
      <c r="K2" s="710"/>
      <c r="L2" s="710"/>
    </row>
    <row r="3" spans="1:12" ht="5.25" customHeight="1">
      <c r="A3" s="473"/>
    </row>
    <row r="4" spans="1:12" ht="15.6">
      <c r="B4" s="483" t="s">
        <v>1059</v>
      </c>
      <c r="C4" s="491">
        <v>2016</v>
      </c>
      <c r="D4" s="491">
        <f>C4+1</f>
        <v>2017</v>
      </c>
      <c r="E4" s="491">
        <f t="shared" ref="E4:L4" si="0">D4+1</f>
        <v>2018</v>
      </c>
      <c r="F4" s="491">
        <f t="shared" si="0"/>
        <v>2019</v>
      </c>
      <c r="G4" s="491">
        <f t="shared" si="0"/>
        <v>2020</v>
      </c>
      <c r="H4" s="491">
        <f t="shared" si="0"/>
        <v>2021</v>
      </c>
      <c r="I4" s="491">
        <f t="shared" si="0"/>
        <v>2022</v>
      </c>
      <c r="J4" s="491">
        <f t="shared" si="0"/>
        <v>2023</v>
      </c>
      <c r="K4" s="491">
        <f t="shared" si="0"/>
        <v>2024</v>
      </c>
      <c r="L4" s="491">
        <f t="shared" si="0"/>
        <v>2025</v>
      </c>
    </row>
    <row r="5" spans="1:12" ht="8.25" customHeight="1"/>
    <row r="6" spans="1:12">
      <c r="B6" s="29" t="s">
        <v>0</v>
      </c>
      <c r="C6" s="492">
        <f>'[1]Profit &amp; Loss'!C29</f>
        <v>4151</v>
      </c>
      <c r="D6" s="492">
        <f>'[1]Profit &amp; Loss'!D29</f>
        <v>4490</v>
      </c>
      <c r="E6" s="492">
        <f>'[1]Profit &amp; Loss'!E29</f>
        <v>5227</v>
      </c>
      <c r="F6" s="492">
        <f>'[1]Profit &amp; Loss'!F29</f>
        <v>6060</v>
      </c>
      <c r="G6" s="492">
        <f>'3Statement Model'!D40</f>
        <v>6764</v>
      </c>
      <c r="H6" s="492">
        <f>'3Statement Model'!E40</f>
        <v>8000</v>
      </c>
      <c r="I6" s="492">
        <f>'3Statement Model'!F40</f>
        <v>8887</v>
      </c>
      <c r="J6" s="492">
        <f>'3Statement Model'!G40</f>
        <v>10154</v>
      </c>
      <c r="K6" s="492">
        <f>'3Statement Model'!H40</f>
        <v>10222</v>
      </c>
      <c r="L6" s="492">
        <f>'3Statement Model'!I40</f>
        <v>10671</v>
      </c>
    </row>
    <row r="7" spans="1:12" ht="15" customHeight="1">
      <c r="B7" s="731" t="s">
        <v>1060</v>
      </c>
      <c r="C7" s="732">
        <v>6750</v>
      </c>
      <c r="D7" s="732">
        <v>7021</v>
      </c>
      <c r="E7" s="732">
        <v>7281</v>
      </c>
      <c r="F7" s="732">
        <f>'Balance Sheet'!C13+'Balance Sheet'!C17+'Balance Sheet'!C26</f>
        <v>7984</v>
      </c>
      <c r="G7" s="732">
        <f>'3Statement Model'!D57+'3Statement Model'!D61+'3Statement Model'!D70</f>
        <v>8246</v>
      </c>
      <c r="H7" s="732">
        <f>'3Statement Model'!E57+'3Statement Model'!E61+'3Statement Model'!E70</f>
        <v>47694</v>
      </c>
      <c r="I7" s="732">
        <f>'3Statement Model'!F57+'3Statement Model'!F61+'3Statement Model'!F70</f>
        <v>49828</v>
      </c>
      <c r="J7" s="732">
        <f>'3Statement Model'!G57+'3Statement Model'!G61+'3Statement Model'!G70</f>
        <v>51427</v>
      </c>
      <c r="K7" s="732">
        <f>'3Statement Model'!H57+'3Statement Model'!H61+'3Statement Model'!H70</f>
        <v>52542</v>
      </c>
      <c r="L7" s="732">
        <f>'3Statement Model'!I57+'3Statement Model'!I61+'3Statement Model'!I70</f>
        <v>50853</v>
      </c>
    </row>
    <row r="8" spans="1:12" ht="15" customHeight="1">
      <c r="B8" s="484"/>
      <c r="C8" s="485"/>
      <c r="D8" s="485"/>
      <c r="E8" s="485"/>
      <c r="F8" s="485"/>
      <c r="G8" s="485"/>
      <c r="H8" s="485"/>
      <c r="I8" s="485"/>
      <c r="J8" s="485"/>
      <c r="K8" s="485"/>
      <c r="L8" s="485"/>
    </row>
    <row r="9" spans="1:12" ht="15.6">
      <c r="B9" s="483" t="s">
        <v>1061</v>
      </c>
      <c r="C9" s="483"/>
    </row>
    <row r="10" spans="1:12">
      <c r="B10" s="29" t="s">
        <v>1062</v>
      </c>
      <c r="C10" s="486">
        <f>SUM(C6:L6)</f>
        <v>74626</v>
      </c>
    </row>
    <row r="11" spans="1:12">
      <c r="B11" s="29" t="s">
        <v>1063</v>
      </c>
      <c r="C11" s="487">
        <f>L7-C7</f>
        <v>44103</v>
      </c>
    </row>
    <row r="12" spans="1:12">
      <c r="B12" s="488" t="s">
        <v>118</v>
      </c>
      <c r="C12" s="489">
        <f>C11/C10</f>
        <v>0.5909870554498432</v>
      </c>
    </row>
    <row r="13" spans="1:12" ht="3.75" customHeight="1"/>
    <row r="14" spans="1:12" ht="14.4" customHeight="1">
      <c r="B14" s="29" t="s">
        <v>1068</v>
      </c>
      <c r="C14" s="487">
        <f>L6-C6</f>
        <v>6520</v>
      </c>
    </row>
    <row r="15" spans="1:12">
      <c r="B15" s="29" t="s">
        <v>1064</v>
      </c>
      <c r="C15" s="490">
        <f>C14/C11</f>
        <v>0.14783574813504749</v>
      </c>
    </row>
    <row r="16" spans="1:12">
      <c r="B16" s="488" t="s">
        <v>1065</v>
      </c>
      <c r="C16" s="489">
        <f>C12*C15</f>
        <v>8.7369013480556368E-2</v>
      </c>
    </row>
    <row r="17" spans="2:3" ht="2.25" customHeight="1"/>
    <row r="18" spans="2:3">
      <c r="B18" s="29" t="s">
        <v>1066</v>
      </c>
      <c r="C18" s="490">
        <v>0.10929999999999999</v>
      </c>
    </row>
    <row r="19" spans="2:3">
      <c r="B19" s="29" t="s">
        <v>1067</v>
      </c>
      <c r="C19" s="490">
        <v>1.2999999999999999E-2</v>
      </c>
    </row>
  </sheetData>
  <mergeCells count="1">
    <mergeCell ref="B2:L2"/>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AB2DA-9B6C-4B51-9440-86D3A3C7F1F0}">
  <sheetPr>
    <tabColor rgb="FF002060"/>
  </sheetPr>
  <dimension ref="E11:S24"/>
  <sheetViews>
    <sheetView showGridLines="0" workbookViewId="0">
      <selection activeCell="E11" sqref="E11:P20"/>
    </sheetView>
  </sheetViews>
  <sheetFormatPr defaultRowHeight="14.4"/>
  <cols>
    <col min="1" max="16384" width="8.88671875" style="727"/>
  </cols>
  <sheetData>
    <row r="11" spans="5:19" ht="14.4" customHeight="1">
      <c r="E11" s="730" t="s">
        <v>1343</v>
      </c>
      <c r="F11" s="730"/>
      <c r="G11" s="730"/>
      <c r="H11" s="730"/>
      <c r="I11" s="730"/>
      <c r="J11" s="730"/>
      <c r="K11" s="730"/>
      <c r="L11" s="730"/>
      <c r="M11" s="730"/>
      <c r="N11" s="730"/>
      <c r="O11" s="730"/>
      <c r="P11" s="730"/>
      <c r="Q11" s="733"/>
      <c r="R11" s="733"/>
      <c r="S11" s="733"/>
    </row>
    <row r="12" spans="5:19" ht="14.4" customHeight="1">
      <c r="E12" s="730"/>
      <c r="F12" s="730"/>
      <c r="G12" s="730"/>
      <c r="H12" s="730"/>
      <c r="I12" s="730"/>
      <c r="J12" s="730"/>
      <c r="K12" s="730"/>
      <c r="L12" s="730"/>
      <c r="M12" s="730"/>
      <c r="N12" s="730"/>
      <c r="O12" s="730"/>
      <c r="P12" s="730"/>
      <c r="Q12" s="733"/>
      <c r="R12" s="733"/>
      <c r="S12" s="733"/>
    </row>
    <row r="13" spans="5:19" ht="14.4" customHeight="1">
      <c r="E13" s="730"/>
      <c r="F13" s="730"/>
      <c r="G13" s="730"/>
      <c r="H13" s="730"/>
      <c r="I13" s="730"/>
      <c r="J13" s="730"/>
      <c r="K13" s="730"/>
      <c r="L13" s="730"/>
      <c r="M13" s="730"/>
      <c r="N13" s="730"/>
      <c r="O13" s="730"/>
      <c r="P13" s="730"/>
      <c r="Q13" s="733"/>
      <c r="R13" s="733"/>
      <c r="S13" s="733"/>
    </row>
    <row r="14" spans="5:19" ht="14.4" customHeight="1">
      <c r="E14" s="730"/>
      <c r="F14" s="730"/>
      <c r="G14" s="730"/>
      <c r="H14" s="730"/>
      <c r="I14" s="730"/>
      <c r="J14" s="730"/>
      <c r="K14" s="730"/>
      <c r="L14" s="730"/>
      <c r="M14" s="730"/>
      <c r="N14" s="730"/>
      <c r="O14" s="730"/>
      <c r="P14" s="730"/>
      <c r="Q14" s="733"/>
      <c r="R14" s="733"/>
      <c r="S14" s="733"/>
    </row>
    <row r="15" spans="5:19" ht="14.4" customHeight="1">
      <c r="E15" s="730"/>
      <c r="F15" s="730"/>
      <c r="G15" s="730"/>
      <c r="H15" s="730"/>
      <c r="I15" s="730"/>
      <c r="J15" s="730"/>
      <c r="K15" s="730"/>
      <c r="L15" s="730"/>
      <c r="M15" s="730"/>
      <c r="N15" s="730"/>
      <c r="O15" s="730"/>
      <c r="P15" s="730"/>
      <c r="Q15" s="733"/>
      <c r="R15" s="733"/>
      <c r="S15" s="733"/>
    </row>
    <row r="16" spans="5:19" ht="14.4" customHeight="1">
      <c r="E16" s="730"/>
      <c r="F16" s="730"/>
      <c r="G16" s="730"/>
      <c r="H16" s="730"/>
      <c r="I16" s="730"/>
      <c r="J16" s="730"/>
      <c r="K16" s="730"/>
      <c r="L16" s="730"/>
      <c r="M16" s="730"/>
      <c r="N16" s="730"/>
      <c r="O16" s="730"/>
      <c r="P16" s="730"/>
      <c r="Q16" s="733"/>
      <c r="R16" s="733"/>
      <c r="S16" s="733"/>
    </row>
    <row r="17" spans="5:19" ht="14.4" customHeight="1">
      <c r="E17" s="730"/>
      <c r="F17" s="730"/>
      <c r="G17" s="730"/>
      <c r="H17" s="730"/>
      <c r="I17" s="730"/>
      <c r="J17" s="730"/>
      <c r="K17" s="730"/>
      <c r="L17" s="730"/>
      <c r="M17" s="730"/>
      <c r="N17" s="730"/>
      <c r="O17" s="730"/>
      <c r="P17" s="730"/>
      <c r="Q17" s="733"/>
      <c r="R17" s="733"/>
      <c r="S17" s="733"/>
    </row>
    <row r="18" spans="5:19" ht="14.4" customHeight="1">
      <c r="E18" s="730"/>
      <c r="F18" s="730"/>
      <c r="G18" s="730"/>
      <c r="H18" s="730"/>
      <c r="I18" s="730"/>
      <c r="J18" s="730"/>
      <c r="K18" s="730"/>
      <c r="L18" s="730"/>
      <c r="M18" s="730"/>
      <c r="N18" s="730"/>
      <c r="O18" s="730"/>
      <c r="P18" s="730"/>
      <c r="Q18" s="733"/>
      <c r="R18" s="733"/>
      <c r="S18" s="733"/>
    </row>
    <row r="19" spans="5:19" ht="14.4" customHeight="1">
      <c r="E19" s="730"/>
      <c r="F19" s="730"/>
      <c r="G19" s="730"/>
      <c r="H19" s="730"/>
      <c r="I19" s="730"/>
      <c r="J19" s="730"/>
      <c r="K19" s="730"/>
      <c r="L19" s="730"/>
      <c r="M19" s="730"/>
      <c r="N19" s="730"/>
      <c r="O19" s="730"/>
      <c r="P19" s="730"/>
      <c r="Q19" s="733"/>
      <c r="R19" s="733"/>
      <c r="S19" s="733"/>
    </row>
    <row r="20" spans="5:19" ht="14.4" customHeight="1">
      <c r="E20" s="730"/>
      <c r="F20" s="730"/>
      <c r="G20" s="730"/>
      <c r="H20" s="730"/>
      <c r="I20" s="730"/>
      <c r="J20" s="730"/>
      <c r="K20" s="730"/>
      <c r="L20" s="730"/>
      <c r="M20" s="730"/>
      <c r="N20" s="730"/>
      <c r="O20" s="730"/>
      <c r="P20" s="730"/>
      <c r="Q20" s="733"/>
      <c r="R20" s="733"/>
      <c r="S20" s="733"/>
    </row>
    <row r="21" spans="5:19" ht="14.4" customHeight="1">
      <c r="G21" s="733"/>
      <c r="H21" s="733"/>
      <c r="I21" s="733"/>
      <c r="J21" s="733"/>
      <c r="K21" s="733"/>
      <c r="L21" s="733"/>
      <c r="M21" s="733"/>
      <c r="N21" s="733"/>
      <c r="O21" s="733"/>
      <c r="P21" s="733"/>
      <c r="Q21" s="733"/>
      <c r="R21" s="733"/>
      <c r="S21" s="733"/>
    </row>
    <row r="22" spans="5:19" ht="14.4" customHeight="1">
      <c r="G22" s="733"/>
      <c r="H22" s="733"/>
      <c r="I22" s="733"/>
      <c r="J22" s="733"/>
      <c r="K22" s="733"/>
      <c r="L22" s="733"/>
      <c r="M22" s="733"/>
      <c r="N22" s="733"/>
      <c r="O22" s="733"/>
      <c r="P22" s="733"/>
      <c r="Q22" s="733"/>
      <c r="R22" s="733"/>
      <c r="S22" s="733"/>
    </row>
    <row r="23" spans="5:19" ht="14.4" customHeight="1">
      <c r="G23" s="733"/>
      <c r="H23" s="733"/>
      <c r="I23" s="733"/>
      <c r="J23" s="733"/>
      <c r="K23" s="733"/>
      <c r="L23" s="733"/>
      <c r="M23" s="733"/>
      <c r="N23" s="733"/>
      <c r="O23" s="733"/>
      <c r="P23" s="733"/>
      <c r="Q23" s="733"/>
      <c r="R23" s="733"/>
      <c r="S23" s="733"/>
    </row>
    <row r="24" spans="5:19" ht="14.4" customHeight="1">
      <c r="G24" s="733"/>
      <c r="H24" s="733"/>
      <c r="I24" s="733"/>
      <c r="J24" s="733"/>
      <c r="K24" s="733"/>
      <c r="L24" s="733"/>
      <c r="M24" s="733"/>
      <c r="N24" s="733"/>
      <c r="O24" s="733"/>
      <c r="P24" s="733"/>
      <c r="Q24" s="733"/>
      <c r="R24" s="733"/>
      <c r="S24" s="733"/>
    </row>
  </sheetData>
  <mergeCells count="1">
    <mergeCell ref="E11:P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543DE-3761-45A8-B644-9F2490B2C5F1}">
  <dimension ref="B2:O103"/>
  <sheetViews>
    <sheetView showGridLines="0" zoomScaleNormal="100" workbookViewId="0">
      <selection activeCell="B28" sqref="B28:F30"/>
    </sheetView>
  </sheetViews>
  <sheetFormatPr defaultRowHeight="14.4"/>
  <cols>
    <col min="1" max="1" width="1.88671875" customWidth="1"/>
    <col min="2" max="2" width="40.109375" bestFit="1" customWidth="1"/>
    <col min="3" max="3" width="2.21875" customWidth="1"/>
    <col min="4" max="4" width="15.77734375" bestFit="1" customWidth="1"/>
    <col min="5" max="5" width="25.6640625" bestFit="1" customWidth="1"/>
    <col min="6" max="6" width="11.88671875" bestFit="1" customWidth="1"/>
    <col min="7" max="7" width="10.77734375" bestFit="1" customWidth="1"/>
    <col min="8" max="8" width="16.44140625" customWidth="1"/>
    <col min="9" max="9" width="6.88671875" bestFit="1" customWidth="1"/>
    <col min="10" max="10" width="11.5546875" bestFit="1" customWidth="1"/>
    <col min="11" max="11" width="6" customWidth="1"/>
    <col min="12" max="12" width="11.5546875" bestFit="1" customWidth="1"/>
    <col min="13" max="13" width="11.44140625" bestFit="1" customWidth="1"/>
  </cols>
  <sheetData>
    <row r="2" spans="2:13" ht="21">
      <c r="B2" s="13" t="str">
        <f>'Input Sheet'!C6</f>
        <v>Hindustan Unilever Ltd.</v>
      </c>
    </row>
    <row r="3" spans="2:13" ht="18">
      <c r="B3" s="15" t="s">
        <v>140</v>
      </c>
    </row>
    <row r="5" spans="2:13" ht="15.6">
      <c r="B5" s="396" t="s">
        <v>308</v>
      </c>
      <c r="C5" s="396"/>
      <c r="D5" s="397" t="s">
        <v>961</v>
      </c>
      <c r="E5" s="397" t="s">
        <v>962</v>
      </c>
      <c r="F5" s="397" t="s">
        <v>963</v>
      </c>
      <c r="G5" s="422"/>
      <c r="H5" s="562" t="s">
        <v>1119</v>
      </c>
    </row>
    <row r="6" spans="2:13" ht="1.8" customHeight="1">
      <c r="D6" s="364"/>
      <c r="E6" s="364"/>
      <c r="F6" s="364"/>
      <c r="G6" s="364"/>
    </row>
    <row r="7" spans="2:13" ht="14.4" customHeight="1">
      <c r="B7" s="29" t="s">
        <v>964</v>
      </c>
      <c r="C7" s="29"/>
      <c r="D7" s="420">
        <f>'Input Sheet'!C10</f>
        <v>6.6790000000000002E-2</v>
      </c>
      <c r="E7" s="420">
        <f>D7</f>
        <v>6.6790000000000002E-2</v>
      </c>
      <c r="F7" s="420">
        <f>E7</f>
        <v>6.6790000000000002E-2</v>
      </c>
      <c r="G7" s="363"/>
      <c r="H7" s="696" t="s">
        <v>1222</v>
      </c>
      <c r="I7" s="696"/>
      <c r="J7" s="696"/>
      <c r="K7" s="696"/>
      <c r="L7" s="696"/>
      <c r="M7" s="696"/>
    </row>
    <row r="8" spans="2:13">
      <c r="B8" s="29" t="s">
        <v>139</v>
      </c>
      <c r="C8" s="29"/>
      <c r="D8" s="420">
        <f>'Input Sheet'!C13+'Input Sheet'!C12</f>
        <v>6.25E-2</v>
      </c>
      <c r="E8" s="420">
        <f>D8</f>
        <v>6.25E-2</v>
      </c>
      <c r="F8" s="420">
        <f>E8</f>
        <v>6.25E-2</v>
      </c>
      <c r="G8" s="363"/>
      <c r="H8" s="696"/>
      <c r="I8" s="696"/>
      <c r="J8" s="696"/>
      <c r="K8" s="696"/>
      <c r="L8" s="696"/>
      <c r="M8" s="696"/>
    </row>
    <row r="9" spans="2:13">
      <c r="B9" s="29" t="s">
        <v>744</v>
      </c>
      <c r="C9" s="29"/>
      <c r="D9" s="419">
        <f>'Input Sheet'!C14-'Input Sheet'!C15</f>
        <v>0.67</v>
      </c>
      <c r="E9" s="419">
        <f>'Input Sheet'!C14</f>
        <v>0.68</v>
      </c>
      <c r="F9" s="419">
        <f>'Input Sheet'!C14+'Input Sheet'!C15</f>
        <v>0.69000000000000006</v>
      </c>
      <c r="G9" s="364"/>
      <c r="H9" s="696"/>
      <c r="I9" s="696"/>
      <c r="J9" s="696"/>
      <c r="K9" s="696"/>
      <c r="L9" s="696"/>
      <c r="M9" s="696"/>
    </row>
    <row r="10" spans="2:13">
      <c r="B10" s="29" t="s">
        <v>965</v>
      </c>
      <c r="C10" s="29"/>
      <c r="D10" s="420">
        <f>'Input Sheet'!$C$16</f>
        <v>3.3205822374832723E-2</v>
      </c>
      <c r="E10" s="420">
        <f>'Input Sheet'!$C$16</f>
        <v>3.3205822374832723E-2</v>
      </c>
      <c r="F10" s="420">
        <f>'Input Sheet'!$C$16</f>
        <v>3.3205822374832723E-2</v>
      </c>
      <c r="G10" s="364"/>
      <c r="H10" s="626"/>
      <c r="I10" s="626"/>
      <c r="J10" s="626"/>
      <c r="K10" s="626"/>
      <c r="L10" s="626"/>
      <c r="M10" s="626"/>
    </row>
    <row r="11" spans="2:13" ht="15.6">
      <c r="B11" t="s">
        <v>966</v>
      </c>
      <c r="D11" s="425">
        <f>D9*(1+D10*(1-D19))</f>
        <v>0.68557353069379656</v>
      </c>
      <c r="E11" s="425">
        <f>E9*(1+E10*(1-E19))</f>
        <v>0.69580597145042034</v>
      </c>
      <c r="F11" s="425">
        <f t="shared" ref="F11" si="0">F9*(1+F10*(1-F19))</f>
        <v>0.70603841220704422</v>
      </c>
      <c r="G11" s="364"/>
      <c r="H11" s="562" t="s">
        <v>1223</v>
      </c>
      <c r="I11" s="626"/>
      <c r="J11" s="626"/>
      <c r="K11" s="626"/>
      <c r="L11" s="626"/>
      <c r="M11" s="626"/>
    </row>
    <row r="12" spans="2:13">
      <c r="B12" s="418" t="s">
        <v>967</v>
      </c>
      <c r="C12" s="418"/>
      <c r="D12" s="421">
        <f>D7+D8*D11</f>
        <v>0.10963834566836228</v>
      </c>
      <c r="E12" s="421">
        <f t="shared" ref="E12:F12" si="1">E7+E8*E11</f>
        <v>0.11027787321565127</v>
      </c>
      <c r="F12" s="421">
        <f t="shared" si="1"/>
        <v>0.11091740076294027</v>
      </c>
      <c r="G12" s="423"/>
      <c r="H12" s="712" t="s">
        <v>1224</v>
      </c>
      <c r="I12" s="712"/>
      <c r="J12" s="712"/>
      <c r="K12" s="712"/>
      <c r="L12" s="712"/>
      <c r="M12" s="712"/>
    </row>
    <row r="13" spans="2:13">
      <c r="D13" s="364"/>
      <c r="E13" s="364"/>
      <c r="F13" s="364"/>
      <c r="G13" s="364"/>
      <c r="H13" s="712"/>
      <c r="I13" s="712"/>
      <c r="J13" s="712"/>
      <c r="K13" s="712"/>
      <c r="L13" s="712"/>
      <c r="M13" s="712"/>
    </row>
    <row r="14" spans="2:13">
      <c r="B14" s="29" t="s">
        <v>968</v>
      </c>
      <c r="C14" s="29"/>
      <c r="D14" s="420">
        <f>'Input Sheet'!C24</f>
        <v>0</v>
      </c>
      <c r="E14" s="420">
        <f>'Input Sheet'!D24</f>
        <v>0</v>
      </c>
      <c r="F14" s="420">
        <f>'Input Sheet'!E24</f>
        <v>0</v>
      </c>
      <c r="G14" s="363"/>
      <c r="H14" s="712"/>
      <c r="I14" s="712"/>
      <c r="J14" s="712"/>
      <c r="K14" s="712"/>
      <c r="L14" s="712"/>
      <c r="M14" s="712"/>
    </row>
    <row r="15" spans="2:13">
      <c r="B15" s="29" t="s">
        <v>969</v>
      </c>
      <c r="C15" s="29"/>
      <c r="D15" s="420">
        <f>'Input Sheet'!C25</f>
        <v>0</v>
      </c>
      <c r="E15" s="420">
        <f>'Input Sheet'!D25</f>
        <v>0</v>
      </c>
      <c r="F15" s="420">
        <f>'Input Sheet'!E25</f>
        <v>0</v>
      </c>
      <c r="G15" s="363"/>
    </row>
    <row r="16" spans="2:13" ht="15.6">
      <c r="B16" s="418" t="s">
        <v>970</v>
      </c>
      <c r="C16" s="418"/>
      <c r="D16" s="421">
        <f>D12+SUM(D14:D15)</f>
        <v>0.10963834566836228</v>
      </c>
      <c r="E16" s="421">
        <f t="shared" ref="E16:F16" si="2">E12+SUM(E14:E15)</f>
        <v>0.11027787321565127</v>
      </c>
      <c r="F16" s="421">
        <f t="shared" si="2"/>
        <v>0.11091740076294027</v>
      </c>
      <c r="G16" s="423"/>
      <c r="H16" s="562" t="s">
        <v>139</v>
      </c>
    </row>
    <row r="17" spans="2:13">
      <c r="D17" s="364"/>
      <c r="E17" s="364"/>
      <c r="F17" s="364"/>
      <c r="G17" s="364"/>
      <c r="H17" s="712" t="s">
        <v>1225</v>
      </c>
      <c r="I17" s="712"/>
      <c r="J17" s="712"/>
      <c r="K17" s="712"/>
      <c r="L17" s="712"/>
      <c r="M17" s="712"/>
    </row>
    <row r="18" spans="2:13">
      <c r="B18" s="29" t="s">
        <v>971</v>
      </c>
      <c r="C18" s="29"/>
      <c r="D18" s="420">
        <f>'Input Sheet'!C10+IF('Input Sheet'!C19="Y",VLOOKUP('Input Sheet'!C21,'Damodaran Data'!J5:K20,2,FALSE),'Input Sheet'!C23)</f>
        <v>7.0790000000000006E-2</v>
      </c>
      <c r="E18" s="420">
        <f>D18</f>
        <v>7.0790000000000006E-2</v>
      </c>
      <c r="F18" s="420">
        <f>E18</f>
        <v>7.0790000000000006E-2</v>
      </c>
      <c r="G18" s="363"/>
      <c r="H18" s="712"/>
      <c r="I18" s="712"/>
      <c r="J18" s="712"/>
      <c r="K18" s="712"/>
      <c r="L18" s="712"/>
      <c r="M18" s="712"/>
    </row>
    <row r="19" spans="2:13">
      <c r="B19" s="29" t="s">
        <v>33</v>
      </c>
      <c r="C19" s="29"/>
      <c r="D19" s="420">
        <f>'Input Sheet'!$C$18</f>
        <v>0.3</v>
      </c>
      <c r="E19" s="420">
        <f>'Input Sheet'!$C$18</f>
        <v>0.3</v>
      </c>
      <c r="F19" s="420">
        <f>'Input Sheet'!$C$18</f>
        <v>0.3</v>
      </c>
      <c r="G19" s="363"/>
      <c r="H19" s="712"/>
      <c r="I19" s="712"/>
      <c r="J19" s="712"/>
      <c r="K19" s="712"/>
      <c r="L19" s="712"/>
      <c r="M19" s="712"/>
    </row>
    <row r="20" spans="2:13">
      <c r="B20" s="418" t="s">
        <v>972</v>
      </c>
      <c r="C20" s="418"/>
      <c r="D20" s="421">
        <f>D18*(1-D19)</f>
        <v>4.9553E-2</v>
      </c>
      <c r="E20" s="421">
        <f t="shared" ref="E20:F20" si="3">E18*(1-E19)</f>
        <v>4.9553E-2</v>
      </c>
      <c r="F20" s="421">
        <f t="shared" si="3"/>
        <v>4.9553E-2</v>
      </c>
      <c r="G20" s="423"/>
    </row>
    <row r="21" spans="2:13" ht="15.6">
      <c r="D21" s="364"/>
      <c r="E21" s="364"/>
      <c r="F21" s="364"/>
      <c r="G21" s="364"/>
      <c r="H21" s="562" t="s">
        <v>1226</v>
      </c>
    </row>
    <row r="22" spans="2:13">
      <c r="B22" s="29" t="s">
        <v>973</v>
      </c>
      <c r="C22" s="29"/>
      <c r="D22" s="420">
        <f>'Input Sheet'!$C$17</f>
        <v>3.2138198532748241E-2</v>
      </c>
      <c r="E22" s="420">
        <f>'Input Sheet'!$C$17</f>
        <v>3.2138198532748241E-2</v>
      </c>
      <c r="F22" s="420">
        <f>'Input Sheet'!$C$17</f>
        <v>3.2138198532748241E-2</v>
      </c>
      <c r="G22" s="363"/>
      <c r="H22" s="712" t="s">
        <v>1227</v>
      </c>
      <c r="I22" s="712"/>
      <c r="J22" s="712"/>
      <c r="K22" s="712"/>
      <c r="L22" s="712"/>
      <c r="M22" s="712"/>
    </row>
    <row r="23" spans="2:13">
      <c r="B23" s="29" t="s">
        <v>140</v>
      </c>
      <c r="C23" s="29"/>
      <c r="D23" s="420">
        <f>(D20*D22)+(D16*(1-D22))</f>
        <v>0.10770731090036366</v>
      </c>
      <c r="E23" s="420">
        <f t="shared" ref="E23:F23" si="4">(E20*E22)+(E16*(1-E22))</f>
        <v>0.10832628518437071</v>
      </c>
      <c r="F23" s="420">
        <f t="shared" si="4"/>
        <v>0.10894525946837777</v>
      </c>
      <c r="G23" s="363"/>
      <c r="H23" s="712"/>
      <c r="I23" s="712"/>
      <c r="J23" s="712"/>
      <c r="K23" s="712"/>
      <c r="L23" s="712"/>
      <c r="M23" s="712"/>
    </row>
    <row r="24" spans="2:13">
      <c r="B24" s="418" t="s">
        <v>974</v>
      </c>
      <c r="C24" s="418"/>
      <c r="D24" s="421">
        <f>ROUNDUP(D23,2)</f>
        <v>0.11</v>
      </c>
      <c r="E24" s="421">
        <f t="shared" ref="E24:F24" si="5">ROUNDUP(E23,2)</f>
        <v>0.11</v>
      </c>
      <c r="F24" s="421">
        <f t="shared" si="5"/>
        <v>0.11</v>
      </c>
      <c r="G24" s="423"/>
      <c r="H24" s="712"/>
      <c r="I24" s="712"/>
      <c r="J24" s="712"/>
      <c r="K24" s="712"/>
      <c r="L24" s="712"/>
      <c r="M24" s="712"/>
    </row>
    <row r="26" spans="2:13" ht="15.6">
      <c r="H26" s="562" t="s">
        <v>1228</v>
      </c>
    </row>
    <row r="27" spans="2:13" ht="1.2" customHeight="1"/>
    <row r="28" spans="2:13" ht="43.2" customHeight="1">
      <c r="B28" s="711" t="s">
        <v>1118</v>
      </c>
      <c r="C28" s="711"/>
      <c r="D28" s="711"/>
      <c r="E28" s="711"/>
      <c r="F28" s="711"/>
      <c r="H28" s="696" t="s">
        <v>1229</v>
      </c>
      <c r="I28" s="696"/>
      <c r="J28" s="696"/>
      <c r="K28" s="696"/>
      <c r="L28" s="696"/>
      <c r="M28" s="696"/>
    </row>
    <row r="29" spans="2:13">
      <c r="B29" s="711"/>
      <c r="C29" s="711"/>
      <c r="D29" s="711"/>
      <c r="E29" s="711"/>
      <c r="F29" s="711"/>
      <c r="H29" s="696"/>
      <c r="I29" s="696"/>
      <c r="J29" s="696"/>
      <c r="K29" s="696"/>
      <c r="L29" s="696"/>
      <c r="M29" s="696"/>
    </row>
    <row r="30" spans="2:13">
      <c r="B30" s="711"/>
      <c r="C30" s="711"/>
      <c r="D30" s="711"/>
      <c r="E30" s="711"/>
      <c r="F30" s="711"/>
    </row>
    <row r="31" spans="2:13" ht="15.6">
      <c r="B31" s="627"/>
      <c r="C31" s="627"/>
      <c r="D31" s="627"/>
      <c r="E31" s="627"/>
      <c r="F31" s="627"/>
      <c r="H31" s="562" t="s">
        <v>1230</v>
      </c>
    </row>
    <row r="32" spans="2:13">
      <c r="H32" s="712" t="s">
        <v>1231</v>
      </c>
      <c r="I32" s="712"/>
      <c r="J32" s="712"/>
      <c r="K32" s="712"/>
      <c r="L32" s="712"/>
      <c r="M32" s="712"/>
    </row>
    <row r="33" spans="2:13">
      <c r="H33" s="712"/>
      <c r="I33" s="712"/>
      <c r="J33" s="712"/>
      <c r="K33" s="712"/>
      <c r="L33" s="712"/>
      <c r="M33" s="712"/>
    </row>
    <row r="34" spans="2:13">
      <c r="H34" s="712"/>
      <c r="I34" s="712"/>
      <c r="J34" s="712"/>
      <c r="K34" s="712"/>
      <c r="L34" s="712"/>
      <c r="M34" s="712"/>
    </row>
    <row r="35" spans="2:13">
      <c r="H35" s="712"/>
      <c r="I35" s="712"/>
      <c r="J35" s="712"/>
      <c r="K35" s="712"/>
      <c r="L35" s="712"/>
      <c r="M35" s="712"/>
    </row>
    <row r="36" spans="2:13">
      <c r="H36" s="712"/>
      <c r="I36" s="712"/>
      <c r="J36" s="712"/>
      <c r="K36" s="712"/>
      <c r="L36" s="712"/>
      <c r="M36" s="712"/>
    </row>
    <row r="37" spans="2:13" ht="21">
      <c r="B37" s="13" t="str">
        <f>'Input Sheet'!C6</f>
        <v>Hindustan Unilever Ltd.</v>
      </c>
    </row>
    <row r="38" spans="2:13" ht="18">
      <c r="B38" s="15" t="s">
        <v>976</v>
      </c>
      <c r="J38" s="440">
        <v>0.3</v>
      </c>
    </row>
    <row r="40" spans="2:13" ht="34.200000000000003" customHeight="1">
      <c r="B40" s="441" t="s">
        <v>982</v>
      </c>
      <c r="C40" s="424"/>
      <c r="D40" s="424" t="s">
        <v>977</v>
      </c>
      <c r="E40" s="424" t="s">
        <v>978</v>
      </c>
      <c r="F40" s="424" t="s">
        <v>979</v>
      </c>
      <c r="G40" s="424" t="s">
        <v>744</v>
      </c>
      <c r="H40" s="424" t="s">
        <v>980</v>
      </c>
      <c r="I40" s="424" t="s">
        <v>966</v>
      </c>
      <c r="J40" s="424" t="s">
        <v>981</v>
      </c>
      <c r="L40" s="424" t="s">
        <v>1003</v>
      </c>
      <c r="M40" s="424" t="s">
        <v>1008</v>
      </c>
    </row>
    <row r="41" spans="2:13" ht="1.8" customHeight="1"/>
    <row r="42" spans="2:13">
      <c r="B42" s="427" t="s">
        <v>983</v>
      </c>
      <c r="C42" s="419"/>
      <c r="D42" s="419" t="s">
        <v>984</v>
      </c>
      <c r="E42" s="419">
        <v>104</v>
      </c>
      <c r="F42" s="436">
        <v>377942</v>
      </c>
      <c r="G42" s="437">
        <f>I42/(1+H42*(1-$J$38))</f>
        <v>0.6193929948650323</v>
      </c>
      <c r="H42" s="428">
        <v>1.4E-3</v>
      </c>
      <c r="I42" s="437">
        <v>0.62</v>
      </c>
      <c r="J42" s="438">
        <v>1.3980427401637707E-3</v>
      </c>
      <c r="L42" s="439" t="s">
        <v>959</v>
      </c>
      <c r="M42" s="439" t="str">
        <f>IF(L42="N","FALSE","TRUE")</f>
        <v>FALSE</v>
      </c>
    </row>
    <row r="43" spans="2:13">
      <c r="B43" s="427" t="s">
        <v>985</v>
      </c>
      <c r="C43" s="419"/>
      <c r="D43" s="419" t="s">
        <v>986</v>
      </c>
      <c r="E43" s="419">
        <v>104</v>
      </c>
      <c r="F43" s="436">
        <v>232002</v>
      </c>
      <c r="G43" s="437">
        <f t="shared" ref="G43:G51" si="6">I43/(1+H43*(1-$J$38))</f>
        <v>0.39595248570171576</v>
      </c>
      <c r="H43" s="428">
        <v>0.19500000000000001</v>
      </c>
      <c r="I43" s="419">
        <v>0.45</v>
      </c>
      <c r="J43" s="438">
        <v>0.16317991631799164</v>
      </c>
      <c r="L43" s="439" t="s">
        <v>959</v>
      </c>
      <c r="M43" s="439" t="str">
        <f t="shared" ref="M43:M51" si="7">IF(L43="N","FALSE","TRUE")</f>
        <v>FALSE</v>
      </c>
    </row>
    <row r="44" spans="2:13">
      <c r="B44" s="427" t="s">
        <v>987</v>
      </c>
      <c r="C44" s="419"/>
      <c r="D44" s="419" t="s">
        <v>988</v>
      </c>
      <c r="E44" s="419">
        <v>104</v>
      </c>
      <c r="F44" s="436">
        <v>153600</v>
      </c>
      <c r="G44" s="437">
        <f t="shared" si="6"/>
        <v>0.5011053795136331</v>
      </c>
      <c r="H44" s="428">
        <v>0.51</v>
      </c>
      <c r="I44" s="419">
        <v>0.68</v>
      </c>
      <c r="J44" s="438">
        <v>0.33774834437086093</v>
      </c>
      <c r="L44" s="439" t="s">
        <v>959</v>
      </c>
      <c r="M44" s="439" t="str">
        <f t="shared" si="7"/>
        <v>FALSE</v>
      </c>
    </row>
    <row r="45" spans="2:13">
      <c r="B45" s="427" t="s">
        <v>989</v>
      </c>
      <c r="C45" s="419"/>
      <c r="D45" s="419" t="s">
        <v>990</v>
      </c>
      <c r="E45" s="419">
        <v>104</v>
      </c>
      <c r="F45" s="436">
        <v>91500</v>
      </c>
      <c r="G45" s="437">
        <f t="shared" si="6"/>
        <v>0.53320407174018425</v>
      </c>
      <c r="H45" s="428">
        <v>4.4999999999999998E-2</v>
      </c>
      <c r="I45" s="419">
        <v>0.55000000000000004</v>
      </c>
      <c r="J45" s="438">
        <v>4.3062200956937802E-2</v>
      </c>
      <c r="L45" s="439" t="s">
        <v>958</v>
      </c>
      <c r="M45" s="439" t="str">
        <f t="shared" si="7"/>
        <v>TRUE</v>
      </c>
    </row>
    <row r="46" spans="2:13">
      <c r="B46" s="427" t="s">
        <v>991</v>
      </c>
      <c r="C46" s="419"/>
      <c r="D46" s="419" t="s">
        <v>992</v>
      </c>
      <c r="E46" s="419">
        <v>104</v>
      </c>
      <c r="F46" s="436">
        <v>119800</v>
      </c>
      <c r="G46" s="437">
        <f t="shared" si="6"/>
        <v>0.66780821917808231</v>
      </c>
      <c r="H46" s="428">
        <v>0.24</v>
      </c>
      <c r="I46" s="419">
        <v>0.78</v>
      </c>
      <c r="J46" s="438">
        <v>0.19354838709677419</v>
      </c>
      <c r="L46" s="439" t="s">
        <v>958</v>
      </c>
      <c r="M46" s="439" t="str">
        <f t="shared" si="7"/>
        <v>TRUE</v>
      </c>
    </row>
    <row r="47" spans="2:13">
      <c r="B47" s="427" t="s">
        <v>993</v>
      </c>
      <c r="C47" s="419"/>
      <c r="D47" s="419" t="s">
        <v>994</v>
      </c>
      <c r="E47" s="419">
        <v>104</v>
      </c>
      <c r="F47" s="436">
        <v>85200</v>
      </c>
      <c r="G47" s="437">
        <f t="shared" si="6"/>
        <v>0.51459673428995556</v>
      </c>
      <c r="H47" s="428">
        <v>1.4999999999999999E-2</v>
      </c>
      <c r="I47" s="419">
        <v>0.52</v>
      </c>
      <c r="J47" s="438">
        <v>1.477832512315271E-2</v>
      </c>
      <c r="L47" s="439" t="s">
        <v>958</v>
      </c>
      <c r="M47" s="439" t="str">
        <f t="shared" si="7"/>
        <v>TRUE</v>
      </c>
    </row>
    <row r="48" spans="2:13">
      <c r="B48" s="427" t="s">
        <v>995</v>
      </c>
      <c r="C48" s="419"/>
      <c r="D48" s="419" t="s">
        <v>996</v>
      </c>
      <c r="E48" s="419">
        <v>104</v>
      </c>
      <c r="F48" s="436">
        <v>67500</v>
      </c>
      <c r="G48" s="437">
        <f t="shared" si="6"/>
        <v>0.4560570071258907</v>
      </c>
      <c r="H48" s="428">
        <v>7.4999999999999997E-2</v>
      </c>
      <c r="I48" s="419">
        <v>0.48</v>
      </c>
      <c r="J48" s="438">
        <v>6.9767441860465115E-2</v>
      </c>
      <c r="L48" s="439" t="s">
        <v>959</v>
      </c>
      <c r="M48" s="439" t="str">
        <f t="shared" si="7"/>
        <v>FALSE</v>
      </c>
    </row>
    <row r="49" spans="2:15">
      <c r="B49" s="427" t="s">
        <v>997</v>
      </c>
      <c r="C49" s="419"/>
      <c r="D49" s="419" t="s">
        <v>998</v>
      </c>
      <c r="E49" s="419">
        <v>104</v>
      </c>
      <c r="F49" s="436">
        <v>113500</v>
      </c>
      <c r="G49" s="437">
        <f t="shared" si="6"/>
        <v>0.65158371040723984</v>
      </c>
      <c r="H49" s="428">
        <v>0.15</v>
      </c>
      <c r="I49" s="419">
        <v>0.72</v>
      </c>
      <c r="J49" s="438">
        <v>0.13043478260869565</v>
      </c>
      <c r="L49" s="439" t="s">
        <v>958</v>
      </c>
      <c r="M49" s="439" t="str">
        <f t="shared" si="7"/>
        <v>TRUE</v>
      </c>
      <c r="O49" t="s">
        <v>958</v>
      </c>
    </row>
    <row r="50" spans="2:15">
      <c r="B50" s="427" t="s">
        <v>999</v>
      </c>
      <c r="C50" s="419"/>
      <c r="D50" s="419" t="s">
        <v>1000</v>
      </c>
      <c r="E50" s="419">
        <v>104</v>
      </c>
      <c r="F50" s="436">
        <v>24300</v>
      </c>
      <c r="G50" s="437">
        <f t="shared" si="6"/>
        <v>0.63882063882063878</v>
      </c>
      <c r="H50" s="428">
        <v>2.5000000000000001E-2</v>
      </c>
      <c r="I50" s="419">
        <v>0.65</v>
      </c>
      <c r="J50" s="438">
        <v>2.4390243902439029E-2</v>
      </c>
      <c r="L50" s="439" t="s">
        <v>959</v>
      </c>
      <c r="M50" s="439" t="str">
        <f t="shared" si="7"/>
        <v>FALSE</v>
      </c>
      <c r="O50" t="s">
        <v>959</v>
      </c>
    </row>
    <row r="51" spans="2:15">
      <c r="B51" s="427" t="s">
        <v>1001</v>
      </c>
      <c r="C51" s="419"/>
      <c r="D51" s="419" t="s">
        <v>1002</v>
      </c>
      <c r="E51" s="419">
        <v>104</v>
      </c>
      <c r="F51" s="436">
        <v>47800</v>
      </c>
      <c r="G51" s="437">
        <f t="shared" si="6"/>
        <v>0.37605145967342901</v>
      </c>
      <c r="H51" s="428">
        <v>1.4999999999999999E-2</v>
      </c>
      <c r="I51" s="419">
        <v>0.38</v>
      </c>
      <c r="J51" s="438">
        <v>1.477832512315271E-2</v>
      </c>
      <c r="L51" s="439" t="s">
        <v>959</v>
      </c>
      <c r="M51" s="439" t="str">
        <f t="shared" si="7"/>
        <v>FALSE</v>
      </c>
    </row>
    <row r="52" spans="2:15">
      <c r="B52" s="99"/>
    </row>
    <row r="53" spans="2:15">
      <c r="B53" s="433" t="s">
        <v>1004</v>
      </c>
      <c r="C53" s="278"/>
      <c r="D53" s="278"/>
      <c r="E53" s="278"/>
      <c r="F53" s="278"/>
      <c r="G53" s="434">
        <f>MEDIAN(G42:G51)</f>
        <v>0.5239004030150699</v>
      </c>
      <c r="H53" s="435">
        <f>MEDIAN(H42:H51)</f>
        <v>0.06</v>
      </c>
      <c r="I53" s="434">
        <f>MEDIAN(I42:I51)</f>
        <v>0.58499999999999996</v>
      </c>
      <c r="J53" s="435">
        <f>MEDIAN(J42:J51)</f>
        <v>5.6414821408701459E-2</v>
      </c>
    </row>
    <row r="54" spans="2:15">
      <c r="B54" s="429" t="s">
        <v>1006</v>
      </c>
      <c r="C54" s="430"/>
      <c r="D54" s="430"/>
      <c r="E54" s="430"/>
      <c r="F54" s="430"/>
      <c r="G54" s="432">
        <f>AVERAGE(G42:G51)</f>
        <v>0.53545727013158029</v>
      </c>
      <c r="H54" s="431">
        <f>AVERAGE(H42:H51)</f>
        <v>0.12713999999999998</v>
      </c>
      <c r="I54" s="432">
        <f>AVERAGE(I42:I51)</f>
        <v>0.58299999999999996</v>
      </c>
      <c r="J54" s="431">
        <f>AVERAGE(J42:J51)</f>
        <v>9.9308601010063363E-2</v>
      </c>
    </row>
    <row r="55" spans="2:15">
      <c r="H55" s="426"/>
      <c r="J55" s="426"/>
    </row>
    <row r="56" spans="2:15">
      <c r="B56" s="433" t="s">
        <v>1005</v>
      </c>
      <c r="C56" s="278"/>
      <c r="D56" s="278"/>
      <c r="E56" s="278"/>
      <c r="F56" s="278"/>
      <c r="G56" s="434" cm="1">
        <f t="array" ref="G56">MEDIAN(IF($M$42:$M$51,G42:G51))</f>
        <v>0.5923938910737121</v>
      </c>
      <c r="H56" s="431" cm="1">
        <f t="array" ref="H56">MEDIAN(IF(M42:M51,H42:H51))</f>
        <v>9.7500000000000003E-2</v>
      </c>
      <c r="I56" s="432" cm="1">
        <f t="array" ref="I56">MEDIAN(IF($M$42:$M$51,I42:I51))</f>
        <v>0.63500000000000001</v>
      </c>
      <c r="J56" s="431" cm="1">
        <f t="array" ref="J56">MEDIAN(IF($M$42:$M$51,J42:J51))</f>
        <v>8.6748491782816725E-2</v>
      </c>
    </row>
    <row r="57" spans="2:15">
      <c r="B57" s="429" t="s">
        <v>1007</v>
      </c>
      <c r="C57" s="430"/>
      <c r="D57" s="430"/>
      <c r="E57" s="430"/>
      <c r="F57" s="430"/>
      <c r="G57" s="432" cm="1">
        <f t="array" ref="G57">AVERAGE(IF($M$42:$M$51,G42:G51))</f>
        <v>0.59179818390386552</v>
      </c>
      <c r="H57" s="431" cm="1">
        <f t="array" ref="H57">AVERAGE(IF(M42:M51,H42:H51))</f>
        <v>0.11249999999999999</v>
      </c>
      <c r="I57" s="432" cm="1">
        <f t="array" ref="I57">AVERAGE(IF($M$42:$M$51,I42:I51))</f>
        <v>0.64250000000000007</v>
      </c>
      <c r="J57" s="431" cm="1">
        <f t="array" ref="J57">AVERAGE(IF($M$42:$M$51,J42:J51))</f>
        <v>9.5455923946390075E-2</v>
      </c>
    </row>
    <row r="61" spans="2:15" ht="21">
      <c r="B61" s="13" t="str">
        <f>'Input Sheet'!$C$6</f>
        <v>Hindustan Unilever Ltd.</v>
      </c>
    </row>
    <row r="62" spans="2:15" ht="18">
      <c r="B62" s="15" t="s">
        <v>1009</v>
      </c>
      <c r="J62" s="440">
        <v>0.3</v>
      </c>
    </row>
    <row r="64" spans="2:15" ht="31.2">
      <c r="B64" s="441" t="s">
        <v>982</v>
      </c>
      <c r="C64" s="424"/>
      <c r="D64" s="424" t="s">
        <v>977</v>
      </c>
      <c r="E64" s="424" t="s">
        <v>978</v>
      </c>
      <c r="F64" s="424" t="s">
        <v>979</v>
      </c>
      <c r="G64" s="424" t="s">
        <v>744</v>
      </c>
      <c r="H64" s="424" t="s">
        <v>1010</v>
      </c>
      <c r="I64" s="424" t="s">
        <v>966</v>
      </c>
      <c r="J64" s="424" t="s">
        <v>1011</v>
      </c>
      <c r="L64" s="424" t="s">
        <v>1003</v>
      </c>
      <c r="M64" s="424" t="s">
        <v>1008</v>
      </c>
    </row>
    <row r="66" spans="2:13">
      <c r="B66" s="427" t="s">
        <v>983</v>
      </c>
      <c r="C66" s="419"/>
      <c r="D66" s="419" t="s">
        <v>984</v>
      </c>
      <c r="E66" s="419">
        <v>104</v>
      </c>
      <c r="F66" s="436">
        <v>377942</v>
      </c>
      <c r="G66" s="437"/>
      <c r="H66" s="428"/>
      <c r="I66" s="437">
        <v>0.62</v>
      </c>
      <c r="J66" s="438">
        <v>1.3980427401637707E-3</v>
      </c>
      <c r="L66" s="439" t="s">
        <v>959</v>
      </c>
      <c r="M66" s="439" t="str">
        <f>IF(L66="N","FALSE","TRUE")</f>
        <v>FALSE</v>
      </c>
    </row>
    <row r="67" spans="2:13">
      <c r="B67" s="427" t="s">
        <v>985</v>
      </c>
      <c r="C67" s="419"/>
      <c r="D67" s="419" t="s">
        <v>986</v>
      </c>
      <c r="E67" s="419">
        <v>104</v>
      </c>
      <c r="F67" s="436">
        <v>232002</v>
      </c>
      <c r="G67" s="437"/>
      <c r="H67" s="428"/>
      <c r="I67" s="419">
        <v>0.45</v>
      </c>
      <c r="J67" s="438">
        <v>0.16317991631799164</v>
      </c>
      <c r="L67" s="439" t="s">
        <v>959</v>
      </c>
      <c r="M67" s="439" t="str">
        <f t="shared" ref="M67:M75" si="8">IF(L67="N","FALSE","TRUE")</f>
        <v>FALSE</v>
      </c>
    </row>
    <row r="68" spans="2:13">
      <c r="B68" s="427" t="s">
        <v>987</v>
      </c>
      <c r="C68" s="419"/>
      <c r="D68" s="419" t="s">
        <v>988</v>
      </c>
      <c r="E68" s="419">
        <v>104</v>
      </c>
      <c r="F68" s="436">
        <v>153600</v>
      </c>
      <c r="G68" s="437"/>
      <c r="H68" s="428"/>
      <c r="I68" s="419">
        <v>0.68</v>
      </c>
      <c r="J68" s="438">
        <v>0.33774834437086093</v>
      </c>
      <c r="L68" s="439" t="s">
        <v>959</v>
      </c>
      <c r="M68" s="439" t="str">
        <f t="shared" si="8"/>
        <v>FALSE</v>
      </c>
    </row>
    <row r="69" spans="2:13">
      <c r="B69" s="427" t="s">
        <v>989</v>
      </c>
      <c r="C69" s="419"/>
      <c r="D69" s="419" t="s">
        <v>990</v>
      </c>
      <c r="E69" s="419">
        <v>104</v>
      </c>
      <c r="F69" s="436">
        <v>91500</v>
      </c>
      <c r="G69" s="437">
        <f>I69/(1+H69*(1-$J$62))</f>
        <v>0.53140096618357502</v>
      </c>
      <c r="H69" s="428">
        <v>0.05</v>
      </c>
      <c r="I69" s="419">
        <v>0.55000000000000004</v>
      </c>
      <c r="J69" s="438">
        <v>4.3062200956937802E-2</v>
      </c>
      <c r="L69" s="439" t="s">
        <v>958</v>
      </c>
      <c r="M69" s="439" t="str">
        <f t="shared" si="8"/>
        <v>TRUE</v>
      </c>
    </row>
    <row r="70" spans="2:13">
      <c r="B70" s="427" t="s">
        <v>991</v>
      </c>
      <c r="C70" s="419"/>
      <c r="D70" s="419" t="s">
        <v>992</v>
      </c>
      <c r="E70" s="419">
        <v>104</v>
      </c>
      <c r="F70" s="436">
        <v>119800</v>
      </c>
      <c r="G70" s="437">
        <f t="shared" ref="G70:G71" si="9">I70/(1+H70*(1-$J$62))</f>
        <v>0.65217391304347827</v>
      </c>
      <c r="H70" s="428">
        <v>0.28000000000000003</v>
      </c>
      <c r="I70" s="419">
        <v>0.78</v>
      </c>
      <c r="J70" s="438">
        <v>0.19354838709677419</v>
      </c>
      <c r="L70" s="439" t="s">
        <v>958</v>
      </c>
      <c r="M70" s="439" t="str">
        <f t="shared" si="8"/>
        <v>TRUE</v>
      </c>
    </row>
    <row r="71" spans="2:13">
      <c r="B71" s="427" t="s">
        <v>993</v>
      </c>
      <c r="C71" s="419"/>
      <c r="D71" s="419" t="s">
        <v>994</v>
      </c>
      <c r="E71" s="419">
        <v>104</v>
      </c>
      <c r="F71" s="436">
        <v>85200</v>
      </c>
      <c r="G71" s="437">
        <f t="shared" si="9"/>
        <v>0.51282051282051289</v>
      </c>
      <c r="H71" s="428">
        <v>0.02</v>
      </c>
      <c r="I71" s="419">
        <v>0.52</v>
      </c>
      <c r="J71" s="438">
        <v>1.477832512315271E-2</v>
      </c>
      <c r="L71" s="439" t="s">
        <v>958</v>
      </c>
      <c r="M71" s="439" t="str">
        <f t="shared" si="8"/>
        <v>TRUE</v>
      </c>
    </row>
    <row r="72" spans="2:13">
      <c r="B72" s="427" t="s">
        <v>995</v>
      </c>
      <c r="C72" s="419"/>
      <c r="D72" s="419" t="s">
        <v>996</v>
      </c>
      <c r="E72" s="419">
        <v>104</v>
      </c>
      <c r="F72" s="436">
        <v>67500</v>
      </c>
      <c r="G72" s="437"/>
      <c r="H72" s="428"/>
      <c r="I72" s="419">
        <v>0.48</v>
      </c>
      <c r="J72" s="438">
        <v>6.9767441860465115E-2</v>
      </c>
      <c r="L72" s="439" t="s">
        <v>959</v>
      </c>
      <c r="M72" s="439" t="str">
        <f t="shared" si="8"/>
        <v>FALSE</v>
      </c>
    </row>
    <row r="73" spans="2:13">
      <c r="B73" s="427" t="s">
        <v>997</v>
      </c>
      <c r="C73" s="419"/>
      <c r="D73" s="419" t="s">
        <v>998</v>
      </c>
      <c r="E73" s="419">
        <v>104</v>
      </c>
      <c r="F73" s="436">
        <v>113500</v>
      </c>
      <c r="G73" s="437">
        <f>I73/(1+H73*(1-$J$62))</f>
        <v>0.63943161634103018</v>
      </c>
      <c r="H73" s="428">
        <v>0.18</v>
      </c>
      <c r="I73" s="419">
        <v>0.72</v>
      </c>
      <c r="J73" s="438">
        <v>0.13043478260869565</v>
      </c>
      <c r="L73" s="439" t="s">
        <v>958</v>
      </c>
      <c r="M73" s="439" t="str">
        <f t="shared" si="8"/>
        <v>TRUE</v>
      </c>
    </row>
    <row r="74" spans="2:13">
      <c r="B74" s="427" t="s">
        <v>999</v>
      </c>
      <c r="C74" s="419"/>
      <c r="D74" s="419" t="s">
        <v>1000</v>
      </c>
      <c r="E74" s="419">
        <v>104</v>
      </c>
      <c r="F74" s="436">
        <v>24300</v>
      </c>
      <c r="G74" s="437"/>
      <c r="H74" s="428"/>
      <c r="I74" s="419">
        <v>0.65</v>
      </c>
      <c r="J74" s="438">
        <v>2.4390243902439029E-2</v>
      </c>
      <c r="L74" s="439" t="s">
        <v>959</v>
      </c>
      <c r="M74" s="439" t="str">
        <f t="shared" si="8"/>
        <v>FALSE</v>
      </c>
    </row>
    <row r="75" spans="2:13">
      <c r="B75" s="427" t="s">
        <v>1001</v>
      </c>
      <c r="C75" s="419"/>
      <c r="D75" s="419" t="s">
        <v>1002</v>
      </c>
      <c r="E75" s="419">
        <v>104</v>
      </c>
      <c r="F75" s="436">
        <v>47800</v>
      </c>
      <c r="G75" s="437"/>
      <c r="H75" s="428"/>
      <c r="I75" s="419">
        <v>0.38</v>
      </c>
      <c r="J75" s="438">
        <v>1.477832512315271E-2</v>
      </c>
      <c r="L75" s="439" t="s">
        <v>959</v>
      </c>
      <c r="M75" s="439" t="str">
        <f t="shared" si="8"/>
        <v>FALSE</v>
      </c>
    </row>
    <row r="76" spans="2:13">
      <c r="B76" s="99"/>
    </row>
    <row r="77" spans="2:13">
      <c r="H77" s="426"/>
      <c r="J77" s="426"/>
    </row>
    <row r="78" spans="2:13">
      <c r="B78" s="433" t="s">
        <v>1005</v>
      </c>
      <c r="C78" s="278"/>
      <c r="D78" s="278"/>
      <c r="E78" s="278"/>
      <c r="F78" s="278"/>
      <c r="G78" s="434" cm="1">
        <f t="array" ref="G78">MEDIAN(IF($M$66:$M$75,G66:G75))</f>
        <v>0.58541629126230266</v>
      </c>
      <c r="H78" s="431" cm="1">
        <f t="array" ref="H78">MEDIAN(IF(M66:M75,H66:H75))</f>
        <v>0.115</v>
      </c>
      <c r="I78" s="432" cm="1">
        <f t="array" ref="I78">MEDIAN(IF($M$66:$M$75,I66:I75))</f>
        <v>0.63500000000000001</v>
      </c>
      <c r="J78" s="431" cm="1">
        <f t="array" ref="J78">MEDIAN(IF($M$66:$M$75,J66:J75))</f>
        <v>8.6748491782816725E-2</v>
      </c>
    </row>
    <row r="79" spans="2:13">
      <c r="B79" s="429" t="s">
        <v>1007</v>
      </c>
      <c r="C79" s="430"/>
      <c r="D79" s="430"/>
      <c r="E79" s="430"/>
      <c r="F79" s="430"/>
      <c r="G79" s="432" cm="1">
        <f t="array" ref="G79">AVERAGE(IF($M$42:$M$51,G66:G75))</f>
        <v>0.58395675209714915</v>
      </c>
      <c r="H79" s="431" cm="1">
        <f t="array" ref="H79">AVERAGE(IF(M66:M75,H66:H75))</f>
        <v>0.13250000000000001</v>
      </c>
      <c r="I79" s="432" cm="1">
        <f t="array" ref="I79">MEDIAN(IF($M$66:$M$75,I66:I75))</f>
        <v>0.63500000000000001</v>
      </c>
      <c r="J79" s="431" cm="1">
        <f t="array" ref="J79">AVERAGE(IF($M$66:$M$75,J66:J75))</f>
        <v>9.5455923946390075E-2</v>
      </c>
    </row>
    <row r="81" spans="2:13">
      <c r="G81" s="296"/>
    </row>
    <row r="82" spans="2:13" ht="21">
      <c r="B82" s="13" t="str">
        <f>'Input Sheet'!$C$6</f>
        <v>Hindustan Unilever Ltd.</v>
      </c>
    </row>
    <row r="83" spans="2:13" ht="18">
      <c r="B83" s="15" t="s">
        <v>1012</v>
      </c>
      <c r="E83" t="s">
        <v>1013</v>
      </c>
      <c r="J83" s="440">
        <v>0.3</v>
      </c>
    </row>
    <row r="85" spans="2:13" ht="31.2">
      <c r="B85" s="441" t="s">
        <v>982</v>
      </c>
      <c r="C85" s="424"/>
      <c r="D85" s="424" t="s">
        <v>977</v>
      </c>
      <c r="E85" s="424" t="s">
        <v>978</v>
      </c>
      <c r="F85" s="424" t="s">
        <v>979</v>
      </c>
      <c r="G85" s="424" t="s">
        <v>744</v>
      </c>
      <c r="H85" s="424" t="s">
        <v>1010</v>
      </c>
      <c r="I85" s="424" t="s">
        <v>966</v>
      </c>
      <c r="J85" s="424" t="s">
        <v>1011</v>
      </c>
      <c r="L85" s="424" t="s">
        <v>1003</v>
      </c>
      <c r="M85" s="424" t="s">
        <v>1008</v>
      </c>
    </row>
    <row r="87" spans="2:13">
      <c r="B87" s="427" t="s">
        <v>983</v>
      </c>
      <c r="C87" s="419"/>
      <c r="D87" s="419" t="s">
        <v>984</v>
      </c>
      <c r="E87" s="419">
        <v>104</v>
      </c>
      <c r="F87" s="436">
        <v>377942</v>
      </c>
      <c r="G87" s="437"/>
      <c r="H87" s="428"/>
      <c r="I87" s="437">
        <f t="shared" ref="I87:I96" si="10">(0.333*1)+(0.6333*I66)</f>
        <v>0.72564600000000001</v>
      </c>
      <c r="J87" s="438">
        <v>1.3980427401637707E-3</v>
      </c>
      <c r="L87" s="439" t="s">
        <v>959</v>
      </c>
      <c r="M87" s="439" t="str">
        <f>IF(L87="N","FALSE","TRUE")</f>
        <v>FALSE</v>
      </c>
    </row>
    <row r="88" spans="2:13">
      <c r="B88" s="427" t="s">
        <v>985</v>
      </c>
      <c r="C88" s="419"/>
      <c r="D88" s="419" t="s">
        <v>986</v>
      </c>
      <c r="E88" s="419">
        <v>104</v>
      </c>
      <c r="F88" s="436">
        <v>232002</v>
      </c>
      <c r="G88" s="437"/>
      <c r="H88" s="428"/>
      <c r="I88" s="437">
        <f t="shared" si="10"/>
        <v>0.61798500000000001</v>
      </c>
      <c r="J88" s="438">
        <v>0.16317991631799164</v>
      </c>
      <c r="L88" s="439" t="s">
        <v>959</v>
      </c>
      <c r="M88" s="439" t="str">
        <f t="shared" ref="M88:M96" si="11">IF(L88="N","FALSE","TRUE")</f>
        <v>FALSE</v>
      </c>
    </row>
    <row r="89" spans="2:13">
      <c r="B89" s="427" t="s">
        <v>987</v>
      </c>
      <c r="C89" s="419"/>
      <c r="D89" s="419" t="s">
        <v>988</v>
      </c>
      <c r="E89" s="419">
        <v>104</v>
      </c>
      <c r="F89" s="436">
        <v>153600</v>
      </c>
      <c r="G89" s="437"/>
      <c r="H89" s="428"/>
      <c r="I89" s="437">
        <f t="shared" si="10"/>
        <v>0.76364399999999999</v>
      </c>
      <c r="J89" s="438">
        <v>0.33774834437086093</v>
      </c>
      <c r="L89" s="439" t="s">
        <v>959</v>
      </c>
      <c r="M89" s="439" t="str">
        <f t="shared" si="11"/>
        <v>FALSE</v>
      </c>
    </row>
    <row r="90" spans="2:13">
      <c r="B90" s="427" t="s">
        <v>989</v>
      </c>
      <c r="C90" s="419"/>
      <c r="D90" s="419" t="s">
        <v>990</v>
      </c>
      <c r="E90" s="419">
        <v>104</v>
      </c>
      <c r="F90" s="436">
        <v>91500</v>
      </c>
      <c r="G90" s="437">
        <f>I90/(1+H90*(1-$J$62))</f>
        <v>0.65827536231884076</v>
      </c>
      <c r="H90" s="428">
        <v>0.05</v>
      </c>
      <c r="I90" s="437">
        <f t="shared" si="10"/>
        <v>0.68131500000000011</v>
      </c>
      <c r="J90" s="438">
        <v>4.3062200956937802E-2</v>
      </c>
      <c r="L90" s="439" t="s">
        <v>958</v>
      </c>
      <c r="M90" s="439" t="str">
        <f t="shared" si="11"/>
        <v>TRUE</v>
      </c>
    </row>
    <row r="91" spans="2:13">
      <c r="B91" s="427" t="s">
        <v>991</v>
      </c>
      <c r="C91" s="419"/>
      <c r="D91" s="419" t="s">
        <v>992</v>
      </c>
      <c r="E91" s="419">
        <v>104</v>
      </c>
      <c r="F91" s="436">
        <v>119800</v>
      </c>
      <c r="G91" s="437">
        <f t="shared" ref="G91:G92" si="12">I91/(1+H91*(1-$J$62))</f>
        <v>0.69144983277591987</v>
      </c>
      <c r="H91" s="428">
        <v>0.28000000000000003</v>
      </c>
      <c r="I91" s="437">
        <f t="shared" si="10"/>
        <v>0.8269740000000001</v>
      </c>
      <c r="J91" s="438">
        <v>0.19354838709677419</v>
      </c>
      <c r="L91" s="439" t="s">
        <v>958</v>
      </c>
      <c r="M91" s="439" t="str">
        <f t="shared" si="11"/>
        <v>TRUE</v>
      </c>
    </row>
    <row r="92" spans="2:13">
      <c r="B92" s="427" t="s">
        <v>993</v>
      </c>
      <c r="C92" s="419"/>
      <c r="D92" s="419" t="s">
        <v>994</v>
      </c>
      <c r="E92" s="419">
        <v>104</v>
      </c>
      <c r="F92" s="436">
        <v>85200</v>
      </c>
      <c r="G92" s="437">
        <f t="shared" si="12"/>
        <v>0.65317159763313615</v>
      </c>
      <c r="H92" s="428">
        <v>0.02</v>
      </c>
      <c r="I92" s="437">
        <f t="shared" si="10"/>
        <v>0.66231600000000002</v>
      </c>
      <c r="J92" s="438">
        <v>1.477832512315271E-2</v>
      </c>
      <c r="L92" s="439" t="s">
        <v>958</v>
      </c>
      <c r="M92" s="439" t="str">
        <f t="shared" si="11"/>
        <v>TRUE</v>
      </c>
    </row>
    <row r="93" spans="2:13">
      <c r="B93" s="427" t="s">
        <v>995</v>
      </c>
      <c r="C93" s="419"/>
      <c r="D93" s="419" t="s">
        <v>996</v>
      </c>
      <c r="E93" s="419">
        <v>104</v>
      </c>
      <c r="F93" s="436">
        <v>67500</v>
      </c>
      <c r="G93" s="437"/>
      <c r="H93" s="428"/>
      <c r="I93" s="437">
        <f t="shared" si="10"/>
        <v>0.63698399999999999</v>
      </c>
      <c r="J93" s="438">
        <v>6.9767441860465115E-2</v>
      </c>
      <c r="L93" s="439" t="s">
        <v>959</v>
      </c>
      <c r="M93" s="439" t="str">
        <f t="shared" si="11"/>
        <v>FALSE</v>
      </c>
    </row>
    <row r="94" spans="2:13">
      <c r="B94" s="427" t="s">
        <v>997</v>
      </c>
      <c r="C94" s="419"/>
      <c r="D94" s="419" t="s">
        <v>998</v>
      </c>
      <c r="E94" s="419">
        <v>104</v>
      </c>
      <c r="F94" s="436">
        <v>113500</v>
      </c>
      <c r="G94" s="437">
        <f>I94/(1+H94*(1-$J$62))</f>
        <v>0.70068916518650082</v>
      </c>
      <c r="H94" s="428">
        <v>0.18</v>
      </c>
      <c r="I94" s="437">
        <f t="shared" si="10"/>
        <v>0.7889759999999999</v>
      </c>
      <c r="J94" s="438">
        <v>0.13043478260869565</v>
      </c>
      <c r="L94" s="439" t="s">
        <v>958</v>
      </c>
      <c r="M94" s="439" t="str">
        <f t="shared" si="11"/>
        <v>TRUE</v>
      </c>
    </row>
    <row r="95" spans="2:13">
      <c r="B95" s="427" t="s">
        <v>999</v>
      </c>
      <c r="C95" s="419"/>
      <c r="D95" s="419" t="s">
        <v>1000</v>
      </c>
      <c r="E95" s="419">
        <v>104</v>
      </c>
      <c r="F95" s="436">
        <v>24300</v>
      </c>
      <c r="G95" s="437"/>
      <c r="H95" s="428"/>
      <c r="I95" s="437">
        <f t="shared" si="10"/>
        <v>0.744645</v>
      </c>
      <c r="J95" s="438">
        <v>2.4390243902439029E-2</v>
      </c>
      <c r="L95" s="439" t="s">
        <v>959</v>
      </c>
      <c r="M95" s="439" t="str">
        <f t="shared" si="11"/>
        <v>FALSE</v>
      </c>
    </row>
    <row r="96" spans="2:13">
      <c r="B96" s="427" t="s">
        <v>1001</v>
      </c>
      <c r="C96" s="419"/>
      <c r="D96" s="419" t="s">
        <v>1002</v>
      </c>
      <c r="E96" s="419">
        <v>104</v>
      </c>
      <c r="F96" s="436">
        <v>47800</v>
      </c>
      <c r="G96" s="437"/>
      <c r="H96" s="428"/>
      <c r="I96" s="437">
        <f t="shared" si="10"/>
        <v>0.573654</v>
      </c>
      <c r="J96" s="438">
        <v>1.477832512315271E-2</v>
      </c>
      <c r="L96" s="439" t="s">
        <v>959</v>
      </c>
      <c r="M96" s="439" t="str">
        <f t="shared" si="11"/>
        <v>FALSE</v>
      </c>
    </row>
    <row r="97" spans="2:10">
      <c r="B97" s="99"/>
    </row>
    <row r="98" spans="2:10">
      <c r="H98" s="426"/>
      <c r="J98" s="426"/>
    </row>
    <row r="99" spans="2:10">
      <c r="B99" s="433" t="s">
        <v>1005</v>
      </c>
      <c r="C99" s="278"/>
      <c r="D99" s="278"/>
      <c r="E99" s="278"/>
      <c r="F99" s="278"/>
      <c r="G99" s="434" cm="1">
        <f t="array" ref="G99">MEDIAN(IF($M$66:$M$75,G87:G96))</f>
        <v>0.67486259754738032</v>
      </c>
      <c r="H99" s="431" cm="1">
        <f t="array" ref="H99">MEDIAN(IF(M87:M96,H87:H96))</f>
        <v>0.115</v>
      </c>
      <c r="I99" s="432" cm="1">
        <f t="array" ref="I99">MEDIAN(IF($M$66:$M$75,I87:I96))</f>
        <v>0.73514550000000001</v>
      </c>
      <c r="J99" s="431" cm="1">
        <f t="array" ref="J99">MEDIAN(IF($M$66:$M$75,J87:J96))</f>
        <v>8.6748491782816725E-2</v>
      </c>
    </row>
    <row r="100" spans="2:10">
      <c r="B100" s="429" t="s">
        <v>1007</v>
      </c>
      <c r="C100" s="430"/>
      <c r="D100" s="430"/>
      <c r="E100" s="430"/>
      <c r="F100" s="430"/>
      <c r="G100" s="432" cm="1">
        <f t="array" ref="G100">AVERAGE(IF($M$42:$M$51,G87:G96))</f>
        <v>0.67589648947859948</v>
      </c>
      <c r="H100" s="431" cm="1">
        <f t="array" ref="H100">AVERAGE(IF(M87:M96,H87:H96))</f>
        <v>0.13250000000000001</v>
      </c>
      <c r="I100" s="432" cm="1">
        <f t="array" ref="I100">MEDIAN(IF($M$66:$M$75,I87:I96))</f>
        <v>0.73514550000000001</v>
      </c>
      <c r="J100" s="431" cm="1">
        <f t="array" ref="J100">AVERAGE(IF($M$66:$M$75,J87:J96))</f>
        <v>9.5455923946390075E-2</v>
      </c>
    </row>
    <row r="103" spans="2:10" ht="18">
      <c r="B103" s="207" t="s">
        <v>1014</v>
      </c>
    </row>
  </sheetData>
  <mergeCells count="7">
    <mergeCell ref="B28:F30"/>
    <mergeCell ref="H28:M29"/>
    <mergeCell ref="H32:M36"/>
    <mergeCell ref="H7:M9"/>
    <mergeCell ref="H12:M14"/>
    <mergeCell ref="H17:M19"/>
    <mergeCell ref="H22:M24"/>
  </mergeCells>
  <dataValidations count="1">
    <dataValidation type="list" allowBlank="1" showInputMessage="1" showErrorMessage="1" sqref="L42:L51 L66:L75 L87:L96" xr:uid="{2087AF1F-90D6-42B8-B31E-D3B8CD524BA8}">
      <formula1>$O$49:$O$50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101F1-9EAE-4183-83E6-3022573FE98E}">
  <dimension ref="A2:U99"/>
  <sheetViews>
    <sheetView showGridLines="0" zoomScale="90" zoomScaleNormal="90" workbookViewId="0">
      <pane xSplit="1" ySplit="9" topLeftCell="B16" activePane="bottomRight" state="frozen"/>
      <selection pane="topRight" activeCell="B1" sqref="B1"/>
      <selection pane="bottomLeft" activeCell="A10" sqref="A10"/>
      <selection pane="bottomRight" activeCell="E58" sqref="E58"/>
    </sheetView>
  </sheetViews>
  <sheetFormatPr defaultRowHeight="14.4" outlineLevelCol="1"/>
  <cols>
    <col min="1" max="1" width="1.88671875" customWidth="1"/>
    <col min="2" max="2" width="35.44140625" customWidth="1"/>
    <col min="3" max="3" width="21.21875" customWidth="1"/>
    <col min="4" max="4" width="7.5546875" customWidth="1"/>
    <col min="5" max="5" width="14.6640625" customWidth="1" outlineLevel="1"/>
    <col min="6" max="7" width="11.44140625" bestFit="1" customWidth="1" outlineLevel="1"/>
    <col min="8" max="8" width="10.33203125" bestFit="1" customWidth="1" outlineLevel="1"/>
    <col min="9" max="9" width="10.33203125" customWidth="1" outlineLevel="1"/>
    <col min="10" max="11" width="10.33203125" bestFit="1" customWidth="1"/>
    <col min="12" max="16" width="8.88671875" bestFit="1" customWidth="1"/>
  </cols>
  <sheetData>
    <row r="2" spans="1:21" ht="21">
      <c r="B2" s="13" t="str">
        <f>'Input Sheet'!$C$6</f>
        <v>Hindustan Unilever Ltd.</v>
      </c>
      <c r="C2" s="13"/>
      <c r="D2" s="13"/>
      <c r="E2" s="13"/>
      <c r="F2" s="13"/>
      <c r="G2" s="13"/>
      <c r="U2" s="109" t="s">
        <v>132</v>
      </c>
    </row>
    <row r="3" spans="1:21" ht="18">
      <c r="B3" s="15" t="s">
        <v>151</v>
      </c>
      <c r="C3" s="15"/>
      <c r="D3" s="15"/>
      <c r="E3" s="15"/>
      <c r="F3" s="15"/>
      <c r="G3" s="15"/>
      <c r="U3" s="109" t="s">
        <v>133</v>
      </c>
    </row>
    <row r="4" spans="1:21">
      <c r="I4" s="713" t="s">
        <v>39</v>
      </c>
      <c r="J4" s="713"/>
      <c r="U4" s="109" t="s">
        <v>134</v>
      </c>
    </row>
    <row r="8" spans="1:21">
      <c r="E8" s="18" t="s">
        <v>1289</v>
      </c>
      <c r="F8" s="18"/>
      <c r="G8" s="18"/>
      <c r="H8" s="18"/>
      <c r="I8" s="18"/>
      <c r="J8" s="18"/>
      <c r="K8" s="707" t="s">
        <v>25</v>
      </c>
      <c r="L8" s="707"/>
      <c r="M8" s="707"/>
      <c r="N8" s="707"/>
      <c r="O8" s="707"/>
      <c r="P8" s="708" t="s">
        <v>1056</v>
      </c>
      <c r="Q8" s="708"/>
      <c r="R8" s="708"/>
      <c r="S8" s="708"/>
      <c r="T8" s="708"/>
    </row>
    <row r="9" spans="1:21">
      <c r="B9" s="16" t="s">
        <v>23</v>
      </c>
      <c r="C9" s="16"/>
      <c r="D9" s="16"/>
      <c r="E9" s="19">
        <v>2020</v>
      </c>
      <c r="F9" s="19">
        <f t="shared" ref="F9:J9" si="0">E9+1</f>
        <v>2021</v>
      </c>
      <c r="G9" s="19">
        <f t="shared" si="0"/>
        <v>2022</v>
      </c>
      <c r="H9" s="19">
        <f t="shared" si="0"/>
        <v>2023</v>
      </c>
      <c r="I9" s="19">
        <f t="shared" si="0"/>
        <v>2024</v>
      </c>
      <c r="J9" s="19">
        <f t="shared" si="0"/>
        <v>2025</v>
      </c>
      <c r="K9" s="19">
        <f>J9+1</f>
        <v>2026</v>
      </c>
      <c r="L9" s="19">
        <f t="shared" ref="L9:O9" si="1">K9+1</f>
        <v>2027</v>
      </c>
      <c r="M9" s="19">
        <f t="shared" si="1"/>
        <v>2028</v>
      </c>
      <c r="N9" s="19">
        <f t="shared" si="1"/>
        <v>2029</v>
      </c>
      <c r="O9" s="19">
        <f t="shared" si="1"/>
        <v>2030</v>
      </c>
      <c r="P9" s="19">
        <f t="shared" ref="P9" si="2">O9+1</f>
        <v>2031</v>
      </c>
      <c r="Q9" s="19">
        <f t="shared" ref="Q9" si="3">P9+1</f>
        <v>2032</v>
      </c>
      <c r="R9" s="19">
        <f t="shared" ref="R9" si="4">Q9+1</f>
        <v>2033</v>
      </c>
      <c r="S9" s="19">
        <f t="shared" ref="S9" si="5">R9+1</f>
        <v>2034</v>
      </c>
      <c r="T9" s="19">
        <f t="shared" ref="T9" si="6">S9+1</f>
        <v>2035</v>
      </c>
    </row>
    <row r="11" spans="1:21" ht="18">
      <c r="A11" t="s">
        <v>27</v>
      </c>
      <c r="B11" s="68" t="s">
        <v>124</v>
      </c>
      <c r="C11" s="68"/>
      <c r="D11" s="68"/>
      <c r="E11" s="68"/>
      <c r="F11" s="68"/>
      <c r="G11" s="68"/>
      <c r="H11" s="69"/>
      <c r="I11" s="70"/>
      <c r="J11" s="70"/>
      <c r="K11" s="70"/>
      <c r="L11" s="70"/>
      <c r="M11" s="70"/>
      <c r="N11" s="70"/>
      <c r="O11" s="70"/>
      <c r="P11" s="70"/>
      <c r="Q11" s="70"/>
      <c r="R11" s="70"/>
      <c r="S11" s="70"/>
      <c r="T11" s="70"/>
    </row>
    <row r="13" spans="1:21">
      <c r="B13" s="20" t="s">
        <v>63</v>
      </c>
      <c r="C13" s="20"/>
      <c r="D13" s="20"/>
      <c r="E13" s="83">
        <f>'3Statement Model'!D22</f>
        <v>9861</v>
      </c>
      <c r="F13" s="83">
        <f>'3Statement Model'!E22</f>
        <v>11626</v>
      </c>
      <c r="G13" s="83">
        <f>'3Statement Model'!F22</f>
        <v>12857</v>
      </c>
      <c r="H13" s="83">
        <f>'3Statement Model'!G22</f>
        <v>14159</v>
      </c>
      <c r="I13" s="83">
        <f>'3Statement Model'!H22</f>
        <v>14603</v>
      </c>
      <c r="J13" s="83">
        <f>'3Statement Model'!I22</f>
        <v>14851</v>
      </c>
      <c r="K13" s="83">
        <f>'3Statement Model'!J22</f>
        <v>15780.433400000002</v>
      </c>
      <c r="L13" s="83">
        <f>'3Statement Model'!K22</f>
        <v>17334.552500400001</v>
      </c>
      <c r="M13" s="83">
        <f>'3Statement Model'!L22</f>
        <v>19055.143555363997</v>
      </c>
      <c r="N13" s="83">
        <f>'3Statement Model'!M22</f>
        <v>20961.201572015132</v>
      </c>
      <c r="O13" s="83">
        <f>'3Statement Model'!N22</f>
        <v>23073.984595143032</v>
      </c>
      <c r="P13" s="83">
        <f>'3Statement Model'!O22</f>
        <v>25180.238485967922</v>
      </c>
      <c r="Q13" s="83">
        <f>'3Statement Model'!P22</f>
        <v>27448.138131321186</v>
      </c>
      <c r="R13" s="83">
        <f>'3Statement Model'!Q22</f>
        <v>29778.638423303186</v>
      </c>
      <c r="S13" s="83">
        <f>'3Statement Model'!R22</f>
        <v>32154.670402622069</v>
      </c>
      <c r="T13" s="83">
        <f>'3Statement Model'!S22</f>
        <v>34559.602815845283</v>
      </c>
    </row>
    <row r="14" spans="1:21">
      <c r="B14" s="63" t="s">
        <v>49</v>
      </c>
      <c r="C14" s="63"/>
      <c r="D14" s="63"/>
      <c r="E14" s="80">
        <f>'3Statement Model'!D27</f>
        <v>-1002</v>
      </c>
      <c r="F14" s="80">
        <f>'3Statement Model'!E27</f>
        <v>-1074</v>
      </c>
      <c r="G14" s="80">
        <f>'3Statement Model'!F27</f>
        <v>-1091</v>
      </c>
      <c r="H14" s="80">
        <f>'3Statement Model'!G27</f>
        <v>-1137</v>
      </c>
      <c r="I14" s="80">
        <f>'3Statement Model'!H27</f>
        <v>-1216</v>
      </c>
      <c r="J14" s="80">
        <f>'3Statement Model'!I27</f>
        <v>-1355</v>
      </c>
      <c r="K14" s="80">
        <f>'3Statement Model'!J27</f>
        <v>-1530.8597253333724</v>
      </c>
      <c r="L14" s="80">
        <f>'3Statement Model'!K27</f>
        <v>-1704.3912115585131</v>
      </c>
      <c r="M14" s="80">
        <f>'3Statement Model'!L27</f>
        <v>-1893.4359820496011</v>
      </c>
      <c r="N14" s="80">
        <f>'3Statement Model'!M27</f>
        <v>-2099.5431930776549</v>
      </c>
      <c r="O14" s="80">
        <f>'3Statement Model'!N27</f>
        <v>-2324.4284281738655</v>
      </c>
      <c r="P14" s="80">
        <f>'3Statement Model'!O27</f>
        <v>-2570.2639595177616</v>
      </c>
      <c r="Q14" s="80">
        <f>'3Statement Model'!P27</f>
        <v>-2838.3242828338425</v>
      </c>
      <c r="R14" s="80">
        <f>'3Statement Model'!Q27</f>
        <v>-3128.4551149139679</v>
      </c>
      <c r="S14" s="80">
        <f>'3Statement Model'!R27</f>
        <v>-3441.0550283374305</v>
      </c>
      <c r="T14" s="80">
        <f>'3Statement Model'!S27</f>
        <v>-3776.3995588114567</v>
      </c>
    </row>
    <row r="15" spans="1:21">
      <c r="B15" s="39" t="s">
        <v>112</v>
      </c>
      <c r="C15" s="39"/>
      <c r="D15" s="39"/>
      <c r="E15" s="82">
        <f t="shared" ref="E15:J15" si="7">SUM(E13:E14)</f>
        <v>8859</v>
      </c>
      <c r="F15" s="82">
        <f t="shared" si="7"/>
        <v>10552</v>
      </c>
      <c r="G15" s="82">
        <f t="shared" si="7"/>
        <v>11766</v>
      </c>
      <c r="H15" s="82">
        <f t="shared" si="7"/>
        <v>13022</v>
      </c>
      <c r="I15" s="82">
        <f t="shared" si="7"/>
        <v>13387</v>
      </c>
      <c r="J15" s="82">
        <f t="shared" si="7"/>
        <v>13496</v>
      </c>
      <c r="K15" s="82">
        <f>SUM(K13:K14)</f>
        <v>14249.57367466663</v>
      </c>
      <c r="L15" s="82">
        <f>SUM(L13:L14)</f>
        <v>15630.161288841487</v>
      </c>
      <c r="M15" s="82">
        <f>SUM(M13:M14)</f>
        <v>17161.707573314394</v>
      </c>
      <c r="N15" s="82">
        <f>SUM(N13:N14)</f>
        <v>18861.658378937478</v>
      </c>
      <c r="O15" s="82">
        <f>SUM(O13:O14)</f>
        <v>20749.556166969167</v>
      </c>
      <c r="P15" s="82">
        <f t="shared" ref="P15:T15" si="8">SUM(P13:P14)</f>
        <v>22609.974526450162</v>
      </c>
      <c r="Q15" s="82">
        <f t="shared" si="8"/>
        <v>24609.813848487342</v>
      </c>
      <c r="R15" s="82">
        <f t="shared" si="8"/>
        <v>26650.18330838922</v>
      </c>
      <c r="S15" s="82">
        <f t="shared" si="8"/>
        <v>28713.615374284636</v>
      </c>
      <c r="T15" s="82">
        <f t="shared" si="8"/>
        <v>30783.203257033827</v>
      </c>
    </row>
    <row r="16" spans="1:21">
      <c r="B16" s="63" t="s">
        <v>125</v>
      </c>
      <c r="C16" s="63"/>
      <c r="D16" s="63"/>
      <c r="E16" s="80">
        <f>'3Statement Model'!D39</f>
        <v>-2409</v>
      </c>
      <c r="F16" s="80">
        <f>'3Statement Model'!E39</f>
        <v>-2606</v>
      </c>
      <c r="G16" s="80">
        <f>'3Statement Model'!F39</f>
        <v>-2987</v>
      </c>
      <c r="H16" s="80">
        <f>'3Statement Model'!G39</f>
        <v>-3201</v>
      </c>
      <c r="I16" s="80">
        <f>'3Statement Model'!H39</f>
        <v>-3644</v>
      </c>
      <c r="J16" s="80">
        <f>'3Statement Model'!I39</f>
        <v>-3744</v>
      </c>
      <c r="K16" s="80">
        <f>'3Statement Model'!J39</f>
        <v>-4499.9194749489443</v>
      </c>
      <c r="L16" s="80">
        <f>'3Statement Model'!K39</f>
        <v>-4907.0637764972835</v>
      </c>
      <c r="M16" s="80">
        <f>'3Statement Model'!L39</f>
        <v>-5358.8023306358591</v>
      </c>
      <c r="N16" s="80">
        <f>'3Statement Model'!M39</f>
        <v>-5860.2950482122169</v>
      </c>
      <c r="O16" s="80">
        <f>'3Statement Model'!N39</f>
        <v>-6417.3225560819783</v>
      </c>
      <c r="P16" s="80">
        <f>'3Statement Model'!O39</f>
        <v>-6965.1655970399488</v>
      </c>
      <c r="Q16" s="80">
        <f>'3Statement Model'!P39</f>
        <v>-7554.045792498724</v>
      </c>
      <c r="R16" s="80">
        <f>'3Statement Model'!Q39</f>
        <v>-8154.779420824585</v>
      </c>
      <c r="S16" s="80">
        <f>'3Statement Model'!R39</f>
        <v>-8762.2095509710762</v>
      </c>
      <c r="T16" s="80">
        <f>'3Statement Model'!S39</f>
        <v>-9371.3453378861414</v>
      </c>
    </row>
    <row r="17" spans="1:20">
      <c r="B17" s="39" t="s">
        <v>126</v>
      </c>
      <c r="C17" s="39"/>
      <c r="D17" s="39"/>
      <c r="E17" s="82">
        <f>SUM(E15:E16)</f>
        <v>6450</v>
      </c>
      <c r="F17" s="82">
        <f t="shared" ref="F17:J17" si="9">SUM(F15:F16)</f>
        <v>7946</v>
      </c>
      <c r="G17" s="82">
        <f t="shared" si="9"/>
        <v>8779</v>
      </c>
      <c r="H17" s="82">
        <f t="shared" si="9"/>
        <v>9821</v>
      </c>
      <c r="I17" s="82">
        <f t="shared" si="9"/>
        <v>9743</v>
      </c>
      <c r="J17" s="82">
        <f t="shared" si="9"/>
        <v>9752</v>
      </c>
      <c r="K17" s="82">
        <f>SUM(K15:K16)</f>
        <v>9749.6541997176864</v>
      </c>
      <c r="L17" s="82">
        <f t="shared" ref="L17:O17" si="10">SUM(L15:L16)</f>
        <v>10723.097512344204</v>
      </c>
      <c r="M17" s="82">
        <f t="shared" si="10"/>
        <v>11802.905242678535</v>
      </c>
      <c r="N17" s="82">
        <f t="shared" si="10"/>
        <v>13001.36333072526</v>
      </c>
      <c r="O17" s="82">
        <f t="shared" si="10"/>
        <v>14332.23361088719</v>
      </c>
      <c r="P17" s="82">
        <f t="shared" ref="P17:T17" si="11">SUM(P15:P16)</f>
        <v>15644.808929410214</v>
      </c>
      <c r="Q17" s="82">
        <f t="shared" si="11"/>
        <v>17055.768055988618</v>
      </c>
      <c r="R17" s="82">
        <f t="shared" si="11"/>
        <v>18495.403887564637</v>
      </c>
      <c r="S17" s="82">
        <f t="shared" si="11"/>
        <v>19951.405823313558</v>
      </c>
      <c r="T17" s="82">
        <f t="shared" si="11"/>
        <v>21411.857919147686</v>
      </c>
    </row>
    <row r="18" spans="1:20">
      <c r="B18" s="63" t="s">
        <v>127</v>
      </c>
      <c r="C18" s="63"/>
      <c r="D18" s="63"/>
      <c r="E18" s="78">
        <f t="shared" ref="E18:J18" si="12">-E14</f>
        <v>1002</v>
      </c>
      <c r="F18" s="78">
        <f t="shared" si="12"/>
        <v>1074</v>
      </c>
      <c r="G18" s="78">
        <f t="shared" si="12"/>
        <v>1091</v>
      </c>
      <c r="H18" s="78">
        <f t="shared" si="12"/>
        <v>1137</v>
      </c>
      <c r="I18" s="78">
        <f t="shared" si="12"/>
        <v>1216</v>
      </c>
      <c r="J18" s="78">
        <f t="shared" si="12"/>
        <v>1355</v>
      </c>
      <c r="K18" s="78">
        <f>-K14</f>
        <v>1530.8597253333724</v>
      </c>
      <c r="L18" s="78">
        <f>-L14</f>
        <v>1704.3912115585131</v>
      </c>
      <c r="M18" s="78">
        <f>-M14</f>
        <v>1893.4359820496011</v>
      </c>
      <c r="N18" s="78">
        <f>-N14</f>
        <v>2099.5431930776549</v>
      </c>
      <c r="O18" s="78">
        <f>-O14</f>
        <v>2324.4284281738655</v>
      </c>
      <c r="P18" s="78">
        <f t="shared" ref="P18:T18" si="13">-P14</f>
        <v>2570.2639595177616</v>
      </c>
      <c r="Q18" s="78">
        <f t="shared" si="13"/>
        <v>2838.3242828338425</v>
      </c>
      <c r="R18" s="78">
        <f t="shared" si="13"/>
        <v>3128.4551149139679</v>
      </c>
      <c r="S18" s="78">
        <f t="shared" si="13"/>
        <v>3441.0550283374305</v>
      </c>
      <c r="T18" s="78">
        <f t="shared" si="13"/>
        <v>3776.3995588114567</v>
      </c>
    </row>
    <row r="20" spans="1:20">
      <c r="B20" s="108" t="s">
        <v>128</v>
      </c>
      <c r="C20" s="108"/>
      <c r="D20" s="108"/>
      <c r="E20" s="108"/>
      <c r="F20" s="108"/>
      <c r="G20" s="108"/>
    </row>
    <row r="21" spans="1:20">
      <c r="B21" s="63" t="s">
        <v>84</v>
      </c>
      <c r="C21" s="63"/>
      <c r="D21" s="63"/>
      <c r="E21" s="80">
        <f>-'3Statement Model'!D132</f>
        <v>-411</v>
      </c>
      <c r="F21" s="80">
        <f>-'3Statement Model'!E132</f>
        <v>101</v>
      </c>
      <c r="G21" s="80">
        <f>-'3Statement Model'!F132</f>
        <v>1000</v>
      </c>
      <c r="H21" s="80">
        <f>-'3Statement Model'!G132</f>
        <v>958</v>
      </c>
      <c r="I21" s="80">
        <f>-'3Statement Model'!H132</f>
        <v>-1313</v>
      </c>
      <c r="J21" s="80">
        <f>-'3Statement Model'!I132</f>
        <v>788</v>
      </c>
      <c r="K21" s="80">
        <f>-'3Statement Model'!J132</f>
        <v>-3853.7104612054809</v>
      </c>
      <c r="L21" s="80">
        <f>-'3Statement Model'!K132</f>
        <v>-758.86218052197103</v>
      </c>
      <c r="M21" s="80">
        <f>-'3Statement Model'!L132</f>
        <v>-417.30701149305514</v>
      </c>
      <c r="N21" s="80">
        <f>-'3Statement Model'!M132</f>
        <v>-455.04194793552608</v>
      </c>
      <c r="O21" s="80">
        <f>-'3Statement Model'!N132</f>
        <v>-496.45805864672229</v>
      </c>
      <c r="P21" s="80">
        <f>-'3Statement Model'!O132</f>
        <v>-602.13485306488201</v>
      </c>
      <c r="Q21" s="80">
        <f>-'3Statement Model'!P132</f>
        <v>-648.34606391438092</v>
      </c>
      <c r="R21" s="80">
        <f>-'3Statement Model'!Q132</f>
        <v>-666.24230677654236</v>
      </c>
      <c r="S21" s="80">
        <f>-'3Statement Model'!R132</f>
        <v>-679.25888373519388</v>
      </c>
      <c r="T21" s="80">
        <f>-'3Statement Model'!S132</f>
        <v>-687.52092593167936</v>
      </c>
    </row>
    <row r="22" spans="1:20">
      <c r="B22" s="63" t="s">
        <v>94</v>
      </c>
      <c r="C22" s="63"/>
      <c r="D22" s="63"/>
      <c r="E22" s="80">
        <f>'3Statement Model'!D138</f>
        <v>-798</v>
      </c>
      <c r="F22" s="80">
        <f>'3Statement Model'!E138</f>
        <v>-644</v>
      </c>
      <c r="G22" s="80">
        <f>'3Statement Model'!F138</f>
        <v>-1079</v>
      </c>
      <c r="H22" s="80">
        <f>'3Statement Model'!G138</f>
        <v>-1053</v>
      </c>
      <c r="I22" s="80">
        <f>'3Statement Model'!H138</f>
        <v>-1448</v>
      </c>
      <c r="J22" s="80">
        <f>'3Statement Model'!I138</f>
        <v>-1241</v>
      </c>
      <c r="K22" s="80">
        <f>'3Statement Model'!J138</f>
        <v>-1411.5824117793791</v>
      </c>
      <c r="L22" s="80">
        <f>'3Statement Model'!K138</f>
        <v>-1535.578630531093</v>
      </c>
      <c r="M22" s="80">
        <f>'3Statement Model'!L138</f>
        <v>-1671.8007883661073</v>
      </c>
      <c r="N22" s="80">
        <f>'3Statement Model'!M138</f>
        <v>-1821.5509970450291</v>
      </c>
      <c r="O22" s="80">
        <f>'3Statement Model'!N138</f>
        <v>-1986.2771438367338</v>
      </c>
      <c r="P22" s="80">
        <f>'3Statement Model'!O138</f>
        <v>-2167.5897361725765</v>
      </c>
      <c r="Q22" s="80">
        <f>'3Statement Model'!P138</f>
        <v>-2362.8172752872911</v>
      </c>
      <c r="R22" s="80">
        <f>'3Statement Model'!Q138</f>
        <v>-2563.4336640424031</v>
      </c>
      <c r="S22" s="80">
        <f>'3Statement Model'!R138</f>
        <v>-2767.9695557123518</v>
      </c>
      <c r="T22" s="80">
        <f>'3Statement Model'!S138</f>
        <v>-2974.993282592317</v>
      </c>
    </row>
    <row r="23" spans="1:20">
      <c r="B23" s="63" t="s">
        <v>129</v>
      </c>
      <c r="C23" s="63"/>
      <c r="D23" s="63"/>
      <c r="E23" s="80">
        <f>'3Statement Model'!D139</f>
        <v>-12</v>
      </c>
      <c r="F23" s="80">
        <f>'3Statement Model'!E139</f>
        <v>-3422</v>
      </c>
      <c r="G23" s="80">
        <f>'3Statement Model'!F139</f>
        <v>-3</v>
      </c>
      <c r="H23" s="80">
        <f>'3Statement Model'!G139</f>
        <v>-18</v>
      </c>
      <c r="I23" s="80">
        <f>'3Statement Model'!H139</f>
        <v>-9</v>
      </c>
      <c r="J23" s="80">
        <f>'3Statement Model'!I139</f>
        <v>-21</v>
      </c>
      <c r="K23" s="80">
        <f>'3Statement Model'!J139</f>
        <v>-53.418630221204637</v>
      </c>
      <c r="L23" s="80">
        <f>'3Statement Model'!K127</f>
        <v>-755</v>
      </c>
      <c r="M23" s="80">
        <f>'3Statement Model'!L127</f>
        <v>-755</v>
      </c>
      <c r="N23" s="80">
        <f>'3Statement Model'!M127</f>
        <v>-755</v>
      </c>
      <c r="O23" s="80">
        <f>'3Statement Model'!N127</f>
        <v>-755</v>
      </c>
      <c r="P23" s="80">
        <f>'3Statement Model'!O127</f>
        <v>-755</v>
      </c>
      <c r="Q23" s="80">
        <f>'3Statement Model'!P127</f>
        <v>-755</v>
      </c>
      <c r="R23" s="80">
        <f>'3Statement Model'!Q127</f>
        <v>-755</v>
      </c>
      <c r="S23" s="80">
        <f>'3Statement Model'!R127</f>
        <v>-755</v>
      </c>
      <c r="T23" s="80">
        <f>'3Statement Model'!S127</f>
        <v>-755</v>
      </c>
    </row>
    <row r="24" spans="1:20">
      <c r="B24" s="39" t="s">
        <v>124</v>
      </c>
      <c r="C24" s="39"/>
      <c r="D24" s="39"/>
      <c r="E24" s="82">
        <f t="shared" ref="E24:J24" si="14">SUM(E17:E23)</f>
        <v>6231</v>
      </c>
      <c r="F24" s="82">
        <f t="shared" si="14"/>
        <v>5055</v>
      </c>
      <c r="G24" s="82">
        <f t="shared" si="14"/>
        <v>9788</v>
      </c>
      <c r="H24" s="82">
        <f t="shared" si="14"/>
        <v>10845</v>
      </c>
      <c r="I24" s="82">
        <f t="shared" si="14"/>
        <v>8189</v>
      </c>
      <c r="J24" s="82">
        <f t="shared" si="14"/>
        <v>10633</v>
      </c>
      <c r="K24" s="82">
        <f>SUM(K17:K23)</f>
        <v>5961.8024218449937</v>
      </c>
      <c r="L24" s="82">
        <f>SUM(L17:L23)</f>
        <v>9378.0479128496518</v>
      </c>
      <c r="M24" s="82">
        <f>SUM(M17:M23)</f>
        <v>10852.233424868975</v>
      </c>
      <c r="N24" s="82">
        <f>SUM(N17:N23)</f>
        <v>12069.313578822359</v>
      </c>
      <c r="O24" s="82">
        <f>SUM(O17:O23)</f>
        <v>13418.926836577599</v>
      </c>
      <c r="P24" s="82">
        <f t="shared" ref="P24:T24" si="15">SUM(P17:P23)</f>
        <v>14690.348299690515</v>
      </c>
      <c r="Q24" s="82">
        <f t="shared" si="15"/>
        <v>16127.928999620788</v>
      </c>
      <c r="R24" s="82">
        <f t="shared" si="15"/>
        <v>17639.183031659657</v>
      </c>
      <c r="S24" s="82">
        <f t="shared" si="15"/>
        <v>19190.232412203444</v>
      </c>
      <c r="T24" s="82">
        <f t="shared" si="15"/>
        <v>20770.743269435145</v>
      </c>
    </row>
    <row r="26" spans="1:20">
      <c r="B26" s="63" t="s">
        <v>130</v>
      </c>
      <c r="C26" s="63"/>
      <c r="D26" s="63"/>
      <c r="E26" s="63"/>
      <c r="F26" s="63"/>
      <c r="G26" s="63"/>
      <c r="K26">
        <f>IF($D$27="Yes",(K9-$J$9)/2,K9-$J$9)</f>
        <v>0.5</v>
      </c>
      <c r="L26">
        <f>K26+1</f>
        <v>1.5</v>
      </c>
      <c r="M26">
        <f t="shared" ref="M26:O26" si="16">L26+1</f>
        <v>2.5</v>
      </c>
      <c r="N26">
        <f t="shared" si="16"/>
        <v>3.5</v>
      </c>
      <c r="O26">
        <f t="shared" si="16"/>
        <v>4.5</v>
      </c>
      <c r="P26">
        <f t="shared" ref="P26" si="17">O26+1</f>
        <v>5.5</v>
      </c>
      <c r="Q26">
        <f t="shared" ref="Q26" si="18">P26+1</f>
        <v>6.5</v>
      </c>
      <c r="R26">
        <f t="shared" ref="R26" si="19">Q26+1</f>
        <v>7.5</v>
      </c>
      <c r="S26">
        <f t="shared" ref="S26" si="20">R26+1</f>
        <v>8.5</v>
      </c>
      <c r="T26">
        <f t="shared" ref="T26" si="21">S26+1</f>
        <v>9.5</v>
      </c>
    </row>
    <row r="27" spans="1:20">
      <c r="B27" s="63" t="s">
        <v>135</v>
      </c>
      <c r="C27" s="645" t="s">
        <v>131</v>
      </c>
      <c r="D27" s="55" t="s">
        <v>133</v>
      </c>
      <c r="E27" s="63"/>
      <c r="F27" s="63"/>
      <c r="G27" s="63"/>
    </row>
    <row r="28" spans="1:20">
      <c r="B28" s="63" t="s">
        <v>137</v>
      </c>
      <c r="C28" s="645" t="s">
        <v>136</v>
      </c>
      <c r="D28" s="646">
        <f>WACC!E24</f>
        <v>0.11</v>
      </c>
      <c r="E28" s="63"/>
      <c r="F28" s="63"/>
      <c r="G28" s="63"/>
      <c r="K28" s="45">
        <f>1/(1+$D$28)^K26</f>
        <v>0.94915799575249904</v>
      </c>
      <c r="L28" s="45">
        <f>1/(1+$D$28)^L26</f>
        <v>0.85509729347071961</v>
      </c>
      <c r="M28" s="45">
        <f>1/(1+$D$28)^M26</f>
        <v>0.77035792204569342</v>
      </c>
      <c r="N28" s="45">
        <f>1/(1+$D$28)^N26</f>
        <v>0.69401614598711103</v>
      </c>
      <c r="O28" s="45">
        <f>1/(1+$D$28)^O26</f>
        <v>0.62523977115955953</v>
      </c>
      <c r="P28" s="45">
        <f t="shared" ref="P28:T28" si="22">1/(1+$D$28)^P26</f>
        <v>0.56327907311672021</v>
      </c>
      <c r="Q28" s="45">
        <f t="shared" si="22"/>
        <v>0.50745862442947753</v>
      </c>
      <c r="R28" s="45">
        <f t="shared" si="22"/>
        <v>0.45716993191844818</v>
      </c>
      <c r="S28" s="45">
        <f t="shared" si="22"/>
        <v>0.41186480353013355</v>
      </c>
      <c r="T28" s="45">
        <f t="shared" si="22"/>
        <v>0.37104937254966985</v>
      </c>
    </row>
    <row r="29" spans="1:20" ht="15" thickBot="1">
      <c r="B29" s="53" t="s">
        <v>138</v>
      </c>
      <c r="C29" s="53"/>
      <c r="D29" s="53"/>
      <c r="E29" s="53"/>
      <c r="F29" s="53"/>
      <c r="G29" s="53"/>
      <c r="H29" s="49"/>
      <c r="I29" s="49"/>
      <c r="J29" s="49"/>
      <c r="K29" s="93">
        <f>K24*K28</f>
        <v>5658.692437790789</v>
      </c>
      <c r="L29" s="93">
        <f t="shared" ref="L29:O29" si="23">L24*L28</f>
        <v>8019.1433883164682</v>
      </c>
      <c r="M29" s="93">
        <f t="shared" si="23"/>
        <v>8360.1039907368831</v>
      </c>
      <c r="N29" s="93">
        <f t="shared" si="23"/>
        <v>8376.2984946842007</v>
      </c>
      <c r="O29" s="93">
        <f t="shared" si="23"/>
        <v>8390.0467445086506</v>
      </c>
      <c r="P29" s="93">
        <f t="shared" ref="P29:T29" si="24">P24*P28</f>
        <v>8274.7657740114591</v>
      </c>
      <c r="Q29" s="93">
        <f t="shared" si="24"/>
        <v>8184.2566650438448</v>
      </c>
      <c r="R29" s="93">
        <f t="shared" si="24"/>
        <v>8064.1041056808917</v>
      </c>
      <c r="S29" s="93">
        <f t="shared" si="24"/>
        <v>7903.7813021497723</v>
      </c>
      <c r="T29" s="93">
        <f t="shared" si="24"/>
        <v>7706.9712575141884</v>
      </c>
    </row>
    <row r="32" spans="1:20" ht="18">
      <c r="A32" t="s">
        <v>27</v>
      </c>
      <c r="B32" s="68" t="s">
        <v>141</v>
      </c>
      <c r="C32" s="68"/>
      <c r="D32" s="68"/>
      <c r="E32" s="68"/>
      <c r="F32" s="68"/>
      <c r="G32" s="68"/>
      <c r="H32" s="69"/>
      <c r="I32" s="70"/>
      <c r="J32" s="70"/>
      <c r="K32" s="70"/>
      <c r="L32" s="70"/>
      <c r="M32" s="70"/>
      <c r="N32" s="70"/>
      <c r="O32" s="70"/>
      <c r="P32" s="70"/>
      <c r="Q32" s="70"/>
      <c r="R32" s="70"/>
      <c r="S32" s="70"/>
      <c r="T32" s="70"/>
    </row>
    <row r="34" spans="2:7">
      <c r="B34" t="s">
        <v>142</v>
      </c>
      <c r="E34" s="442">
        <f>WACC!E7</f>
        <v>6.6790000000000002E-2</v>
      </c>
    </row>
    <row r="35" spans="2:7">
      <c r="B35" t="s">
        <v>143</v>
      </c>
      <c r="E35" s="56">
        <f>T24*(1+E34)</f>
        <v>22158.021212400716</v>
      </c>
    </row>
    <row r="36" spans="2:7">
      <c r="B36" s="39" t="s">
        <v>144</v>
      </c>
      <c r="C36" s="39"/>
      <c r="D36" s="39"/>
      <c r="E36" s="47">
        <f>E35/(D28-E34)</f>
        <v>512798.45434854703</v>
      </c>
      <c r="F36" s="20"/>
      <c r="G36" s="20"/>
    </row>
    <row r="37" spans="2:7">
      <c r="B37" t="s">
        <v>145</v>
      </c>
      <c r="E37" s="56">
        <f>E36*O28</f>
        <v>320621.98824786139</v>
      </c>
    </row>
    <row r="38" spans="2:7">
      <c r="B38" t="s">
        <v>146</v>
      </c>
      <c r="E38" s="78">
        <f>SUM(K29:T29)</f>
        <v>78938.164160437154</v>
      </c>
    </row>
    <row r="39" spans="2:7">
      <c r="B39" s="39" t="s">
        <v>147</v>
      </c>
      <c r="C39" s="39"/>
      <c r="D39" s="39"/>
      <c r="E39" s="47">
        <f>E37+E38</f>
        <v>399560.15240829857</v>
      </c>
      <c r="F39" s="20"/>
      <c r="G39" s="20"/>
    </row>
    <row r="40" spans="2:7">
      <c r="B40" t="s">
        <v>148</v>
      </c>
      <c r="E40" s="112">
        <f>E39/T13</f>
        <v>11.561479873984652</v>
      </c>
    </row>
    <row r="41" spans="2:7">
      <c r="B41" t="s">
        <v>149</v>
      </c>
      <c r="E41" s="112">
        <f>E39/J13</f>
        <v>26.904595812288637</v>
      </c>
    </row>
    <row r="43" spans="2:7">
      <c r="B43" s="99" t="s">
        <v>152</v>
      </c>
      <c r="C43" s="113"/>
      <c r="D43" s="113"/>
      <c r="E43" s="83">
        <f>-SUM('3Statement Model'!I61,'3Statement Model'!I70,'3Statement Model'!I71)</f>
        <v>-1648</v>
      </c>
      <c r="F43" s="113"/>
      <c r="G43" s="113"/>
    </row>
    <row r="44" spans="2:7">
      <c r="B44" s="99" t="s">
        <v>153</v>
      </c>
      <c r="C44" s="113"/>
      <c r="D44" s="113"/>
      <c r="E44" s="83">
        <f>'3Statement Model'!I102+'3Statement Model'!I103</f>
        <v>7554</v>
      </c>
      <c r="F44" s="113"/>
      <c r="G44" s="113"/>
    </row>
    <row r="45" spans="2:7">
      <c r="B45" s="99" t="s">
        <v>1019</v>
      </c>
      <c r="C45" s="113"/>
      <c r="D45" s="113"/>
      <c r="E45" s="83">
        <f>-'3Statement Model'!I56</f>
        <v>-207</v>
      </c>
      <c r="F45" s="113"/>
      <c r="G45" s="113"/>
    </row>
    <row r="46" spans="2:7">
      <c r="B46" s="99" t="s">
        <v>1016</v>
      </c>
      <c r="C46" s="113"/>
      <c r="D46" s="113"/>
      <c r="E46" s="83">
        <f>'3Statement Model'!I89+'3Statement Model'!I90+'3Statement Model'!I91</f>
        <v>909</v>
      </c>
      <c r="F46" s="113"/>
      <c r="G46" s="637"/>
    </row>
    <row r="47" spans="2:7">
      <c r="B47" s="39" t="s">
        <v>154</v>
      </c>
      <c r="C47" s="39"/>
      <c r="D47" s="39"/>
      <c r="E47" s="47">
        <f>SUM(E39,E43:E46)</f>
        <v>406168.15240829857</v>
      </c>
      <c r="F47" s="20"/>
      <c r="G47" s="20"/>
    </row>
    <row r="48" spans="2:7">
      <c r="B48" t="s">
        <v>1017</v>
      </c>
      <c r="C48" s="20"/>
      <c r="D48" s="20"/>
      <c r="E48" s="83">
        <f ca="1">-'Option value'!E28</f>
        <v>-81.716207593150102</v>
      </c>
      <c r="F48" s="20"/>
      <c r="G48" s="20"/>
    </row>
    <row r="49" spans="1:20" ht="15" thickBot="1">
      <c r="B49" s="53" t="s">
        <v>1273</v>
      </c>
      <c r="C49" s="53"/>
      <c r="D49" s="53"/>
      <c r="E49" s="50">
        <f ca="1">E47+E48</f>
        <v>406086.43620070542</v>
      </c>
      <c r="F49" s="20"/>
      <c r="G49" s="20"/>
    </row>
    <row r="50" spans="1:20">
      <c r="B50" t="s">
        <v>1272</v>
      </c>
      <c r="C50" s="20"/>
      <c r="D50" s="20"/>
      <c r="E50" s="58">
        <v>235</v>
      </c>
      <c r="F50" s="20"/>
      <c r="G50" s="20"/>
    </row>
    <row r="51" spans="1:20">
      <c r="B51" s="39" t="s">
        <v>1274</v>
      </c>
      <c r="C51" s="39"/>
      <c r="D51" s="39"/>
      <c r="E51" s="47">
        <f ca="1">E49/E50</f>
        <v>1728.0273880881082</v>
      </c>
      <c r="F51" s="20"/>
      <c r="G51" s="20"/>
    </row>
    <row r="53" spans="1:20" ht="18">
      <c r="A53" t="s">
        <v>27</v>
      </c>
      <c r="B53" s="68" t="s">
        <v>155</v>
      </c>
      <c r="C53" s="68"/>
      <c r="D53" s="68"/>
      <c r="E53" s="68"/>
      <c r="F53" s="68"/>
      <c r="G53" s="68"/>
      <c r="H53" s="69"/>
      <c r="I53" s="70"/>
      <c r="J53" s="70"/>
      <c r="K53" s="70"/>
      <c r="L53" s="70"/>
      <c r="M53" s="70"/>
      <c r="N53" s="70"/>
      <c r="O53" s="70"/>
      <c r="P53" s="70"/>
      <c r="Q53" s="70"/>
      <c r="R53" s="70"/>
      <c r="S53" s="70"/>
      <c r="T53" s="70"/>
    </row>
    <row r="55" spans="1:20">
      <c r="B55" t="s">
        <v>156</v>
      </c>
      <c r="E55" s="112">
        <v>26.9</v>
      </c>
    </row>
    <row r="56" spans="1:20">
      <c r="B56" t="s">
        <v>157</v>
      </c>
      <c r="E56" s="56">
        <f>T13</f>
        <v>34559.602815845283</v>
      </c>
    </row>
    <row r="57" spans="1:20">
      <c r="B57" s="39" t="s">
        <v>144</v>
      </c>
      <c r="C57" s="39"/>
      <c r="D57" s="39"/>
      <c r="E57" s="47">
        <f>E56*E55</f>
        <v>929653.31574623811</v>
      </c>
      <c r="F57" s="20"/>
      <c r="G57" s="20"/>
    </row>
    <row r="58" spans="1:20">
      <c r="B58" t="s">
        <v>145</v>
      </c>
      <c r="E58" s="56">
        <f>E57*T28</f>
        <v>344947.27949636173</v>
      </c>
    </row>
    <row r="59" spans="1:20">
      <c r="B59" t="s">
        <v>146</v>
      </c>
      <c r="E59" s="56">
        <f>SUM(K29:T29)</f>
        <v>78938.164160437154</v>
      </c>
    </row>
    <row r="60" spans="1:20">
      <c r="B60" s="39" t="s">
        <v>147</v>
      </c>
      <c r="C60" s="39"/>
      <c r="D60" s="39"/>
      <c r="E60" s="47">
        <f>E58+E59</f>
        <v>423885.44365679892</v>
      </c>
      <c r="F60" s="20"/>
      <c r="G60" s="20"/>
    </row>
    <row r="61" spans="1:20">
      <c r="B61" t="s">
        <v>148</v>
      </c>
      <c r="E61" s="112">
        <f>E39/T13</f>
        <v>11.561479873984652</v>
      </c>
    </row>
    <row r="62" spans="1:20">
      <c r="B62" t="s">
        <v>149</v>
      </c>
      <c r="E62" s="112">
        <f>E39/J13</f>
        <v>26.904595812288637</v>
      </c>
    </row>
    <row r="64" spans="1:20">
      <c r="B64" s="99" t="s">
        <v>152</v>
      </c>
      <c r="C64" s="113"/>
      <c r="D64" s="113"/>
      <c r="E64" s="83">
        <f>-SUM('3Statement Model'!I61,'3Statement Model'!I70,'3Statement Model'!I71)</f>
        <v>-1648</v>
      </c>
      <c r="F64" s="113"/>
      <c r="G64" s="113"/>
    </row>
    <row r="65" spans="1:20">
      <c r="B65" s="99" t="s">
        <v>153</v>
      </c>
      <c r="C65" s="113"/>
      <c r="D65" s="113"/>
      <c r="E65" s="83">
        <f>'3Statement Model'!I102+'3Statement Model'!I103</f>
        <v>7554</v>
      </c>
      <c r="F65" s="113"/>
      <c r="G65" s="113"/>
    </row>
    <row r="66" spans="1:20">
      <c r="B66" s="99" t="s">
        <v>1019</v>
      </c>
      <c r="C66" s="113"/>
      <c r="D66" s="113"/>
      <c r="E66" s="83">
        <f>-'3Statement Model'!I56</f>
        <v>-207</v>
      </c>
      <c r="F66" s="113"/>
      <c r="G66" s="113"/>
    </row>
    <row r="67" spans="1:20">
      <c r="B67" s="99" t="s">
        <v>1016</v>
      </c>
      <c r="C67" s="113"/>
      <c r="D67" s="113"/>
      <c r="E67" s="83">
        <f>'3Statement Model'!I89+'3Statement Model'!I90+'3Statement Model'!I91</f>
        <v>909</v>
      </c>
      <c r="F67" s="113"/>
      <c r="G67" s="113"/>
    </row>
    <row r="68" spans="1:20">
      <c r="B68" s="39" t="s">
        <v>154</v>
      </c>
      <c r="C68" s="39"/>
      <c r="D68" s="39"/>
      <c r="E68" s="47">
        <f>SUM(E60,E64:E67)</f>
        <v>430493.44365679892</v>
      </c>
      <c r="F68" s="20"/>
      <c r="G68" s="20"/>
    </row>
    <row r="69" spans="1:20">
      <c r="B69" t="s">
        <v>1017</v>
      </c>
      <c r="C69" s="20"/>
      <c r="D69" s="20"/>
      <c r="E69" s="83">
        <f ca="1">-'Option value'!E28</f>
        <v>-81.716207593150102</v>
      </c>
      <c r="F69" s="20"/>
      <c r="G69" s="20"/>
    </row>
    <row r="70" spans="1:20" ht="15" thickBot="1">
      <c r="B70" s="53" t="s">
        <v>1018</v>
      </c>
      <c r="C70" s="53"/>
      <c r="D70" s="53"/>
      <c r="E70" s="50">
        <f ca="1">E68+E69</f>
        <v>430411.72744920576</v>
      </c>
      <c r="F70" s="20"/>
      <c r="G70" s="20"/>
    </row>
    <row r="71" spans="1:20">
      <c r="B71" t="s">
        <v>1272</v>
      </c>
      <c r="C71" s="20"/>
      <c r="D71" s="20"/>
      <c r="E71" s="58">
        <v>235</v>
      </c>
      <c r="F71" s="20"/>
      <c r="G71" s="20"/>
      <c r="H71" s="391"/>
    </row>
    <row r="72" spans="1:20">
      <c r="B72" s="39" t="s">
        <v>1274</v>
      </c>
      <c r="C72" s="39"/>
      <c r="D72" s="39"/>
      <c r="E72" s="47">
        <f ca="1">E70/E71</f>
        <v>1831.5392657413011</v>
      </c>
      <c r="F72" s="20"/>
      <c r="G72" s="20"/>
      <c r="H72" s="391"/>
    </row>
    <row r="73" spans="1:20">
      <c r="B73" s="20"/>
      <c r="C73" s="20"/>
      <c r="D73" s="20"/>
      <c r="E73" s="20"/>
      <c r="F73" s="20"/>
      <c r="G73" s="20"/>
      <c r="H73" s="391"/>
    </row>
    <row r="74" spans="1:20" ht="18">
      <c r="A74" t="s">
        <v>27</v>
      </c>
      <c r="B74" s="68" t="s">
        <v>158</v>
      </c>
      <c r="C74" s="68"/>
      <c r="D74" s="68"/>
      <c r="E74" s="68"/>
      <c r="F74" s="68"/>
      <c r="G74" s="68"/>
      <c r="H74" s="69"/>
      <c r="I74" s="70"/>
      <c r="J74" s="70"/>
      <c r="K74" s="70"/>
      <c r="L74" s="70"/>
      <c r="M74" s="70"/>
      <c r="N74" s="70"/>
      <c r="O74" s="70"/>
      <c r="P74" s="70"/>
      <c r="Q74" s="70"/>
      <c r="R74" s="70"/>
      <c r="S74" s="70"/>
      <c r="T74" s="70"/>
    </row>
    <row r="77" spans="1:20">
      <c r="F77" s="716" t="s">
        <v>136</v>
      </c>
      <c r="G77" s="716"/>
      <c r="H77" s="716"/>
      <c r="I77" s="716"/>
      <c r="J77" s="716"/>
      <c r="K77" s="716"/>
      <c r="L77" s="20"/>
      <c r="M77" s="20"/>
      <c r="N77" s="20"/>
      <c r="O77" s="20"/>
    </row>
    <row r="78" spans="1:20">
      <c r="E78" s="114">
        <f ca="1">E49</f>
        <v>406086.43620070542</v>
      </c>
      <c r="F78" s="561">
        <v>8.5000000000000006E-2</v>
      </c>
      <c r="G78" s="474">
        <v>0.09</v>
      </c>
      <c r="H78" s="474">
        <v>0.1</v>
      </c>
      <c r="I78" s="474">
        <v>0.11</v>
      </c>
      <c r="J78" s="474">
        <v>0.12</v>
      </c>
      <c r="K78" s="474">
        <v>0.13</v>
      </c>
      <c r="L78" s="443"/>
      <c r="M78" s="443"/>
      <c r="N78" s="443"/>
      <c r="O78" s="443"/>
    </row>
    <row r="79" spans="1:20">
      <c r="D79" s="715" t="s">
        <v>1057</v>
      </c>
      <c r="E79" s="474">
        <v>0.03</v>
      </c>
      <c r="F79" s="647">
        <f t="dataTable" ref="F79:K84" dt2D="1" dtr="1" r1="D28" r2="E34" ca="1"/>
        <v>364821.68145175808</v>
      </c>
      <c r="G79" s="647">
        <v>335187.8547024813</v>
      </c>
      <c r="H79" s="647">
        <v>288250.26922267396</v>
      </c>
      <c r="I79" s="647">
        <v>252668.14309851223</v>
      </c>
      <c r="J79" s="647">
        <v>224706.51506881398</v>
      </c>
      <c r="K79" s="647">
        <v>202118.72043486557</v>
      </c>
      <c r="L79" s="443"/>
      <c r="M79" s="443"/>
      <c r="N79" s="443"/>
      <c r="O79" s="443"/>
    </row>
    <row r="80" spans="1:20">
      <c r="D80" s="715"/>
      <c r="E80" s="474">
        <v>0.04</v>
      </c>
      <c r="F80" s="648">
        <v>427898.93143655395</v>
      </c>
      <c r="G80" s="648">
        <v>386395.88136197516</v>
      </c>
      <c r="H80" s="648">
        <v>323676.77750186092</v>
      </c>
      <c r="I80" s="648">
        <v>278409.62737197848</v>
      </c>
      <c r="J80" s="648">
        <v>244108.96011365001</v>
      </c>
      <c r="K80" s="648">
        <v>217165.20265115667</v>
      </c>
      <c r="L80" s="443"/>
      <c r="M80" s="443"/>
      <c r="N80" s="443"/>
      <c r="O80" s="443"/>
    </row>
    <row r="81" spans="1:20">
      <c r="D81" s="715"/>
      <c r="E81" s="474">
        <v>0.05</v>
      </c>
      <c r="F81" s="648">
        <v>527020.32426980464</v>
      </c>
      <c r="G81" s="648">
        <v>463207.92135121592</v>
      </c>
      <c r="H81" s="648">
        <v>373273.88909272267</v>
      </c>
      <c r="I81" s="648">
        <v>312731.60640326684</v>
      </c>
      <c r="J81" s="648">
        <v>269054.96088558208</v>
      </c>
      <c r="K81" s="648">
        <v>235973.30542152055</v>
      </c>
      <c r="L81" s="443"/>
      <c r="M81" s="443"/>
      <c r="N81" s="443"/>
      <c r="O81" s="443"/>
    </row>
    <row r="82" spans="1:20">
      <c r="D82" s="715"/>
      <c r="E82" s="474">
        <v>0.06</v>
      </c>
      <c r="F82" s="648">
        <v>705438.83136965556</v>
      </c>
      <c r="G82" s="648">
        <v>591227.98799995054</v>
      </c>
      <c r="H82" s="648">
        <v>447669.55647901521</v>
      </c>
      <c r="I82" s="648">
        <v>360782.37704707048</v>
      </c>
      <c r="J82" s="648">
        <v>302316.2952481581</v>
      </c>
      <c r="K82" s="648">
        <v>260155.15184055979</v>
      </c>
      <c r="L82" s="443"/>
      <c r="M82" s="443"/>
      <c r="N82" s="443"/>
      <c r="O82" s="443"/>
    </row>
    <row r="83" spans="1:20">
      <c r="D83" s="715"/>
      <c r="E83" s="474">
        <v>7.0000000000000007E-2</v>
      </c>
      <c r="F83" s="648">
        <v>1121748.6812693081</v>
      </c>
      <c r="G83" s="648">
        <v>847268.12129742</v>
      </c>
      <c r="H83" s="648">
        <v>571662.33545616968</v>
      </c>
      <c r="I83" s="648">
        <v>432858.53301277611</v>
      </c>
      <c r="J83" s="648">
        <v>348882.16335576464</v>
      </c>
      <c r="K83" s="648">
        <v>292397.61373261217</v>
      </c>
      <c r="L83" s="443"/>
      <c r="M83" s="443"/>
      <c r="N83" s="443"/>
      <c r="O83" s="443"/>
    </row>
    <row r="84" spans="1:20">
      <c r="D84" s="715"/>
      <c r="E84" s="474">
        <v>0.08</v>
      </c>
      <c r="F84" s="648">
        <v>3203297.9307675678</v>
      </c>
      <c r="G84" s="648">
        <v>1615388.5211898277</v>
      </c>
      <c r="H84" s="648">
        <v>819647.89341047814</v>
      </c>
      <c r="I84" s="648">
        <v>552985.45962228533</v>
      </c>
      <c r="J84" s="648">
        <v>418730.96551717439</v>
      </c>
      <c r="K84" s="648">
        <v>337537.06038148544</v>
      </c>
      <c r="L84" s="443"/>
      <c r="M84" s="443"/>
      <c r="N84" s="443"/>
      <c r="O84" s="443"/>
    </row>
    <row r="85" spans="1:20">
      <c r="D85" s="473"/>
      <c r="E85" s="14"/>
      <c r="I85" s="443"/>
      <c r="J85" s="443"/>
      <c r="K85" s="443"/>
      <c r="L85" s="443"/>
      <c r="M85" s="443"/>
      <c r="N85" s="443"/>
      <c r="O85" s="443"/>
    </row>
    <row r="86" spans="1:20" ht="14.4" customHeight="1">
      <c r="B86" s="469"/>
      <c r="C86" s="389"/>
      <c r="D86" s="389"/>
      <c r="E86" s="389"/>
      <c r="F86" s="389"/>
      <c r="G86" s="389"/>
      <c r="H86" s="114"/>
      <c r="I86" s="205"/>
      <c r="J86" s="205"/>
      <c r="K86" s="205"/>
      <c r="L86" s="205"/>
      <c r="M86" s="205"/>
      <c r="N86" s="205"/>
      <c r="O86" s="426"/>
    </row>
    <row r="88" spans="1:20" ht="18">
      <c r="A88" t="s">
        <v>27</v>
      </c>
      <c r="B88" s="68" t="s">
        <v>159</v>
      </c>
      <c r="C88" s="68"/>
      <c r="D88" s="68"/>
      <c r="E88" s="68"/>
      <c r="F88" s="68"/>
      <c r="G88" s="68"/>
      <c r="H88" s="69"/>
      <c r="I88" s="70"/>
      <c r="J88" s="70"/>
      <c r="K88" s="70"/>
      <c r="L88" s="70"/>
      <c r="M88" s="70"/>
      <c r="N88" s="70"/>
      <c r="O88" s="70"/>
      <c r="P88" s="70"/>
      <c r="Q88" s="70"/>
      <c r="R88" s="70"/>
      <c r="S88" s="70"/>
      <c r="T88" s="70"/>
    </row>
    <row r="91" spans="1:20">
      <c r="I91" s="716"/>
      <c r="J91" s="716"/>
      <c r="K91" s="716"/>
      <c r="L91" s="716"/>
      <c r="M91" s="716"/>
      <c r="N91" s="716"/>
      <c r="O91" s="716"/>
    </row>
    <row r="92" spans="1:20">
      <c r="B92" s="714"/>
      <c r="C92" s="389"/>
      <c r="F92" s="716" t="s">
        <v>136</v>
      </c>
      <c r="G92" s="716"/>
      <c r="H92" s="716"/>
      <c r="I92" s="716"/>
      <c r="J92" s="716"/>
      <c r="K92" s="716"/>
      <c r="L92" s="472"/>
      <c r="M92" s="472"/>
      <c r="N92" s="472"/>
      <c r="O92" s="472"/>
    </row>
    <row r="93" spans="1:20">
      <c r="B93" s="714"/>
      <c r="C93" s="389"/>
      <c r="E93" s="114">
        <f ca="1">E70</f>
        <v>430411.72744920576</v>
      </c>
      <c r="F93" s="474">
        <v>0.08</v>
      </c>
      <c r="G93" s="474">
        <v>0.09</v>
      </c>
      <c r="H93" s="474">
        <v>0.1</v>
      </c>
      <c r="I93" s="474">
        <v>0.11</v>
      </c>
      <c r="J93" s="474">
        <v>0.12</v>
      </c>
      <c r="K93" s="474">
        <v>0.13</v>
      </c>
      <c r="L93" s="78"/>
      <c r="M93" s="78"/>
      <c r="N93" s="78"/>
      <c r="O93" s="78"/>
    </row>
    <row r="94" spans="1:20">
      <c r="B94" s="714"/>
      <c r="C94" s="389"/>
      <c r="D94" s="715" t="s">
        <v>156</v>
      </c>
      <c r="E94" s="649">
        <v>28</v>
      </c>
      <c r="F94" s="56">
        <f t="dataTable" ref="F94:K99" dt2D="1" dtr="1" r1="D28" r2="E55" ca="1"/>
        <v>563362.2950290459</v>
      </c>
      <c r="G94" s="56">
        <v>519993.16112924967</v>
      </c>
      <c r="H94" s="56">
        <v>480505.46645486855</v>
      </c>
      <c r="I94" s="56">
        <v>444517.37828362948</v>
      </c>
      <c r="J94" s="56">
        <v>411687.7502921017</v>
      </c>
      <c r="K94" s="56">
        <v>381711.46804749197</v>
      </c>
      <c r="L94" s="78"/>
      <c r="M94" s="78"/>
      <c r="N94" s="78"/>
      <c r="O94" s="78"/>
    </row>
    <row r="95" spans="1:20">
      <c r="B95" s="714"/>
      <c r="C95" s="389"/>
      <c r="D95" s="715"/>
      <c r="E95" s="649">
        <v>29</v>
      </c>
      <c r="F95" s="56">
        <v>579998.07108668389</v>
      </c>
      <c r="G95" s="56">
        <v>535234.28568041523</v>
      </c>
      <c r="H95" s="56">
        <v>494480.02938086819</v>
      </c>
      <c r="I95" s="56">
        <v>457340.69722401473</v>
      </c>
      <c r="J95" s="56">
        <v>423463.74297767348</v>
      </c>
      <c r="K95" s="56">
        <v>392533.86674999783</v>
      </c>
      <c r="L95" s="78"/>
      <c r="M95" s="78"/>
      <c r="N95" s="78"/>
      <c r="O95" s="78"/>
    </row>
    <row r="96" spans="1:20">
      <c r="B96" s="714"/>
      <c r="C96" s="389"/>
      <c r="D96" s="715"/>
      <c r="E96" s="649">
        <v>30</v>
      </c>
      <c r="F96" s="56">
        <v>596633.84714432177</v>
      </c>
      <c r="G96" s="56">
        <v>550475.41023158072</v>
      </c>
      <c r="H96" s="56">
        <v>508454.59230686782</v>
      </c>
      <c r="I96" s="482">
        <v>470164.01616439986</v>
      </c>
      <c r="J96" s="56">
        <v>435239.73566324526</v>
      </c>
      <c r="K96" s="56">
        <v>403356.26545250375</v>
      </c>
      <c r="L96" s="78"/>
      <c r="M96" s="78"/>
      <c r="N96" s="78"/>
      <c r="O96" s="78"/>
    </row>
    <row r="97" spans="2:15">
      <c r="B97" s="714"/>
      <c r="C97" s="389"/>
      <c r="D97" s="715"/>
      <c r="E97" s="649">
        <v>31</v>
      </c>
      <c r="F97" s="56">
        <v>613269.62320195965</v>
      </c>
      <c r="G97" s="56">
        <v>565716.53478274622</v>
      </c>
      <c r="H97" s="56">
        <v>522429.15523286752</v>
      </c>
      <c r="I97" s="56">
        <v>482987.3351047851</v>
      </c>
      <c r="J97" s="56">
        <v>447015.72834881704</v>
      </c>
      <c r="K97" s="56">
        <v>414178.66415500961</v>
      </c>
      <c r="L97" s="78"/>
      <c r="M97" s="78"/>
      <c r="N97" s="78"/>
      <c r="O97" s="78"/>
    </row>
    <row r="98" spans="2:15">
      <c r="B98" s="714"/>
      <c r="C98" s="389"/>
      <c r="D98" s="715"/>
      <c r="E98" s="649">
        <v>32</v>
      </c>
      <c r="F98" s="56">
        <v>629905.39925959765</v>
      </c>
      <c r="G98" s="56">
        <v>580957.65933391161</v>
      </c>
      <c r="H98" s="56">
        <v>536403.71815886721</v>
      </c>
      <c r="I98" s="56">
        <v>495810.65404517023</v>
      </c>
      <c r="J98" s="56">
        <v>458791.72103438881</v>
      </c>
      <c r="K98" s="56">
        <v>425001.06285751553</v>
      </c>
      <c r="L98" s="78"/>
      <c r="M98" s="78"/>
      <c r="N98" s="78"/>
      <c r="O98" s="78"/>
    </row>
    <row r="99" spans="2:15">
      <c r="D99" s="715"/>
      <c r="E99" s="649">
        <v>33</v>
      </c>
      <c r="F99" s="56">
        <v>646541.17531723564</v>
      </c>
      <c r="G99" s="56">
        <v>596198.78388507711</v>
      </c>
      <c r="H99" s="56">
        <v>550378.28108486685</v>
      </c>
      <c r="I99" s="56">
        <v>508633.97298555548</v>
      </c>
      <c r="J99" s="56">
        <v>470567.71371996059</v>
      </c>
      <c r="K99" s="56">
        <v>435823.46156002139</v>
      </c>
    </row>
  </sheetData>
  <mergeCells count="9">
    <mergeCell ref="I4:J4"/>
    <mergeCell ref="B92:B98"/>
    <mergeCell ref="K8:O8"/>
    <mergeCell ref="P8:T8"/>
    <mergeCell ref="D79:D84"/>
    <mergeCell ref="F77:K77"/>
    <mergeCell ref="F92:K92"/>
    <mergeCell ref="D94:D99"/>
    <mergeCell ref="I91:O91"/>
  </mergeCells>
  <dataValidations count="1">
    <dataValidation type="list" allowBlank="1" showInputMessage="1" showErrorMessage="1" sqref="D27" xr:uid="{4F47AC26-D129-4650-828B-BC232CA888B3}">
      <formula1>$U$3:$U$4</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1" r:id="rId3" name="Drop Down 1">
              <controlPr defaultSize="0" autoLine="0" autoPict="0">
                <anchor moveWithCells="1">
                  <from>
                    <xdr:col>10</xdr:col>
                    <xdr:colOff>30480</xdr:colOff>
                    <xdr:row>2</xdr:row>
                    <xdr:rowOff>220980</xdr:rowOff>
                  </from>
                  <to>
                    <xdr:col>11</xdr:col>
                    <xdr:colOff>541020</xdr:colOff>
                    <xdr:row>4</xdr:row>
                    <xdr:rowOff>15240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4C4D-35A0-4DFE-B558-C8699A85693B}">
  <sheetPr>
    <tabColor rgb="FF002060"/>
  </sheetPr>
  <dimension ref="D4:N21"/>
  <sheetViews>
    <sheetView showGridLines="0" workbookViewId="0">
      <selection activeCell="J3" sqref="J3"/>
    </sheetView>
  </sheetViews>
  <sheetFormatPr defaultRowHeight="14.4"/>
  <cols>
    <col min="1" max="3" width="8.88671875" style="727"/>
    <col min="4" max="4" width="11.6640625" style="727" bestFit="1" customWidth="1"/>
    <col min="5" max="6" width="8.88671875" style="727"/>
    <col min="7" max="7" width="10.44140625" style="727" bestFit="1" customWidth="1"/>
    <col min="8" max="8" width="9.77734375" style="727" bestFit="1" customWidth="1"/>
    <col min="9" max="9" width="14.6640625" style="727" bestFit="1" customWidth="1"/>
    <col min="10" max="10" width="20.21875" style="727" bestFit="1" customWidth="1"/>
    <col min="11" max="16384" width="8.88671875" style="727"/>
  </cols>
  <sheetData>
    <row r="4" spans="4:14">
      <c r="D4" s="729"/>
      <c r="E4" s="729"/>
      <c r="F4" s="729"/>
      <c r="G4" s="729"/>
      <c r="H4" s="729"/>
      <c r="I4" s="729"/>
      <c r="J4" s="729"/>
      <c r="K4" s="729"/>
    </row>
    <row r="5" spans="4:14">
      <c r="D5" s="729"/>
      <c r="E5" s="726"/>
      <c r="F5" s="726"/>
      <c r="G5" s="726"/>
      <c r="H5" s="726"/>
      <c r="I5" s="726"/>
      <c r="J5" s="734"/>
      <c r="K5" s="735"/>
    </row>
    <row r="6" spans="4:14">
      <c r="D6" s="729"/>
      <c r="E6" s="726"/>
      <c r="F6" s="726"/>
      <c r="G6" s="726"/>
      <c r="H6" s="726"/>
      <c r="I6" s="726"/>
      <c r="J6" s="734"/>
      <c r="K6" s="735"/>
    </row>
    <row r="7" spans="4:14">
      <c r="D7" s="729"/>
      <c r="E7" s="726"/>
      <c r="F7" s="726"/>
      <c r="G7" s="726"/>
      <c r="H7" s="726"/>
      <c r="I7" s="726"/>
      <c r="J7" s="734"/>
      <c r="K7" s="735"/>
    </row>
    <row r="8" spans="4:14">
      <c r="D8" s="729"/>
      <c r="E8" s="726"/>
      <c r="F8" s="726"/>
      <c r="G8" s="726"/>
      <c r="H8" s="726"/>
      <c r="I8" s="726"/>
      <c r="J8" s="734"/>
      <c r="K8" s="736"/>
    </row>
    <row r="9" spans="4:14">
      <c r="K9" s="737"/>
    </row>
    <row r="11" spans="4:14">
      <c r="E11" s="730" t="s">
        <v>1344</v>
      </c>
      <c r="F11" s="730"/>
      <c r="G11" s="730"/>
      <c r="H11" s="730"/>
      <c r="I11" s="730"/>
      <c r="J11" s="730"/>
      <c r="K11" s="730"/>
      <c r="L11" s="730"/>
      <c r="M11" s="730"/>
      <c r="N11" s="730"/>
    </row>
    <row r="12" spans="4:14">
      <c r="E12" s="730"/>
      <c r="F12" s="730"/>
      <c r="G12" s="730"/>
      <c r="H12" s="730"/>
      <c r="I12" s="730"/>
      <c r="J12" s="730"/>
      <c r="K12" s="730"/>
      <c r="L12" s="730"/>
      <c r="M12" s="730"/>
      <c r="N12" s="730"/>
    </row>
    <row r="13" spans="4:14">
      <c r="E13" s="730"/>
      <c r="F13" s="730"/>
      <c r="G13" s="730"/>
      <c r="H13" s="730"/>
      <c r="I13" s="730"/>
      <c r="J13" s="730"/>
      <c r="K13" s="730"/>
      <c r="L13" s="730"/>
      <c r="M13" s="730"/>
      <c r="N13" s="730"/>
    </row>
    <row r="14" spans="4:14">
      <c r="E14" s="730"/>
      <c r="F14" s="730"/>
      <c r="G14" s="730"/>
      <c r="H14" s="730"/>
      <c r="I14" s="730"/>
      <c r="J14" s="730"/>
      <c r="K14" s="730"/>
      <c r="L14" s="730"/>
      <c r="M14" s="730"/>
      <c r="N14" s="730"/>
    </row>
    <row r="15" spans="4:14">
      <c r="E15" s="730"/>
      <c r="F15" s="730"/>
      <c r="G15" s="730"/>
      <c r="H15" s="730"/>
      <c r="I15" s="730"/>
      <c r="J15" s="730"/>
      <c r="K15" s="730"/>
      <c r="L15" s="730"/>
      <c r="M15" s="730"/>
      <c r="N15" s="730"/>
    </row>
    <row r="16" spans="4:14">
      <c r="E16" s="730"/>
      <c r="F16" s="730"/>
      <c r="G16" s="730"/>
      <c r="H16" s="730"/>
      <c r="I16" s="730"/>
      <c r="J16" s="730"/>
      <c r="K16" s="730"/>
      <c r="L16" s="730"/>
      <c r="M16" s="730"/>
      <c r="N16" s="730"/>
    </row>
    <row r="17" spans="5:14">
      <c r="E17" s="730"/>
      <c r="F17" s="730"/>
      <c r="G17" s="730"/>
      <c r="H17" s="730"/>
      <c r="I17" s="730"/>
      <c r="J17" s="730"/>
      <c r="K17" s="730"/>
      <c r="L17" s="730"/>
      <c r="M17" s="730"/>
      <c r="N17" s="730"/>
    </row>
    <row r="18" spans="5:14">
      <c r="E18" s="730"/>
      <c r="F18" s="730"/>
      <c r="G18" s="730"/>
      <c r="H18" s="730"/>
      <c r="I18" s="730"/>
      <c r="J18" s="730"/>
      <c r="K18" s="730"/>
      <c r="L18" s="730"/>
      <c r="M18" s="730"/>
      <c r="N18" s="730"/>
    </row>
    <row r="19" spans="5:14">
      <c r="E19" s="730"/>
      <c r="F19" s="730"/>
      <c r="G19" s="730"/>
      <c r="H19" s="730"/>
      <c r="I19" s="730"/>
      <c r="J19" s="730"/>
      <c r="K19" s="730"/>
      <c r="L19" s="730"/>
      <c r="M19" s="730"/>
      <c r="N19" s="730"/>
    </row>
    <row r="20" spans="5:14">
      <c r="E20" s="730"/>
      <c r="F20" s="730"/>
      <c r="G20" s="730"/>
      <c r="H20" s="730"/>
      <c r="I20" s="730"/>
      <c r="J20" s="730"/>
      <c r="K20" s="730"/>
      <c r="L20" s="730"/>
      <c r="M20" s="730"/>
      <c r="N20" s="730"/>
    </row>
    <row r="21" spans="5:14" ht="59.4">
      <c r="E21" s="730"/>
      <c r="F21" s="730"/>
      <c r="G21" s="730"/>
      <c r="H21" s="730"/>
      <c r="I21" s="730"/>
      <c r="J21" s="730"/>
      <c r="K21" s="730"/>
      <c r="L21" s="730"/>
      <c r="M21" s="730"/>
      <c r="N21" s="730"/>
    </row>
  </sheetData>
  <mergeCells count="2">
    <mergeCell ref="E11:N20"/>
    <mergeCell ref="E21:N2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ED7E-72F5-4F8D-B250-BDE7E315DF71}">
  <dimension ref="B2:F15"/>
  <sheetViews>
    <sheetView showGridLines="0" zoomScaleNormal="100" workbookViewId="0">
      <selection activeCell="D10" sqref="D10"/>
    </sheetView>
  </sheetViews>
  <sheetFormatPr defaultColWidth="8.6640625" defaultRowHeight="14.4"/>
  <cols>
    <col min="1" max="1" width="1.88671875" style="564" customWidth="1"/>
    <col min="2" max="2" width="23.88671875" style="564" bestFit="1" customWidth="1"/>
    <col min="3" max="3" width="12.88671875" style="564" bestFit="1" customWidth="1"/>
    <col min="4" max="4" width="72.88671875" style="564" bestFit="1" customWidth="1"/>
    <col min="5" max="5" width="38.88671875" style="564" bestFit="1" customWidth="1"/>
    <col min="6" max="6" width="45.5546875" style="564" bestFit="1" customWidth="1"/>
    <col min="7" max="16384" width="8.6640625" style="564"/>
  </cols>
  <sheetData>
    <row r="2" spans="2:6" ht="15" customHeight="1">
      <c r="B2" s="571" t="str">
        <f>'Input Sheet'!C6</f>
        <v>Hindustan Unilever Ltd.</v>
      </c>
    </row>
    <row r="3" spans="2:6" ht="15" customHeight="1">
      <c r="B3" s="563"/>
    </row>
    <row r="4" spans="2:6" ht="14.25" customHeight="1">
      <c r="B4" s="569" t="s">
        <v>1120</v>
      </c>
    </row>
    <row r="5" spans="2:6" ht="14.25" customHeight="1">
      <c r="B5" s="569"/>
    </row>
    <row r="7" spans="2:6" ht="14.25" customHeight="1">
      <c r="B7" s="396" t="s">
        <v>1121</v>
      </c>
      <c r="C7" s="396" t="s">
        <v>977</v>
      </c>
      <c r="D7" s="396" t="s">
        <v>1122</v>
      </c>
      <c r="E7" s="396" t="s">
        <v>1123</v>
      </c>
      <c r="F7" s="396" t="s">
        <v>1124</v>
      </c>
    </row>
    <row r="8" spans="2:6" ht="34.5" customHeight="1">
      <c r="B8" s="572" t="s">
        <v>1125</v>
      </c>
      <c r="C8" s="573" t="s">
        <v>1126</v>
      </c>
      <c r="D8" s="574" t="s">
        <v>1127</v>
      </c>
      <c r="E8" s="574" t="s">
        <v>1128</v>
      </c>
      <c r="F8" s="575" t="s">
        <v>1129</v>
      </c>
    </row>
    <row r="9" spans="2:6" ht="34.5" customHeight="1">
      <c r="B9" s="576" t="s">
        <v>1130</v>
      </c>
      <c r="C9" s="577" t="s">
        <v>1131</v>
      </c>
      <c r="D9" s="578" t="s">
        <v>1132</v>
      </c>
      <c r="E9" s="578" t="s">
        <v>1133</v>
      </c>
      <c r="F9" s="579" t="s">
        <v>1134</v>
      </c>
    </row>
    <row r="10" spans="2:6" ht="34.5" customHeight="1">
      <c r="B10" s="576" t="s">
        <v>1116</v>
      </c>
      <c r="C10" s="577" t="s">
        <v>1135</v>
      </c>
      <c r="D10" s="578" t="s">
        <v>1136</v>
      </c>
      <c r="E10" s="578" t="s">
        <v>1137</v>
      </c>
      <c r="F10" s="579" t="s">
        <v>1138</v>
      </c>
    </row>
    <row r="11" spans="2:6" ht="34.5" customHeight="1">
      <c r="B11" s="576" t="s">
        <v>1117</v>
      </c>
      <c r="C11" s="577" t="s">
        <v>1139</v>
      </c>
      <c r="D11" s="578" t="s">
        <v>1140</v>
      </c>
      <c r="E11" s="578" t="s">
        <v>1141</v>
      </c>
      <c r="F11" s="579" t="s">
        <v>1142</v>
      </c>
    </row>
    <row r="12" spans="2:6" ht="34.5" customHeight="1">
      <c r="B12" s="576" t="s">
        <v>1143</v>
      </c>
      <c r="C12" s="577" t="s">
        <v>1144</v>
      </c>
      <c r="D12" s="578" t="s">
        <v>1145</v>
      </c>
      <c r="E12" s="578" t="s">
        <v>1146</v>
      </c>
      <c r="F12" s="579" t="s">
        <v>1147</v>
      </c>
    </row>
    <row r="13" spans="2:6" ht="34.5" customHeight="1">
      <c r="B13" s="576" t="s">
        <v>1148</v>
      </c>
      <c r="C13" s="577" t="s">
        <v>1149</v>
      </c>
      <c r="D13" s="578" t="s">
        <v>1150</v>
      </c>
      <c r="E13" s="578" t="s">
        <v>1151</v>
      </c>
      <c r="F13" s="579" t="s">
        <v>1152</v>
      </c>
    </row>
    <row r="15" spans="2:6" ht="14.25" customHeight="1">
      <c r="B15" s="567" t="s">
        <v>1153</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63CD-6973-4657-8FFA-83960E08AEF7}">
  <dimension ref="B2:I76"/>
  <sheetViews>
    <sheetView showGridLines="0" topLeftCell="B4" zoomScaleNormal="100" workbookViewId="0">
      <selection activeCell="E9" sqref="E9"/>
    </sheetView>
  </sheetViews>
  <sheetFormatPr defaultColWidth="8.6640625" defaultRowHeight="14.4"/>
  <cols>
    <col min="1" max="1" width="1.88671875" style="580" customWidth="1"/>
    <col min="2" max="2" width="32" style="580" customWidth="1"/>
    <col min="3" max="3" width="18" style="580" bestFit="1" customWidth="1"/>
    <col min="4" max="4" width="21.5546875" style="580" bestFit="1" customWidth="1"/>
    <col min="5" max="5" width="21.33203125" style="580" bestFit="1" customWidth="1"/>
    <col min="6" max="6" width="8.6640625" style="580"/>
    <col min="7" max="7" width="33.44140625" style="580" bestFit="1" customWidth="1"/>
    <col min="8" max="8" width="21.109375" style="580" bestFit="1" customWidth="1"/>
    <col min="9" max="10" width="16" style="580" customWidth="1"/>
    <col min="11" max="16384" width="8.6640625" style="580"/>
  </cols>
  <sheetData>
    <row r="2" spans="2:8" ht="15" customHeight="1">
      <c r="B2" s="571" t="str">
        <f>'Input Sheet'!C6</f>
        <v>Hindustan Unilever Ltd.</v>
      </c>
    </row>
    <row r="3" spans="2:8" ht="15" customHeight="1">
      <c r="B3" s="571"/>
    </row>
    <row r="4" spans="2:8" ht="15" customHeight="1">
      <c r="B4" s="568" t="s">
        <v>1154</v>
      </c>
    </row>
    <row r="5" spans="2:8" ht="15" customHeight="1">
      <c r="B5" s="570"/>
    </row>
    <row r="7" spans="2:8" ht="27" customHeight="1">
      <c r="B7" s="720" t="s">
        <v>1155</v>
      </c>
      <c r="C7" s="721"/>
      <c r="D7" s="721"/>
      <c r="E7" s="722"/>
      <c r="G7" s="717" t="s">
        <v>1156</v>
      </c>
      <c r="H7" s="718"/>
    </row>
    <row r="8" spans="2:8" ht="25.2" customHeight="1">
      <c r="B8" s="601" t="s">
        <v>1157</v>
      </c>
      <c r="C8" s="602" t="s">
        <v>1158</v>
      </c>
      <c r="D8" s="602" t="s">
        <v>1159</v>
      </c>
      <c r="E8" s="602" t="s">
        <v>1160</v>
      </c>
      <c r="G8" s="600" t="s">
        <v>1157</v>
      </c>
      <c r="H8" s="603" t="s">
        <v>1161</v>
      </c>
    </row>
    <row r="9" spans="2:8" ht="15" customHeight="1">
      <c r="B9" s="587" t="s">
        <v>1162</v>
      </c>
      <c r="C9" s="589">
        <v>9.7000000000000003E-2</v>
      </c>
      <c r="D9" s="589">
        <v>2.1000000000000001E-2</v>
      </c>
      <c r="E9" s="589">
        <v>0.02</v>
      </c>
      <c r="G9" s="587" t="s">
        <v>1162</v>
      </c>
      <c r="H9" s="589">
        <v>0.23499999999999999</v>
      </c>
    </row>
    <row r="10" spans="2:8" ht="15" customHeight="1">
      <c r="B10" s="588" t="s">
        <v>1163</v>
      </c>
      <c r="C10" s="590">
        <v>7.6999999999999999E-2</v>
      </c>
      <c r="D10" s="590">
        <v>7.6999999999999999E-2</v>
      </c>
      <c r="E10" s="590">
        <v>7.0000000000000007E-2</v>
      </c>
      <c r="G10" s="588" t="s">
        <v>1163</v>
      </c>
      <c r="H10" s="590">
        <v>0.2</v>
      </c>
    </row>
    <row r="11" spans="2:8" ht="15" customHeight="1">
      <c r="B11" s="588" t="s">
        <v>1164</v>
      </c>
      <c r="C11" s="590">
        <v>8.2000000000000003E-2</v>
      </c>
      <c r="D11" s="590">
        <v>8.2000000000000003E-2</v>
      </c>
      <c r="E11" s="590">
        <v>0.12</v>
      </c>
      <c r="G11" s="588" t="s">
        <v>1164</v>
      </c>
      <c r="H11" s="590">
        <v>0.17399999999999999</v>
      </c>
    </row>
    <row r="12" spans="2:8" ht="15" customHeight="1">
      <c r="B12" s="588" t="s">
        <v>1116</v>
      </c>
      <c r="C12" s="590">
        <v>0.09</v>
      </c>
      <c r="D12" s="590">
        <v>0.09</v>
      </c>
      <c r="E12" s="590">
        <v>0.15</v>
      </c>
      <c r="G12" s="588" t="s">
        <v>1116</v>
      </c>
      <c r="H12" s="590">
        <v>0.216</v>
      </c>
    </row>
    <row r="13" spans="2:8" ht="15" customHeight="1">
      <c r="B13" s="588" t="s">
        <v>1117</v>
      </c>
      <c r="C13" s="590">
        <v>0.15</v>
      </c>
      <c r="D13" s="590">
        <v>0.15</v>
      </c>
      <c r="E13" s="590">
        <v>0.2</v>
      </c>
      <c r="G13" s="588" t="s">
        <v>1117</v>
      </c>
      <c r="H13" s="590">
        <v>0.15</v>
      </c>
    </row>
    <row r="14" spans="2:8" ht="15" customHeight="1">
      <c r="B14" s="588" t="s">
        <v>1165</v>
      </c>
      <c r="C14" s="590">
        <v>0.10299999999999999</v>
      </c>
      <c r="D14" s="590">
        <v>0.10299999999999999</v>
      </c>
      <c r="E14" s="590">
        <v>0.08</v>
      </c>
      <c r="G14" s="588" t="s">
        <v>1165</v>
      </c>
      <c r="H14" s="590">
        <v>0.24</v>
      </c>
    </row>
    <row r="15" spans="2:8" ht="15" customHeight="1">
      <c r="B15" s="588" t="s">
        <v>1148</v>
      </c>
      <c r="C15" s="590">
        <v>9.0999999999999998E-2</v>
      </c>
      <c r="D15" s="590">
        <v>9.0999999999999998E-2</v>
      </c>
      <c r="E15" s="590">
        <v>0.12</v>
      </c>
      <c r="G15" s="588" t="s">
        <v>1148</v>
      </c>
      <c r="H15" s="590">
        <v>0.2</v>
      </c>
    </row>
    <row r="16" spans="2:8" ht="15" customHeight="1">
      <c r="B16" s="586"/>
      <c r="C16" s="591"/>
      <c r="D16" s="591"/>
      <c r="E16" s="591"/>
      <c r="G16" s="586"/>
      <c r="H16" s="591"/>
    </row>
    <row r="17" spans="2:8" ht="15" customHeight="1">
      <c r="B17" s="592" t="s">
        <v>1166</v>
      </c>
      <c r="C17" s="593">
        <f ca="1">AVERAGE(C11:C17)</f>
        <v>0.10319999999999997</v>
      </c>
      <c r="D17" s="593">
        <f ca="1">AVERAGE(D11:D17)</f>
        <v>0.10319999999999997</v>
      </c>
      <c r="E17" s="593">
        <f ca="1">AVERAGE(E11:E17)</f>
        <v>0.13400000000000001</v>
      </c>
      <c r="G17" s="592" t="s">
        <v>1166</v>
      </c>
      <c r="H17" s="593">
        <f ca="1">AVERAGE(H11:H17)</f>
        <v>0.19599999999999998</v>
      </c>
    </row>
    <row r="18" spans="2:8" ht="15" customHeight="1">
      <c r="B18" s="592" t="s">
        <v>1167</v>
      </c>
      <c r="C18" s="593">
        <f ca="1">MEDIAN(C11:C17)</f>
        <v>9.7000000000000003E-2</v>
      </c>
      <c r="D18" s="593">
        <f ca="1">MEDIAN(D11:D17)</f>
        <v>9.7000000000000003E-2</v>
      </c>
      <c r="E18" s="593">
        <f ca="1">MEDIAN(E11:E17)</f>
        <v>0.127</v>
      </c>
      <c r="G18" s="592" t="s">
        <v>1167</v>
      </c>
      <c r="H18" s="593">
        <f ca="1">MEDIAN(H11:H17)</f>
        <v>0.19800000000000001</v>
      </c>
    </row>
    <row r="19" spans="2:8" ht="15" customHeight="1">
      <c r="G19" s="592" t="s">
        <v>1168</v>
      </c>
      <c r="H19" s="593">
        <f ca="1">IF(H18=0,0,(H9-H18)/H18)</f>
        <v>0.18686868686868674</v>
      </c>
    </row>
    <row r="20" spans="2:8" ht="15" customHeight="1">
      <c r="G20" s="583"/>
      <c r="H20" s="584"/>
    </row>
    <row r="21" spans="2:8" ht="15" customHeight="1">
      <c r="G21" s="583"/>
      <c r="H21" s="584"/>
    </row>
    <row r="22" spans="2:8" ht="15" customHeight="1">
      <c r="B22" s="717" t="s">
        <v>1169</v>
      </c>
      <c r="C22" s="718"/>
      <c r="G22" s="717" t="s">
        <v>1170</v>
      </c>
      <c r="H22" s="718"/>
    </row>
    <row r="23" spans="2:8" ht="15" customHeight="1">
      <c r="B23" s="600" t="s">
        <v>1157</v>
      </c>
      <c r="C23" s="603" t="s">
        <v>1171</v>
      </c>
      <c r="G23" s="600" t="s">
        <v>1157</v>
      </c>
      <c r="H23" s="603" t="s">
        <v>1172</v>
      </c>
    </row>
    <row r="24" spans="2:8" ht="15" customHeight="1">
      <c r="B24" s="587" t="s">
        <v>1162</v>
      </c>
      <c r="C24" s="589">
        <v>0.16</v>
      </c>
      <c r="G24" s="587" t="s">
        <v>1162</v>
      </c>
      <c r="H24" s="589">
        <v>0.20699999999999999</v>
      </c>
    </row>
    <row r="25" spans="2:8" ht="15" customHeight="1">
      <c r="B25" s="588" t="s">
        <v>1163</v>
      </c>
      <c r="C25" s="590">
        <v>0.14000000000000001</v>
      </c>
      <c r="G25" s="588" t="s">
        <v>1163</v>
      </c>
      <c r="H25" s="590">
        <v>0.17</v>
      </c>
    </row>
    <row r="26" spans="2:8" ht="15" customHeight="1">
      <c r="B26" s="588" t="s">
        <v>1164</v>
      </c>
      <c r="C26" s="590">
        <v>0.13500000000000001</v>
      </c>
      <c r="G26" s="588" t="s">
        <v>1164</v>
      </c>
      <c r="H26" s="590">
        <v>0.41</v>
      </c>
    </row>
    <row r="27" spans="2:8" ht="15" customHeight="1">
      <c r="B27" s="588" t="s">
        <v>1116</v>
      </c>
      <c r="C27" s="590">
        <v>0.129</v>
      </c>
      <c r="G27" s="588" t="s">
        <v>1116</v>
      </c>
      <c r="H27" s="590">
        <v>0.16400000000000001</v>
      </c>
    </row>
    <row r="28" spans="2:8" ht="15" customHeight="1">
      <c r="B28" s="588" t="s">
        <v>1117</v>
      </c>
      <c r="C28" s="590">
        <v>7.5999999999999998E-2</v>
      </c>
      <c r="G28" s="588" t="s">
        <v>1117</v>
      </c>
      <c r="H28" s="590">
        <v>7.3999999999999996E-2</v>
      </c>
    </row>
    <row r="29" spans="2:8" ht="15" customHeight="1">
      <c r="B29" s="588" t="s">
        <v>1165</v>
      </c>
      <c r="C29" s="590">
        <v>0.151</v>
      </c>
      <c r="G29" s="588" t="s">
        <v>1165</v>
      </c>
      <c r="H29" s="590">
        <v>0.75</v>
      </c>
    </row>
    <row r="30" spans="2:8" ht="15" customHeight="1">
      <c r="B30" s="588" t="s">
        <v>1148</v>
      </c>
      <c r="C30" s="590">
        <v>0.128</v>
      </c>
      <c r="G30" s="588" t="s">
        <v>1148</v>
      </c>
      <c r="H30" s="590">
        <v>0.57499999999999996</v>
      </c>
    </row>
    <row r="31" spans="2:8" ht="15" customHeight="1">
      <c r="B31" s="586"/>
      <c r="C31" s="591"/>
      <c r="G31" s="586"/>
      <c r="H31" s="591"/>
    </row>
    <row r="32" spans="2:8" ht="15" customHeight="1">
      <c r="B32" s="592" t="s">
        <v>1166</v>
      </c>
      <c r="C32" s="593">
        <f>AVERAGE(C24:C29)</f>
        <v>0.13183333333333333</v>
      </c>
      <c r="G32" s="592" t="s">
        <v>1166</v>
      </c>
      <c r="H32" s="593">
        <f>AVERAGE(H24:H29)</f>
        <v>0.29583333333333334</v>
      </c>
    </row>
    <row r="33" spans="2:8" ht="15" customHeight="1">
      <c r="B33" s="592" t="s">
        <v>1167</v>
      </c>
      <c r="C33" s="593">
        <f>MEDIAN(C24:C29)</f>
        <v>0.13750000000000001</v>
      </c>
      <c r="G33" s="592" t="s">
        <v>1167</v>
      </c>
      <c r="H33" s="593">
        <f>MEDIAN(H24:H29)</f>
        <v>0.1885</v>
      </c>
    </row>
    <row r="34" spans="2:8" ht="15" customHeight="1">
      <c r="B34" s="592" t="s">
        <v>1168</v>
      </c>
      <c r="C34" s="593">
        <f>IF(C33=0,0,(C24-C33)/C33)</f>
        <v>0.16363636363636358</v>
      </c>
      <c r="G34" s="592" t="s">
        <v>1168</v>
      </c>
      <c r="H34" s="593">
        <f>IF(H33=0,0,(H24-H33)/H33)</f>
        <v>9.8143236074270501E-2</v>
      </c>
    </row>
    <row r="36" spans="2:8" ht="23.25" customHeight="1">
      <c r="B36" s="717" t="s">
        <v>1173</v>
      </c>
      <c r="C36" s="718"/>
      <c r="G36" s="717" t="s">
        <v>1174</v>
      </c>
      <c r="H36" s="718"/>
    </row>
    <row r="37" spans="2:8" ht="15" customHeight="1">
      <c r="B37" s="600" t="s">
        <v>1157</v>
      </c>
      <c r="C37" s="603" t="s">
        <v>1175</v>
      </c>
      <c r="G37" s="600" t="s">
        <v>1157</v>
      </c>
      <c r="H37" s="603" t="s">
        <v>1176</v>
      </c>
    </row>
    <row r="38" spans="2:8" ht="15" customHeight="1">
      <c r="B38" s="587" t="s">
        <v>1162</v>
      </c>
      <c r="C38" s="589">
        <v>0.27800000000000002</v>
      </c>
      <c r="G38" s="587" t="s">
        <v>1162</v>
      </c>
      <c r="H38" s="594">
        <v>33.9</v>
      </c>
    </row>
    <row r="39" spans="2:8" ht="15" customHeight="1">
      <c r="B39" s="588" t="s">
        <v>1163</v>
      </c>
      <c r="C39" s="590">
        <v>0.20200000000000001</v>
      </c>
      <c r="G39" s="588" t="s">
        <v>1163</v>
      </c>
      <c r="H39" s="595" t="e">
        <f>#REF!</f>
        <v>#REF!</v>
      </c>
    </row>
    <row r="40" spans="2:8" ht="15" customHeight="1">
      <c r="B40" s="588" t="s">
        <v>1164</v>
      </c>
      <c r="C40" s="590">
        <v>0.373</v>
      </c>
      <c r="G40" s="588" t="s">
        <v>1164</v>
      </c>
      <c r="H40" s="595" t="e">
        <f>#REF!</f>
        <v>#REF!</v>
      </c>
    </row>
    <row r="41" spans="2:8" ht="15" customHeight="1">
      <c r="B41" s="588" t="s">
        <v>1116</v>
      </c>
      <c r="C41" s="590">
        <v>0.17</v>
      </c>
      <c r="G41" s="588" t="s">
        <v>1116</v>
      </c>
      <c r="H41" s="595" t="e">
        <f>#REF!</f>
        <v>#REF!</v>
      </c>
    </row>
    <row r="42" spans="2:8" ht="15" customHeight="1">
      <c r="B42" s="588" t="s">
        <v>1117</v>
      </c>
      <c r="C42" s="590">
        <v>0.09</v>
      </c>
      <c r="G42" s="588" t="s">
        <v>1117</v>
      </c>
      <c r="H42" s="595" t="e">
        <f>#REF!</f>
        <v>#REF!</v>
      </c>
    </row>
    <row r="43" spans="2:8" ht="15" customHeight="1">
      <c r="B43" s="588" t="s">
        <v>1165</v>
      </c>
      <c r="C43" s="590">
        <v>0.53</v>
      </c>
      <c r="G43" s="588" t="s">
        <v>1165</v>
      </c>
      <c r="H43" s="595" t="e">
        <f>#REF!</f>
        <v>#REF!</v>
      </c>
    </row>
    <row r="44" spans="2:8" ht="15" customHeight="1">
      <c r="B44" s="588" t="s">
        <v>1148</v>
      </c>
      <c r="C44" s="590">
        <v>0.43</v>
      </c>
      <c r="G44" s="588" t="s">
        <v>1148</v>
      </c>
      <c r="H44" s="595" t="e">
        <f>#REF!</f>
        <v>#REF!</v>
      </c>
    </row>
    <row r="45" spans="2:8" ht="15" customHeight="1">
      <c r="B45" s="586"/>
      <c r="C45" s="591"/>
      <c r="G45" s="586"/>
      <c r="H45" s="596"/>
    </row>
    <row r="46" spans="2:8" ht="15" customHeight="1">
      <c r="B46" s="592" t="s">
        <v>1166</v>
      </c>
      <c r="C46" s="593">
        <f>AVERAGE(C38:C43)</f>
        <v>0.27383333333333332</v>
      </c>
      <c r="G46" s="592" t="s">
        <v>1166</v>
      </c>
      <c r="H46" s="597" t="e">
        <f>AVERAGE(H38:H43)</f>
        <v>#REF!</v>
      </c>
    </row>
    <row r="47" spans="2:8" ht="15" customHeight="1">
      <c r="B47" s="592" t="s">
        <v>1167</v>
      </c>
      <c r="C47" s="593">
        <f>MEDIAN(C38:C43)</f>
        <v>0.24000000000000002</v>
      </c>
      <c r="G47" s="592" t="s">
        <v>1167</v>
      </c>
      <c r="H47" s="597" t="e">
        <f>MEDIAN(H38:H43)</f>
        <v>#REF!</v>
      </c>
    </row>
    <row r="48" spans="2:8" ht="15" customHeight="1">
      <c r="B48" s="592" t="s">
        <v>1168</v>
      </c>
      <c r="C48" s="593">
        <f>IF(C47=0,0,(C38-C47)/C47)</f>
        <v>0.15833333333333335</v>
      </c>
      <c r="G48" s="592" t="s">
        <v>1168</v>
      </c>
      <c r="H48" s="598" t="e">
        <f>IF(H47=0,0,(H38-H47)/H47)</f>
        <v>#REF!</v>
      </c>
    </row>
    <row r="50" spans="2:8" ht="15" customHeight="1">
      <c r="B50" s="717" t="s">
        <v>1177</v>
      </c>
      <c r="C50" s="718"/>
      <c r="G50" s="717" t="s">
        <v>1178</v>
      </c>
      <c r="H50" s="718"/>
    </row>
    <row r="51" spans="2:8" ht="15" customHeight="1">
      <c r="B51" s="600" t="s">
        <v>1157</v>
      </c>
      <c r="C51" s="603" t="s">
        <v>1179</v>
      </c>
      <c r="G51" s="600" t="s">
        <v>1157</v>
      </c>
      <c r="H51" s="603" t="s">
        <v>1180</v>
      </c>
    </row>
    <row r="52" spans="2:8" ht="15" customHeight="1">
      <c r="B52" s="587" t="s">
        <v>1162</v>
      </c>
      <c r="C52" s="594">
        <v>50.1</v>
      </c>
      <c r="G52" s="587" t="s">
        <v>1162</v>
      </c>
      <c r="H52" s="594">
        <v>10.5</v>
      </c>
    </row>
    <row r="53" spans="2:8" ht="15" customHeight="1">
      <c r="B53" s="588" t="s">
        <v>1163</v>
      </c>
      <c r="C53" s="595" t="e">
        <f>#REF!</f>
        <v>#REF!</v>
      </c>
      <c r="G53" s="588" t="s">
        <v>1163</v>
      </c>
      <c r="H53" s="595">
        <v>7.3</v>
      </c>
    </row>
    <row r="54" spans="2:8" ht="15" customHeight="1">
      <c r="B54" s="588" t="s">
        <v>1164</v>
      </c>
      <c r="C54" s="595" t="e">
        <f>#REF!</f>
        <v>#REF!</v>
      </c>
      <c r="G54" s="588" t="s">
        <v>1164</v>
      </c>
      <c r="H54" s="595">
        <v>24.2</v>
      </c>
    </row>
    <row r="55" spans="2:8" ht="15" customHeight="1">
      <c r="B55" s="588" t="s">
        <v>1116</v>
      </c>
      <c r="C55" s="595" t="e">
        <f>#REF!</f>
        <v>#REF!</v>
      </c>
      <c r="G55" s="588" t="s">
        <v>1116</v>
      </c>
      <c r="H55" s="595">
        <v>9.1999999999999993</v>
      </c>
    </row>
    <row r="56" spans="2:8" ht="15" customHeight="1">
      <c r="B56" s="588" t="s">
        <v>1117</v>
      </c>
      <c r="C56" s="595" t="e">
        <f>#REF!</f>
        <v>#REF!</v>
      </c>
      <c r="G56" s="588" t="s">
        <v>1117</v>
      </c>
      <c r="H56" s="595">
        <v>5.3</v>
      </c>
    </row>
    <row r="57" spans="2:8" ht="15" customHeight="1">
      <c r="B57" s="588" t="s">
        <v>1165</v>
      </c>
      <c r="C57" s="595" t="e">
        <f>#REF!</f>
        <v>#REF!</v>
      </c>
      <c r="G57" s="588" t="s">
        <v>1165</v>
      </c>
      <c r="H57" s="595">
        <v>51</v>
      </c>
    </row>
    <row r="58" spans="2:8" ht="15" customHeight="1">
      <c r="B58" s="588" t="s">
        <v>1148</v>
      </c>
      <c r="C58" s="595" t="e">
        <f>#REF!</f>
        <v>#REF!</v>
      </c>
      <c r="G58" s="588" t="s">
        <v>1148</v>
      </c>
      <c r="H58" s="595">
        <v>37.4</v>
      </c>
    </row>
    <row r="59" spans="2:8" ht="15" customHeight="1">
      <c r="B59" s="586"/>
      <c r="C59" s="596"/>
      <c r="G59" s="586"/>
      <c r="H59" s="596"/>
    </row>
    <row r="60" spans="2:8" ht="15" customHeight="1">
      <c r="B60" s="592" t="s">
        <v>1166</v>
      </c>
      <c r="C60" s="597" t="e">
        <f>AVERAGE(C52:C57)</f>
        <v>#REF!</v>
      </c>
      <c r="G60" s="592" t="s">
        <v>1166</v>
      </c>
      <c r="H60" s="597">
        <f>AVERAGE(H52:H57)</f>
        <v>17.916666666666668</v>
      </c>
    </row>
    <row r="61" spans="2:8" ht="15" customHeight="1">
      <c r="B61" s="592" t="s">
        <v>1167</v>
      </c>
      <c r="C61" s="597" t="e">
        <f>MEDIAN(C52:C57)</f>
        <v>#REF!</v>
      </c>
      <c r="G61" s="592" t="s">
        <v>1167</v>
      </c>
      <c r="H61" s="597">
        <f>MEDIAN(H52:H57)</f>
        <v>9.85</v>
      </c>
    </row>
    <row r="62" spans="2:8" ht="15" customHeight="1">
      <c r="B62" s="592" t="s">
        <v>1168</v>
      </c>
      <c r="C62" s="598" t="e">
        <f>IF(C61=0,0,(C52-C61)/C61)</f>
        <v>#REF!</v>
      </c>
      <c r="G62" s="592" t="s">
        <v>1168</v>
      </c>
      <c r="H62" s="598">
        <f>IF(H61=0,0,(H52-H61)/H61)</f>
        <v>6.5989847715736086E-2</v>
      </c>
    </row>
    <row r="65" spans="2:9" ht="15" customHeight="1">
      <c r="B65" s="717" t="s">
        <v>1181</v>
      </c>
      <c r="C65" s="718"/>
      <c r="D65" s="718"/>
      <c r="E65" s="718"/>
      <c r="F65" s="718"/>
      <c r="G65" s="718"/>
      <c r="H65" s="718"/>
      <c r="I65" s="719"/>
    </row>
    <row r="66" spans="2:9" ht="19.8" customHeight="1">
      <c r="B66" s="599" t="s">
        <v>1182</v>
      </c>
    </row>
    <row r="67" spans="2:9" ht="19.8" customHeight="1">
      <c r="B67" s="599" t="s">
        <v>1183</v>
      </c>
    </row>
    <row r="68" spans="2:9" ht="19.8" customHeight="1">
      <c r="B68" s="599" t="s">
        <v>1184</v>
      </c>
    </row>
    <row r="69" spans="2:9" ht="19.8" customHeight="1">
      <c r="B69" s="599" t="s">
        <v>1185</v>
      </c>
    </row>
    <row r="70" spans="2:9" ht="19.8" customHeight="1">
      <c r="B70" s="599" t="s">
        <v>1186</v>
      </c>
    </row>
    <row r="71" spans="2:9" ht="19.8" customHeight="1">
      <c r="B71" s="599" t="s">
        <v>1187</v>
      </c>
    </row>
    <row r="72" spans="2:9" ht="19.8" customHeight="1">
      <c r="B72" s="599" t="s">
        <v>1188</v>
      </c>
    </row>
    <row r="74" spans="2:9" ht="15" customHeight="1">
      <c r="B74" s="585" t="s">
        <v>1189</v>
      </c>
    </row>
    <row r="75" spans="2:9" ht="15" customHeight="1">
      <c r="B75" s="625" t="s">
        <v>1190</v>
      </c>
    </row>
    <row r="76" spans="2:9" ht="15" customHeight="1">
      <c r="B76" s="585" t="s">
        <v>1191</v>
      </c>
    </row>
  </sheetData>
  <mergeCells count="9">
    <mergeCell ref="B65:I65"/>
    <mergeCell ref="B22:C22"/>
    <mergeCell ref="G22:H22"/>
    <mergeCell ref="B7:E7"/>
    <mergeCell ref="G7:H7"/>
    <mergeCell ref="B36:C36"/>
    <mergeCell ref="G36:H36"/>
    <mergeCell ref="B50:C50"/>
    <mergeCell ref="G50:H50"/>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1C8-A263-4E26-8402-9DB7BCE7CD0F}">
  <dimension ref="B2:BY122"/>
  <sheetViews>
    <sheetView showGridLines="0" topLeftCell="A55" zoomScale="80" zoomScaleNormal="80" workbookViewId="0">
      <selection activeCell="B3" sqref="B3"/>
    </sheetView>
  </sheetViews>
  <sheetFormatPr defaultColWidth="8.6640625" defaultRowHeight="14.4" outlineLevelCol="1"/>
  <cols>
    <col min="1" max="1" width="1.88671875" style="580" customWidth="1"/>
    <col min="2" max="2" width="28.109375" style="580" customWidth="1"/>
    <col min="3" max="3" width="25.109375" style="580" customWidth="1"/>
    <col min="4" max="4" width="9.5546875" style="580" customWidth="1"/>
    <col min="5" max="5" width="11.44140625" style="580" customWidth="1"/>
    <col min="6" max="6" width="9.109375" style="580" customWidth="1"/>
    <col min="7" max="7" width="11" style="580" customWidth="1"/>
    <col min="8" max="8" width="0.21875" style="580" customWidth="1"/>
    <col min="9" max="11" width="9.44140625" style="580" customWidth="1"/>
    <col min="12" max="19" width="14.109375" style="580" hidden="1" customWidth="1" outlineLevel="1"/>
    <col min="20" max="20" width="8.109375" style="580" customWidth="1" collapsed="1"/>
    <col min="21" max="22" width="8.109375" style="580" customWidth="1"/>
    <col min="23" max="30" width="14.109375" style="580" hidden="1" customWidth="1" outlineLevel="1"/>
    <col min="31" max="31" width="8" style="580" customWidth="1" collapsed="1"/>
    <col min="32" max="33" width="8" style="580" customWidth="1"/>
    <col min="34" max="39" width="14.109375" style="580" hidden="1" customWidth="1" outlineLevel="1"/>
    <col min="40" max="41" width="7.88671875" style="580" hidden="1" customWidth="1" outlineLevel="1"/>
    <col min="42" max="42" width="0.44140625" style="580" customWidth="1" collapsed="1"/>
    <col min="43" max="45" width="6.5546875" style="580" customWidth="1"/>
    <col min="46" max="53" width="9" style="580" hidden="1" customWidth="1" outlineLevel="1"/>
    <col min="54" max="54" width="7.88671875" style="580" customWidth="1" collapsed="1"/>
    <col min="55" max="56" width="7.88671875" style="580" customWidth="1"/>
    <col min="57" max="64" width="13.44140625" style="580" hidden="1" customWidth="1" outlineLevel="1"/>
    <col min="65" max="65" width="6.88671875" style="580" customWidth="1" collapsed="1"/>
    <col min="66" max="67" width="6.44140625" style="580" customWidth="1"/>
    <col min="68" max="74" width="12" style="580" hidden="1" customWidth="1" outlineLevel="1"/>
    <col min="75" max="75" width="8.6640625" style="580" hidden="1" customWidth="1" outlineLevel="1"/>
    <col min="76" max="76" width="8.6640625" style="580" collapsed="1"/>
    <col min="77" max="16384" width="8.6640625" style="580"/>
  </cols>
  <sheetData>
    <row r="2" spans="2:77" ht="15" customHeight="1">
      <c r="B2" s="571" t="str">
        <f>'Input Sheet'!C6</f>
        <v>Hindustan Unilever Ltd.</v>
      </c>
    </row>
    <row r="3" spans="2:77" ht="15" customHeight="1">
      <c r="B3" s="571"/>
    </row>
    <row r="4" spans="2:77" ht="14.25" customHeight="1">
      <c r="B4" s="568" t="s">
        <v>1192</v>
      </c>
    </row>
    <row r="5" spans="2:77" ht="14.25" customHeight="1"/>
    <row r="6" spans="2:77">
      <c r="B6" s="610" t="s">
        <v>1193</v>
      </c>
    </row>
    <row r="7" spans="2:77" ht="21.75" customHeight="1">
      <c r="B7" s="723" t="s">
        <v>1194</v>
      </c>
      <c r="C7" s="724"/>
      <c r="D7" s="724"/>
      <c r="E7" s="724"/>
      <c r="F7" s="724"/>
      <c r="G7" s="724"/>
      <c r="H7" s="616"/>
      <c r="I7" s="670" t="s">
        <v>1295</v>
      </c>
      <c r="J7" s="622"/>
      <c r="K7" s="622"/>
      <c r="L7" s="622"/>
      <c r="M7" s="622"/>
      <c r="N7" s="622"/>
      <c r="O7" s="622"/>
      <c r="P7" s="622"/>
      <c r="Q7" s="622"/>
      <c r="R7" s="622"/>
      <c r="S7" s="622"/>
      <c r="T7" s="622"/>
      <c r="U7" s="622"/>
      <c r="V7" s="622"/>
      <c r="W7" s="622"/>
      <c r="X7" s="622"/>
      <c r="Y7" s="622"/>
      <c r="Z7" s="622"/>
      <c r="AA7" s="622"/>
      <c r="AB7" s="622"/>
      <c r="AC7" s="622"/>
      <c r="AD7" s="622"/>
      <c r="AE7" s="622"/>
      <c r="AF7" s="622"/>
      <c r="AG7" s="622"/>
      <c r="AH7" s="622"/>
      <c r="AI7" s="622"/>
      <c r="AJ7" s="622"/>
      <c r="AK7" s="622"/>
      <c r="AL7" s="622"/>
      <c r="AM7" s="622"/>
      <c r="AN7" s="622"/>
      <c r="AO7" s="622"/>
      <c r="AP7" s="659"/>
      <c r="AQ7" s="670" t="s">
        <v>1296</v>
      </c>
      <c r="AR7" s="622"/>
      <c r="AS7" s="622"/>
      <c r="AT7" s="622"/>
      <c r="AU7" s="622"/>
      <c r="AV7" s="622"/>
      <c r="AW7" s="622"/>
      <c r="AX7" s="622"/>
      <c r="AY7" s="622"/>
      <c r="AZ7" s="622"/>
      <c r="BA7" s="622"/>
      <c r="BB7" s="622"/>
      <c r="BC7" s="622"/>
      <c r="BD7" s="622"/>
      <c r="BE7" s="622"/>
      <c r="BF7" s="622"/>
      <c r="BG7" s="622"/>
      <c r="BH7" s="622"/>
      <c r="BI7" s="622"/>
      <c r="BJ7" s="622"/>
      <c r="BK7" s="622"/>
      <c r="BL7" s="622"/>
      <c r="BM7" s="622"/>
      <c r="BN7" s="622"/>
      <c r="BO7" s="622"/>
      <c r="BP7" s="622"/>
      <c r="BQ7" s="622"/>
      <c r="BR7" s="622"/>
      <c r="BS7" s="622"/>
      <c r="BT7" s="622"/>
      <c r="BU7" s="622"/>
      <c r="BV7" s="622"/>
      <c r="BW7" s="622"/>
    </row>
    <row r="8" spans="2:77" ht="18" customHeight="1">
      <c r="B8" s="612"/>
      <c r="C8" s="612"/>
      <c r="D8" s="612"/>
      <c r="E8" s="612"/>
      <c r="F8" s="612"/>
      <c r="G8" s="612"/>
      <c r="H8" s="616"/>
      <c r="I8" s="619">
        <v>2025</v>
      </c>
      <c r="J8" s="620">
        <f t="shared" ref="J8:S8" si="0">I8+1</f>
        <v>2026</v>
      </c>
      <c r="K8" s="620">
        <f t="shared" si="0"/>
        <v>2027</v>
      </c>
      <c r="L8" s="620">
        <f t="shared" si="0"/>
        <v>2028</v>
      </c>
      <c r="M8" s="620">
        <f t="shared" si="0"/>
        <v>2029</v>
      </c>
      <c r="N8" s="620">
        <f t="shared" si="0"/>
        <v>2030</v>
      </c>
      <c r="O8" s="620">
        <f t="shared" si="0"/>
        <v>2031</v>
      </c>
      <c r="P8" s="620">
        <f t="shared" si="0"/>
        <v>2032</v>
      </c>
      <c r="Q8" s="620">
        <f t="shared" si="0"/>
        <v>2033</v>
      </c>
      <c r="R8" s="620">
        <f t="shared" si="0"/>
        <v>2034</v>
      </c>
      <c r="S8" s="620">
        <f t="shared" si="0"/>
        <v>2035</v>
      </c>
      <c r="T8" s="619">
        <f>I8</f>
        <v>2025</v>
      </c>
      <c r="U8" s="620">
        <f t="shared" ref="U8:AD8" si="1">T8+1</f>
        <v>2026</v>
      </c>
      <c r="V8" s="620">
        <f t="shared" si="1"/>
        <v>2027</v>
      </c>
      <c r="W8" s="620">
        <f t="shared" si="1"/>
        <v>2028</v>
      </c>
      <c r="X8" s="620">
        <f t="shared" si="1"/>
        <v>2029</v>
      </c>
      <c r="Y8" s="620">
        <f t="shared" si="1"/>
        <v>2030</v>
      </c>
      <c r="Z8" s="620">
        <f t="shared" si="1"/>
        <v>2031</v>
      </c>
      <c r="AA8" s="620">
        <f t="shared" si="1"/>
        <v>2032</v>
      </c>
      <c r="AB8" s="620">
        <f t="shared" si="1"/>
        <v>2033</v>
      </c>
      <c r="AC8" s="620">
        <f t="shared" si="1"/>
        <v>2034</v>
      </c>
      <c r="AD8" s="620">
        <f t="shared" si="1"/>
        <v>2035</v>
      </c>
      <c r="AE8" s="619">
        <f>T8</f>
        <v>2025</v>
      </c>
      <c r="AF8" s="620">
        <f t="shared" ref="AF8:AO8" si="2">AE8+1</f>
        <v>2026</v>
      </c>
      <c r="AG8" s="620">
        <f t="shared" si="2"/>
        <v>2027</v>
      </c>
      <c r="AH8" s="620">
        <f t="shared" si="2"/>
        <v>2028</v>
      </c>
      <c r="AI8" s="620">
        <f t="shared" si="2"/>
        <v>2029</v>
      </c>
      <c r="AJ8" s="620">
        <f t="shared" si="2"/>
        <v>2030</v>
      </c>
      <c r="AK8" s="620">
        <f t="shared" si="2"/>
        <v>2031</v>
      </c>
      <c r="AL8" s="620">
        <f t="shared" si="2"/>
        <v>2032</v>
      </c>
      <c r="AM8" s="620">
        <f t="shared" si="2"/>
        <v>2033</v>
      </c>
      <c r="AN8" s="620">
        <f t="shared" si="2"/>
        <v>2034</v>
      </c>
      <c r="AO8" s="620">
        <f t="shared" si="2"/>
        <v>2035</v>
      </c>
      <c r="AP8" s="660"/>
      <c r="AQ8" s="619">
        <f>AE8</f>
        <v>2025</v>
      </c>
      <c r="AR8" s="620">
        <f t="shared" ref="AR8:BA8" si="3">AQ8+1</f>
        <v>2026</v>
      </c>
      <c r="AS8" s="620">
        <f t="shared" si="3"/>
        <v>2027</v>
      </c>
      <c r="AT8" s="620">
        <f t="shared" si="3"/>
        <v>2028</v>
      </c>
      <c r="AU8" s="620">
        <f t="shared" si="3"/>
        <v>2029</v>
      </c>
      <c r="AV8" s="620">
        <f t="shared" si="3"/>
        <v>2030</v>
      </c>
      <c r="AW8" s="620">
        <f t="shared" si="3"/>
        <v>2031</v>
      </c>
      <c r="AX8" s="620">
        <f t="shared" si="3"/>
        <v>2032</v>
      </c>
      <c r="AY8" s="620">
        <f t="shared" si="3"/>
        <v>2033</v>
      </c>
      <c r="AZ8" s="620">
        <f t="shared" si="3"/>
        <v>2034</v>
      </c>
      <c r="BA8" s="620">
        <f t="shared" si="3"/>
        <v>2035</v>
      </c>
      <c r="BB8" s="619">
        <f>AQ8</f>
        <v>2025</v>
      </c>
      <c r="BC8" s="620">
        <f t="shared" ref="BC8:BL8" si="4">BB8+1</f>
        <v>2026</v>
      </c>
      <c r="BD8" s="620">
        <f t="shared" si="4"/>
        <v>2027</v>
      </c>
      <c r="BE8" s="620">
        <f t="shared" si="4"/>
        <v>2028</v>
      </c>
      <c r="BF8" s="620">
        <f t="shared" si="4"/>
        <v>2029</v>
      </c>
      <c r="BG8" s="620">
        <f t="shared" si="4"/>
        <v>2030</v>
      </c>
      <c r="BH8" s="620">
        <f t="shared" si="4"/>
        <v>2031</v>
      </c>
      <c r="BI8" s="620">
        <f t="shared" si="4"/>
        <v>2032</v>
      </c>
      <c r="BJ8" s="620">
        <f t="shared" si="4"/>
        <v>2033</v>
      </c>
      <c r="BK8" s="620">
        <f t="shared" si="4"/>
        <v>2034</v>
      </c>
      <c r="BL8" s="620">
        <f t="shared" si="4"/>
        <v>2035</v>
      </c>
      <c r="BM8" s="619">
        <f>BB8</f>
        <v>2025</v>
      </c>
      <c r="BN8" s="620">
        <f t="shared" ref="BN8:BW8" si="5">BM8+1</f>
        <v>2026</v>
      </c>
      <c r="BO8" s="620">
        <f t="shared" si="5"/>
        <v>2027</v>
      </c>
      <c r="BP8" s="620">
        <f t="shared" si="5"/>
        <v>2028</v>
      </c>
      <c r="BQ8" s="620">
        <f t="shared" si="5"/>
        <v>2029</v>
      </c>
      <c r="BR8" s="620">
        <f t="shared" si="5"/>
        <v>2030</v>
      </c>
      <c r="BS8" s="620">
        <f t="shared" si="5"/>
        <v>2031</v>
      </c>
      <c r="BT8" s="620">
        <f t="shared" si="5"/>
        <v>2032</v>
      </c>
      <c r="BU8" s="620">
        <f t="shared" si="5"/>
        <v>2033</v>
      </c>
      <c r="BV8" s="620">
        <f t="shared" si="5"/>
        <v>2034</v>
      </c>
      <c r="BW8" s="620">
        <f t="shared" si="5"/>
        <v>2035</v>
      </c>
    </row>
    <row r="9" spans="2:77" ht="52.8" customHeight="1">
      <c r="B9" s="623" t="s">
        <v>1157</v>
      </c>
      <c r="C9" s="613" t="s">
        <v>977</v>
      </c>
      <c r="D9" s="613" t="s">
        <v>1195</v>
      </c>
      <c r="E9" s="613" t="s">
        <v>979</v>
      </c>
      <c r="F9" s="613" t="s">
        <v>1196</v>
      </c>
      <c r="G9" s="613" t="s">
        <v>147</v>
      </c>
      <c r="H9" s="617"/>
      <c r="I9" s="613" t="s">
        <v>52</v>
      </c>
      <c r="J9" s="613" t="str">
        <f t="shared" ref="J9:S9" si="6">I9</f>
        <v>Revenue</v>
      </c>
      <c r="K9" s="613" t="str">
        <f t="shared" si="6"/>
        <v>Revenue</v>
      </c>
      <c r="L9" s="613" t="str">
        <f t="shared" si="6"/>
        <v>Revenue</v>
      </c>
      <c r="M9" s="613" t="str">
        <f t="shared" si="6"/>
        <v>Revenue</v>
      </c>
      <c r="N9" s="613" t="str">
        <f t="shared" si="6"/>
        <v>Revenue</v>
      </c>
      <c r="O9" s="613" t="str">
        <f t="shared" si="6"/>
        <v>Revenue</v>
      </c>
      <c r="P9" s="613" t="str">
        <f t="shared" si="6"/>
        <v>Revenue</v>
      </c>
      <c r="Q9" s="613" t="str">
        <f t="shared" si="6"/>
        <v>Revenue</v>
      </c>
      <c r="R9" s="613" t="str">
        <f t="shared" si="6"/>
        <v>Revenue</v>
      </c>
      <c r="S9" s="613" t="str">
        <f t="shared" si="6"/>
        <v>Revenue</v>
      </c>
      <c r="T9" s="613" t="s">
        <v>63</v>
      </c>
      <c r="U9" s="613" t="s">
        <v>63</v>
      </c>
      <c r="V9" s="613" t="s">
        <v>63</v>
      </c>
      <c r="W9" s="613" t="s">
        <v>63</v>
      </c>
      <c r="X9" s="613" t="s">
        <v>63</v>
      </c>
      <c r="Y9" s="613" t="s">
        <v>63</v>
      </c>
      <c r="Z9" s="613" t="s">
        <v>63</v>
      </c>
      <c r="AA9" s="613" t="s">
        <v>63</v>
      </c>
      <c r="AB9" s="613" t="s">
        <v>63</v>
      </c>
      <c r="AC9" s="613" t="s">
        <v>63</v>
      </c>
      <c r="AD9" s="613" t="s">
        <v>63</v>
      </c>
      <c r="AE9" s="613" t="s">
        <v>1197</v>
      </c>
      <c r="AF9" s="613" t="s">
        <v>1197</v>
      </c>
      <c r="AG9" s="613" t="s">
        <v>1197</v>
      </c>
      <c r="AH9" s="613" t="s">
        <v>1197</v>
      </c>
      <c r="AI9" s="613" t="s">
        <v>1197</v>
      </c>
      <c r="AJ9" s="613" t="s">
        <v>1197</v>
      </c>
      <c r="AK9" s="613" t="s">
        <v>1197</v>
      </c>
      <c r="AL9" s="613" t="s">
        <v>1197</v>
      </c>
      <c r="AM9" s="613" t="s">
        <v>1197</v>
      </c>
      <c r="AN9" s="613" t="s">
        <v>1197</v>
      </c>
      <c r="AO9" s="613" t="s">
        <v>1197</v>
      </c>
      <c r="AP9" s="616"/>
      <c r="AQ9" s="613" t="s">
        <v>1297</v>
      </c>
      <c r="AR9" s="613" t="s">
        <v>1297</v>
      </c>
      <c r="AS9" s="613" t="s">
        <v>1297</v>
      </c>
      <c r="AT9" s="613" t="s">
        <v>1198</v>
      </c>
      <c r="AU9" s="613" t="s">
        <v>1198</v>
      </c>
      <c r="AV9" s="613" t="s">
        <v>1198</v>
      </c>
      <c r="AW9" s="613" t="s">
        <v>1198</v>
      </c>
      <c r="AX9" s="613" t="s">
        <v>1198</v>
      </c>
      <c r="AY9" s="613" t="s">
        <v>1198</v>
      </c>
      <c r="AZ9" s="613" t="s">
        <v>1198</v>
      </c>
      <c r="BA9" s="613" t="s">
        <v>1198</v>
      </c>
      <c r="BB9" s="613" t="s">
        <v>1298</v>
      </c>
      <c r="BC9" s="613" t="s">
        <v>1298</v>
      </c>
      <c r="BD9" s="613" t="s">
        <v>1298</v>
      </c>
      <c r="BE9" s="613" t="s">
        <v>1199</v>
      </c>
      <c r="BF9" s="613" t="s">
        <v>1199</v>
      </c>
      <c r="BG9" s="613" t="s">
        <v>1199</v>
      </c>
      <c r="BH9" s="613" t="s">
        <v>1199</v>
      </c>
      <c r="BI9" s="613" t="s">
        <v>1199</v>
      </c>
      <c r="BJ9" s="613" t="s">
        <v>1199</v>
      </c>
      <c r="BK9" s="613" t="s">
        <v>1199</v>
      </c>
      <c r="BL9" s="613" t="s">
        <v>1199</v>
      </c>
      <c r="BM9" s="621" t="s">
        <v>1200</v>
      </c>
      <c r="BN9" s="621" t="s">
        <v>1200</v>
      </c>
      <c r="BO9" s="621" t="s">
        <v>1200</v>
      </c>
      <c r="BP9" s="621" t="s">
        <v>1200</v>
      </c>
      <c r="BQ9" s="621" t="s">
        <v>1200</v>
      </c>
      <c r="BR9" s="621" t="s">
        <v>1200</v>
      </c>
      <c r="BS9" s="621" t="s">
        <v>1200</v>
      </c>
      <c r="BT9" s="621" t="s">
        <v>1200</v>
      </c>
      <c r="BU9" s="621" t="s">
        <v>1200</v>
      </c>
      <c r="BV9" s="621" t="s">
        <v>1200</v>
      </c>
      <c r="BW9" s="621" t="s">
        <v>1200</v>
      </c>
    </row>
    <row r="10" spans="2:77">
      <c r="B10" s="580" t="s">
        <v>162</v>
      </c>
      <c r="C10" s="674" t="s">
        <v>1299</v>
      </c>
      <c r="D10" s="661">
        <v>2095</v>
      </c>
      <c r="E10" s="661">
        <v>489349</v>
      </c>
      <c r="F10" s="675">
        <f>'3Statement Model'!I61+'3Statement Model'!I70+'3Statement Model'!I71-'3Statement Model'!I102-'3Statement Model'!I103</f>
        <v>-5906</v>
      </c>
      <c r="G10" s="661">
        <f>E10+F10</f>
        <v>483443</v>
      </c>
      <c r="H10" s="662"/>
      <c r="I10" s="675">
        <f>'3Statement Model'!I13</f>
        <v>63121</v>
      </c>
      <c r="J10" s="675">
        <f>'3Statement Model'!J13</f>
        <v>68610.580000000016</v>
      </c>
      <c r="K10" s="675">
        <f>'3Statement Model'!K13</f>
        <v>74637.470400000006</v>
      </c>
      <c r="L10" s="675">
        <f>'3Statement Model'!L13</f>
        <v>81258.607912000007</v>
      </c>
      <c r="M10" s="675">
        <f>'3Statement Model'!M13</f>
        <v>88537.282247160038</v>
      </c>
      <c r="N10" s="675">
        <f>'3Statement Model'!N13</f>
        <v>96543.868598924819</v>
      </c>
      <c r="O10" s="675">
        <f>'3Statement Model'!O13</f>
        <v>105356.64638480304</v>
      </c>
      <c r="P10" s="675">
        <f>'3Statement Model'!P13</f>
        <v>114845.76623983758</v>
      </c>
      <c r="Q10" s="675">
        <f>'3Statement Model'!Q13</f>
        <v>124596.8134866242</v>
      </c>
      <c r="R10" s="675">
        <f>'3Statement Model'!R13</f>
        <v>134538.36988544796</v>
      </c>
      <c r="S10" s="675">
        <f>'3Statement Model'!S13</f>
        <v>144600.84860186314</v>
      </c>
      <c r="T10" s="675">
        <f>'3Statement Model'!I22</f>
        <v>14851</v>
      </c>
      <c r="U10" s="675">
        <f>'3Statement Model'!J22</f>
        <v>15780.433400000002</v>
      </c>
      <c r="V10" s="675">
        <f>'3Statement Model'!K22</f>
        <v>17334.552500400001</v>
      </c>
      <c r="W10" s="675">
        <f>'3Statement Model'!L22</f>
        <v>19055.143555363997</v>
      </c>
      <c r="X10" s="675">
        <f>'3Statement Model'!M22</f>
        <v>20961.201572015132</v>
      </c>
      <c r="Y10" s="675">
        <f>'3Statement Model'!N22</f>
        <v>23073.984595143032</v>
      </c>
      <c r="Z10" s="675">
        <f>'3Statement Model'!O22</f>
        <v>25180.238485967922</v>
      </c>
      <c r="AA10" s="675">
        <f>'3Statement Model'!P22</f>
        <v>27448.138131321186</v>
      </c>
      <c r="AB10" s="675">
        <f>'3Statement Model'!Q22</f>
        <v>29778.638423303186</v>
      </c>
      <c r="AC10" s="675">
        <f>'3Statement Model'!R22</f>
        <v>32154.670402622069</v>
      </c>
      <c r="AD10" s="675">
        <f>'3Statement Model'!S22</f>
        <v>34559.602815845283</v>
      </c>
      <c r="AE10" s="675">
        <f>'3Statement Model'!I40</f>
        <v>10671</v>
      </c>
      <c r="AF10" s="675">
        <f>'3Statement Model'!J40</f>
        <v>10499.812108214202</v>
      </c>
      <c r="AG10" s="675">
        <f>'3Statement Model'!K40</f>
        <v>11449.815478493663</v>
      </c>
      <c r="AH10" s="661">
        <f>'3Statement Model'!L40</f>
        <v>12503.872104817005</v>
      </c>
      <c r="AI10" s="661">
        <f>'3Statement Model'!M40</f>
        <v>13674.021779161838</v>
      </c>
      <c r="AJ10" s="661">
        <f>'3Statement Model'!N40</f>
        <v>14973.752630857951</v>
      </c>
      <c r="AK10" s="661">
        <f>'3Statement Model'!O40</f>
        <v>16252.053059759881</v>
      </c>
      <c r="AL10" s="661">
        <f>'3Statement Model'!P40</f>
        <v>17626.106849163691</v>
      </c>
      <c r="AM10" s="661">
        <f>'3Statement Model'!Q40</f>
        <v>19027.818648590699</v>
      </c>
      <c r="AN10" s="661">
        <f>'3Statement Model'!R40</f>
        <v>20445.155618932513</v>
      </c>
      <c r="AO10" s="661">
        <f>'3Statement Model'!S40</f>
        <v>21866.472455067662</v>
      </c>
      <c r="AP10" s="662"/>
      <c r="AQ10" s="664">
        <f>$G$10/I10</f>
        <v>7.6589882923274342</v>
      </c>
      <c r="AR10" s="664">
        <f t="shared" ref="AR10:BA10" si="7">$G$10/J10</f>
        <v>7.0461873372882122</v>
      </c>
      <c r="AS10" s="664">
        <f t="shared" si="7"/>
        <v>6.4772157658762239</v>
      </c>
      <c r="AT10" s="664">
        <f t="shared" si="7"/>
        <v>5.9494373878955749</v>
      </c>
      <c r="AU10" s="664">
        <f t="shared" si="7"/>
        <v>5.460332503209484</v>
      </c>
      <c r="AV10" s="664">
        <f t="shared" si="7"/>
        <v>5.007495628835656</v>
      </c>
      <c r="AW10" s="664">
        <f t="shared" si="7"/>
        <v>4.5886331483471867</v>
      </c>
      <c r="AX10" s="664">
        <f t="shared" si="7"/>
        <v>4.2094977971621894</v>
      </c>
      <c r="AY10" s="664">
        <f t="shared" si="7"/>
        <v>3.8800591000017741</v>
      </c>
      <c r="AZ10" s="664">
        <f t="shared" si="7"/>
        <v>3.5933466446161431</v>
      </c>
      <c r="BA10" s="664">
        <f t="shared" si="7"/>
        <v>3.3432929659430157</v>
      </c>
      <c r="BB10" s="664">
        <f>$G$10/T10</f>
        <v>32.55289206114066</v>
      </c>
      <c r="BC10" s="664">
        <f t="shared" ref="BC10:BL10" si="8">$G$10/U10</f>
        <v>30.635597118644405</v>
      </c>
      <c r="BD10" s="664">
        <f t="shared" si="8"/>
        <v>27.888980692685571</v>
      </c>
      <c r="BE10" s="664">
        <f t="shared" si="8"/>
        <v>25.370735129618662</v>
      </c>
      <c r="BF10" s="664">
        <f t="shared" si="8"/>
        <v>23.06370645495031</v>
      </c>
      <c r="BG10" s="664">
        <f t="shared" si="8"/>
        <v>20.951864555797723</v>
      </c>
      <c r="BH10" s="664">
        <f t="shared" si="8"/>
        <v>19.199301875929653</v>
      </c>
      <c r="BI10" s="664">
        <f t="shared" si="8"/>
        <v>17.612961494402462</v>
      </c>
      <c r="BJ10" s="664">
        <f t="shared" si="8"/>
        <v>16.234556903773111</v>
      </c>
      <c r="BK10" s="664">
        <f t="shared" si="8"/>
        <v>15.034923199230722</v>
      </c>
      <c r="BL10" s="664">
        <f t="shared" si="8"/>
        <v>13.988673497669526</v>
      </c>
      <c r="BM10" s="664">
        <f>$E$10/AE10</f>
        <v>45.857839002905067</v>
      </c>
      <c r="BN10" s="664">
        <f t="shared" ref="BN10:BV10" si="9">$E$10/AF10</f>
        <v>46.605500646737575</v>
      </c>
      <c r="BO10" s="664">
        <f t="shared" si="9"/>
        <v>42.738592680305686</v>
      </c>
      <c r="BP10" s="664">
        <f t="shared" si="9"/>
        <v>39.135796967363632</v>
      </c>
      <c r="BQ10" s="664">
        <f t="shared" si="9"/>
        <v>35.786764706322934</v>
      </c>
      <c r="BR10" s="664">
        <f t="shared" si="9"/>
        <v>32.68045172534427</v>
      </c>
      <c r="BS10" s="664">
        <f t="shared" si="9"/>
        <v>30.109980456046454</v>
      </c>
      <c r="BT10" s="664">
        <f t="shared" si="9"/>
        <v>27.762738770826086</v>
      </c>
      <c r="BU10" s="664">
        <f t="shared" si="9"/>
        <v>25.717556438674791</v>
      </c>
      <c r="BV10" s="664">
        <f t="shared" si="9"/>
        <v>23.934716326974577</v>
      </c>
      <c r="BW10" s="664">
        <f>$E$10/AO10</f>
        <v>22.378964005535835</v>
      </c>
    </row>
    <row r="11" spans="2:77" ht="14.25" customHeight="1">
      <c r="B11" s="586" t="s">
        <v>1163</v>
      </c>
      <c r="C11" s="615" t="s">
        <v>1126</v>
      </c>
      <c r="D11" s="661">
        <v>430</v>
      </c>
      <c r="E11" s="661">
        <v>76304</v>
      </c>
      <c r="F11" s="661">
        <v>-2500</v>
      </c>
      <c r="G11" s="661">
        <f>E11+F11</f>
        <v>73804</v>
      </c>
      <c r="H11" s="662"/>
      <c r="I11" s="661">
        <v>12563</v>
      </c>
      <c r="J11" s="661">
        <v>13600</v>
      </c>
      <c r="K11" s="661">
        <v>14800</v>
      </c>
      <c r="L11" s="661">
        <v>16000</v>
      </c>
      <c r="M11" s="663">
        <v>17280</v>
      </c>
      <c r="N11" s="663">
        <v>18662</v>
      </c>
      <c r="O11" s="663">
        <v>20155</v>
      </c>
      <c r="P11" s="663">
        <v>21768</v>
      </c>
      <c r="Q11" s="663">
        <v>23509</v>
      </c>
      <c r="R11" s="663">
        <v>25390</v>
      </c>
      <c r="S11" s="663">
        <v>27421</v>
      </c>
      <c r="T11" s="661">
        <v>2316</v>
      </c>
      <c r="U11" s="661">
        <v>2720</v>
      </c>
      <c r="V11" s="661">
        <v>3034</v>
      </c>
      <c r="W11" s="661">
        <v>3360</v>
      </c>
      <c r="X11" s="663">
        <v>3629</v>
      </c>
      <c r="Y11" s="663">
        <v>3919</v>
      </c>
      <c r="Z11" s="663">
        <v>4231</v>
      </c>
      <c r="AA11" s="663">
        <v>4569</v>
      </c>
      <c r="AB11" s="663">
        <v>4937</v>
      </c>
      <c r="AC11" s="663">
        <v>5332</v>
      </c>
      <c r="AD11" s="663">
        <v>5758</v>
      </c>
      <c r="AE11" s="661">
        <v>1740</v>
      </c>
      <c r="AF11" s="661">
        <v>1970</v>
      </c>
      <c r="AG11" s="661">
        <v>2200</v>
      </c>
      <c r="AH11" s="661">
        <v>2440</v>
      </c>
      <c r="AI11" s="663">
        <v>2635</v>
      </c>
      <c r="AJ11" s="663">
        <v>2846</v>
      </c>
      <c r="AK11" s="663">
        <v>3073</v>
      </c>
      <c r="AL11" s="663">
        <v>3319</v>
      </c>
      <c r="AM11" s="663">
        <v>3584</v>
      </c>
      <c r="AN11" s="663">
        <v>3871</v>
      </c>
      <c r="AO11" s="663">
        <v>4181</v>
      </c>
      <c r="AP11" s="662"/>
      <c r="AQ11" s="664">
        <v>5.9</v>
      </c>
      <c r="AR11" s="664">
        <v>5.4</v>
      </c>
      <c r="AS11" s="664">
        <v>5</v>
      </c>
      <c r="AT11" s="664">
        <v>4.5999999999999996</v>
      </c>
      <c r="AU11" s="664">
        <v>4.3</v>
      </c>
      <c r="AV11" s="664">
        <v>4</v>
      </c>
      <c r="AW11" s="664">
        <v>3.7</v>
      </c>
      <c r="AX11" s="664">
        <v>3.4</v>
      </c>
      <c r="AY11" s="664">
        <v>3.1</v>
      </c>
      <c r="AZ11" s="664">
        <v>2.9</v>
      </c>
      <c r="BA11" s="664">
        <v>2.7</v>
      </c>
      <c r="BB11" s="664">
        <v>31.9</v>
      </c>
      <c r="BC11" s="664">
        <v>27.1</v>
      </c>
      <c r="BD11" s="664">
        <v>24.3</v>
      </c>
      <c r="BE11" s="664">
        <v>22</v>
      </c>
      <c r="BF11" s="664">
        <v>20.3</v>
      </c>
      <c r="BG11" s="664">
        <v>18.8</v>
      </c>
      <c r="BH11" s="664">
        <v>17.399999999999999</v>
      </c>
      <c r="BI11" s="664">
        <v>16.2</v>
      </c>
      <c r="BJ11" s="664">
        <v>14.9</v>
      </c>
      <c r="BK11" s="664">
        <v>13.8</v>
      </c>
      <c r="BL11" s="664">
        <v>12.8</v>
      </c>
      <c r="BM11" s="664">
        <v>43.9</v>
      </c>
      <c r="BN11" s="664">
        <v>38.700000000000003</v>
      </c>
      <c r="BO11" s="664">
        <v>34.700000000000003</v>
      </c>
      <c r="BP11" s="664">
        <v>31.3</v>
      </c>
      <c r="BQ11" s="664">
        <v>29</v>
      </c>
      <c r="BR11" s="664">
        <v>26.8</v>
      </c>
      <c r="BS11" s="664">
        <v>24.8</v>
      </c>
      <c r="BT11" s="664">
        <v>23</v>
      </c>
      <c r="BU11" s="664">
        <v>21.3</v>
      </c>
      <c r="BV11" s="664">
        <v>19.7</v>
      </c>
      <c r="BW11" s="669">
        <v>18.3</v>
      </c>
    </row>
    <row r="12" spans="2:77" ht="14.25" customHeight="1">
      <c r="B12" s="586" t="s">
        <v>1164</v>
      </c>
      <c r="C12" s="615" t="s">
        <v>1131</v>
      </c>
      <c r="D12" s="661">
        <v>630</v>
      </c>
      <c r="E12" s="661">
        <v>81400</v>
      </c>
      <c r="F12" s="661">
        <v>-2800</v>
      </c>
      <c r="G12" s="661">
        <f t="shared" ref="G12:G16" si="10">E12+F12</f>
        <v>78600</v>
      </c>
      <c r="H12" s="662"/>
      <c r="I12" s="661">
        <v>10470</v>
      </c>
      <c r="J12" s="661">
        <v>11800</v>
      </c>
      <c r="K12" s="661">
        <v>13100</v>
      </c>
      <c r="L12" s="661">
        <v>14400</v>
      </c>
      <c r="M12" s="663">
        <v>15552</v>
      </c>
      <c r="N12" s="663">
        <v>16796</v>
      </c>
      <c r="O12" s="663">
        <v>18140</v>
      </c>
      <c r="P12" s="663">
        <v>19591</v>
      </c>
      <c r="Q12" s="663">
        <v>21158</v>
      </c>
      <c r="R12" s="663">
        <v>22851</v>
      </c>
      <c r="S12" s="663">
        <v>24679</v>
      </c>
      <c r="T12" s="661">
        <v>2100</v>
      </c>
      <c r="U12" s="661">
        <v>2360</v>
      </c>
      <c r="V12" s="661">
        <v>2686</v>
      </c>
      <c r="W12" s="661">
        <v>2952</v>
      </c>
      <c r="X12" s="663">
        <v>3187</v>
      </c>
      <c r="Y12" s="663">
        <v>3443</v>
      </c>
      <c r="Z12" s="663">
        <v>3718</v>
      </c>
      <c r="AA12" s="663">
        <v>4016</v>
      </c>
      <c r="AB12" s="663">
        <v>4337</v>
      </c>
      <c r="AC12" s="663">
        <v>4684</v>
      </c>
      <c r="AD12" s="663">
        <v>5059</v>
      </c>
      <c r="AE12" s="661">
        <v>1590</v>
      </c>
      <c r="AF12" s="661">
        <v>1750</v>
      </c>
      <c r="AG12" s="661">
        <v>1980</v>
      </c>
      <c r="AH12" s="661">
        <v>2200</v>
      </c>
      <c r="AI12" s="663">
        <v>2376</v>
      </c>
      <c r="AJ12" s="663">
        <v>2566</v>
      </c>
      <c r="AK12" s="663">
        <v>2771</v>
      </c>
      <c r="AL12" s="663">
        <v>2993</v>
      </c>
      <c r="AM12" s="663">
        <v>3232</v>
      </c>
      <c r="AN12" s="663">
        <v>3491</v>
      </c>
      <c r="AO12" s="663">
        <v>3770</v>
      </c>
      <c r="AP12" s="662"/>
      <c r="AQ12" s="664">
        <v>7.5</v>
      </c>
      <c r="AR12" s="664">
        <v>6.7</v>
      </c>
      <c r="AS12" s="664">
        <v>6</v>
      </c>
      <c r="AT12" s="664">
        <v>5.5</v>
      </c>
      <c r="AU12" s="664">
        <v>5.0999999999999996</v>
      </c>
      <c r="AV12" s="664">
        <v>4.7</v>
      </c>
      <c r="AW12" s="664">
        <v>4.3</v>
      </c>
      <c r="AX12" s="664">
        <v>4</v>
      </c>
      <c r="AY12" s="664">
        <v>3.7</v>
      </c>
      <c r="AZ12" s="664">
        <v>3.4</v>
      </c>
      <c r="BA12" s="664">
        <v>3.2</v>
      </c>
      <c r="BB12" s="664">
        <v>37.4</v>
      </c>
      <c r="BC12" s="664">
        <v>33.299999999999997</v>
      </c>
      <c r="BD12" s="664">
        <v>29.3</v>
      </c>
      <c r="BE12" s="664">
        <v>26.6</v>
      </c>
      <c r="BF12" s="664">
        <v>24.7</v>
      </c>
      <c r="BG12" s="664">
        <v>22.8</v>
      </c>
      <c r="BH12" s="664">
        <v>21.1</v>
      </c>
      <c r="BI12" s="664">
        <v>19.600000000000001</v>
      </c>
      <c r="BJ12" s="664">
        <v>18.100000000000001</v>
      </c>
      <c r="BK12" s="664">
        <v>16.8</v>
      </c>
      <c r="BL12" s="664">
        <v>15.5</v>
      </c>
      <c r="BM12" s="664">
        <v>51.2</v>
      </c>
      <c r="BN12" s="664">
        <v>46.5</v>
      </c>
      <c r="BO12" s="664">
        <v>41.1</v>
      </c>
      <c r="BP12" s="664">
        <v>37</v>
      </c>
      <c r="BQ12" s="664">
        <v>34.299999999999997</v>
      </c>
      <c r="BR12" s="664">
        <v>31.7</v>
      </c>
      <c r="BS12" s="664">
        <v>29.4</v>
      </c>
      <c r="BT12" s="664">
        <v>27.2</v>
      </c>
      <c r="BU12" s="664">
        <v>25.2</v>
      </c>
      <c r="BV12" s="664">
        <v>23.3</v>
      </c>
      <c r="BW12" s="669">
        <v>21.6</v>
      </c>
    </row>
    <row r="13" spans="2:77" ht="14.25" customHeight="1">
      <c r="B13" s="586" t="s">
        <v>1116</v>
      </c>
      <c r="C13" s="615" t="s">
        <v>1135</v>
      </c>
      <c r="D13" s="661">
        <v>1080</v>
      </c>
      <c r="E13" s="661">
        <v>110000</v>
      </c>
      <c r="F13" s="661">
        <v>-1200</v>
      </c>
      <c r="G13" s="661">
        <f t="shared" si="10"/>
        <v>108800</v>
      </c>
      <c r="H13" s="662"/>
      <c r="I13" s="661">
        <v>14820</v>
      </c>
      <c r="J13" s="661">
        <v>16300</v>
      </c>
      <c r="K13" s="661">
        <v>17900</v>
      </c>
      <c r="L13" s="661">
        <v>19500</v>
      </c>
      <c r="M13" s="663">
        <v>21255</v>
      </c>
      <c r="N13" s="663">
        <v>23168</v>
      </c>
      <c r="O13" s="663">
        <v>25253</v>
      </c>
      <c r="P13" s="663">
        <v>27526</v>
      </c>
      <c r="Q13" s="663">
        <v>30003</v>
      </c>
      <c r="R13" s="663">
        <v>32703</v>
      </c>
      <c r="S13" s="663">
        <v>35647</v>
      </c>
      <c r="T13" s="661">
        <v>3200</v>
      </c>
      <c r="U13" s="661">
        <v>3586</v>
      </c>
      <c r="V13" s="661">
        <v>4027</v>
      </c>
      <c r="W13" s="661">
        <v>4485</v>
      </c>
      <c r="X13" s="663">
        <v>4889</v>
      </c>
      <c r="Y13" s="663">
        <v>5329</v>
      </c>
      <c r="Z13" s="663">
        <v>5809</v>
      </c>
      <c r="AA13" s="663">
        <v>6331</v>
      </c>
      <c r="AB13" s="663">
        <v>6901</v>
      </c>
      <c r="AC13" s="663">
        <v>7522</v>
      </c>
      <c r="AD13" s="663">
        <v>8199</v>
      </c>
      <c r="AE13" s="661">
        <v>1950</v>
      </c>
      <c r="AF13" s="661">
        <v>2280</v>
      </c>
      <c r="AG13" s="661">
        <v>2580</v>
      </c>
      <c r="AH13" s="661">
        <v>2900</v>
      </c>
      <c r="AI13" s="663">
        <v>3161</v>
      </c>
      <c r="AJ13" s="663">
        <v>3446</v>
      </c>
      <c r="AK13" s="663">
        <v>3756</v>
      </c>
      <c r="AL13" s="663">
        <v>4094</v>
      </c>
      <c r="AM13" s="663">
        <v>4462</v>
      </c>
      <c r="AN13" s="663">
        <v>4864</v>
      </c>
      <c r="AO13" s="663">
        <v>5301</v>
      </c>
      <c r="AP13" s="662"/>
      <c r="AQ13" s="664">
        <v>7.3</v>
      </c>
      <c r="AR13" s="664">
        <v>6.7</v>
      </c>
      <c r="AS13" s="664">
        <v>6.1</v>
      </c>
      <c r="AT13" s="664">
        <v>5.6</v>
      </c>
      <c r="AU13" s="664">
        <v>5.0999999999999996</v>
      </c>
      <c r="AV13" s="664">
        <v>4.7</v>
      </c>
      <c r="AW13" s="664">
        <v>4.3</v>
      </c>
      <c r="AX13" s="664">
        <v>4</v>
      </c>
      <c r="AY13" s="664">
        <v>3.6</v>
      </c>
      <c r="AZ13" s="664">
        <v>3.3</v>
      </c>
      <c r="BA13" s="664">
        <v>3.1</v>
      </c>
      <c r="BB13" s="664">
        <v>34</v>
      </c>
      <c r="BC13" s="664">
        <v>30.3</v>
      </c>
      <c r="BD13" s="664">
        <v>27</v>
      </c>
      <c r="BE13" s="664">
        <v>24.3</v>
      </c>
      <c r="BF13" s="664">
        <v>22.3</v>
      </c>
      <c r="BG13" s="664">
        <v>20.399999999999999</v>
      </c>
      <c r="BH13" s="664">
        <v>18.7</v>
      </c>
      <c r="BI13" s="664">
        <v>17.2</v>
      </c>
      <c r="BJ13" s="664">
        <v>15.8</v>
      </c>
      <c r="BK13" s="664">
        <v>14.5</v>
      </c>
      <c r="BL13" s="664">
        <v>13.3</v>
      </c>
      <c r="BM13" s="664">
        <v>56.4</v>
      </c>
      <c r="BN13" s="664">
        <v>48.2</v>
      </c>
      <c r="BO13" s="664">
        <v>42.6</v>
      </c>
      <c r="BP13" s="664">
        <v>37.9</v>
      </c>
      <c r="BQ13" s="664">
        <v>34.799999999999997</v>
      </c>
      <c r="BR13" s="664">
        <v>31.9</v>
      </c>
      <c r="BS13" s="664">
        <v>29.3</v>
      </c>
      <c r="BT13" s="664">
        <v>26.9</v>
      </c>
      <c r="BU13" s="664">
        <v>24.7</v>
      </c>
      <c r="BV13" s="664">
        <v>22.6</v>
      </c>
      <c r="BW13" s="669">
        <v>20.8</v>
      </c>
      <c r="BY13" s="671" t="s">
        <v>1297</v>
      </c>
    </row>
    <row r="14" spans="2:77" ht="14.25" customHeight="1">
      <c r="B14" s="586" t="s">
        <v>1117</v>
      </c>
      <c r="C14" s="615" t="s">
        <v>1139</v>
      </c>
      <c r="D14" s="661">
        <v>960</v>
      </c>
      <c r="E14" s="661">
        <v>89000</v>
      </c>
      <c r="F14" s="661">
        <v>1800</v>
      </c>
      <c r="G14" s="661">
        <f t="shared" si="10"/>
        <v>90800</v>
      </c>
      <c r="H14" s="662"/>
      <c r="I14" s="661">
        <v>16500</v>
      </c>
      <c r="J14" s="661">
        <v>18200</v>
      </c>
      <c r="K14" s="661">
        <v>20500</v>
      </c>
      <c r="L14" s="661">
        <v>23000</v>
      </c>
      <c r="M14" s="663">
        <v>25530</v>
      </c>
      <c r="N14" s="663">
        <v>28338</v>
      </c>
      <c r="O14" s="663">
        <v>31456</v>
      </c>
      <c r="P14" s="663">
        <v>34916</v>
      </c>
      <c r="Q14" s="663">
        <v>38757</v>
      </c>
      <c r="R14" s="663">
        <v>43020</v>
      </c>
      <c r="S14" s="663">
        <v>47752</v>
      </c>
      <c r="T14" s="661">
        <v>2480</v>
      </c>
      <c r="U14" s="661">
        <v>2912</v>
      </c>
      <c r="V14" s="661">
        <v>3362</v>
      </c>
      <c r="W14" s="661">
        <v>3910</v>
      </c>
      <c r="X14" s="663">
        <v>4340</v>
      </c>
      <c r="Y14" s="663">
        <v>4817</v>
      </c>
      <c r="Z14" s="663">
        <v>5347</v>
      </c>
      <c r="AA14" s="663">
        <v>5936</v>
      </c>
      <c r="AB14" s="663">
        <v>6589</v>
      </c>
      <c r="AC14" s="663">
        <v>7314</v>
      </c>
      <c r="AD14" s="663">
        <v>8118</v>
      </c>
      <c r="AE14" s="661">
        <v>1350</v>
      </c>
      <c r="AF14" s="661">
        <v>1620</v>
      </c>
      <c r="AG14" s="661">
        <v>1900</v>
      </c>
      <c r="AH14" s="661">
        <v>2250</v>
      </c>
      <c r="AI14" s="663">
        <v>2498</v>
      </c>
      <c r="AJ14" s="663">
        <v>2772</v>
      </c>
      <c r="AK14" s="663">
        <v>3077</v>
      </c>
      <c r="AL14" s="663">
        <v>3416</v>
      </c>
      <c r="AM14" s="663">
        <v>3792</v>
      </c>
      <c r="AN14" s="663">
        <v>4209</v>
      </c>
      <c r="AO14" s="663">
        <v>4672</v>
      </c>
      <c r="AP14" s="662"/>
      <c r="AQ14" s="664">
        <v>5.5</v>
      </c>
      <c r="AR14" s="664">
        <v>5</v>
      </c>
      <c r="AS14" s="664">
        <v>4.4000000000000004</v>
      </c>
      <c r="AT14" s="664">
        <v>3.9</v>
      </c>
      <c r="AU14" s="664">
        <v>3.6</v>
      </c>
      <c r="AV14" s="664">
        <v>3.2</v>
      </c>
      <c r="AW14" s="664">
        <v>2.9</v>
      </c>
      <c r="AX14" s="664">
        <v>2.6</v>
      </c>
      <c r="AY14" s="664">
        <v>2.2999999999999998</v>
      </c>
      <c r="AZ14" s="664">
        <v>2.1</v>
      </c>
      <c r="BA14" s="664">
        <v>1.9</v>
      </c>
      <c r="BB14" s="664">
        <v>36.6</v>
      </c>
      <c r="BC14" s="664">
        <v>31.2</v>
      </c>
      <c r="BD14" s="664">
        <v>27</v>
      </c>
      <c r="BE14" s="664">
        <v>23.2</v>
      </c>
      <c r="BF14" s="664">
        <v>20.9</v>
      </c>
      <c r="BG14" s="664">
        <v>18.8</v>
      </c>
      <c r="BH14" s="664">
        <v>17</v>
      </c>
      <c r="BI14" s="664">
        <v>15.3</v>
      </c>
      <c r="BJ14" s="664">
        <v>13.8</v>
      </c>
      <c r="BK14" s="664">
        <v>12.4</v>
      </c>
      <c r="BL14" s="664">
        <v>11.2</v>
      </c>
      <c r="BM14" s="664">
        <v>65.900000000000006</v>
      </c>
      <c r="BN14" s="664">
        <v>54.9</v>
      </c>
      <c r="BO14" s="664">
        <v>46.8</v>
      </c>
      <c r="BP14" s="664">
        <v>39.6</v>
      </c>
      <c r="BQ14" s="664">
        <v>35.6</v>
      </c>
      <c r="BR14" s="664">
        <v>32.1</v>
      </c>
      <c r="BS14" s="664">
        <v>28.9</v>
      </c>
      <c r="BT14" s="664">
        <v>26.1</v>
      </c>
      <c r="BU14" s="664">
        <v>23.5</v>
      </c>
      <c r="BV14" s="664">
        <v>21.1</v>
      </c>
      <c r="BW14" s="669">
        <v>19</v>
      </c>
      <c r="BY14" s="671" t="s">
        <v>1298</v>
      </c>
    </row>
    <row r="15" spans="2:77" ht="14.25" customHeight="1">
      <c r="B15" s="586" t="s">
        <v>1165</v>
      </c>
      <c r="C15" s="615" t="s">
        <v>1144</v>
      </c>
      <c r="D15" s="661">
        <v>2200</v>
      </c>
      <c r="E15" s="661">
        <v>212000</v>
      </c>
      <c r="F15" s="661">
        <v>-3500</v>
      </c>
      <c r="G15" s="661">
        <f t="shared" si="10"/>
        <v>208500</v>
      </c>
      <c r="H15" s="662"/>
      <c r="I15" s="661">
        <v>20025</v>
      </c>
      <c r="J15" s="661">
        <v>22200</v>
      </c>
      <c r="K15" s="661">
        <v>24600</v>
      </c>
      <c r="L15" s="661">
        <v>27000</v>
      </c>
      <c r="M15" s="663">
        <v>29430</v>
      </c>
      <c r="N15" s="663">
        <v>32079</v>
      </c>
      <c r="O15" s="663">
        <v>34966</v>
      </c>
      <c r="P15" s="663">
        <v>38113</v>
      </c>
      <c r="Q15" s="663">
        <v>41543</v>
      </c>
      <c r="R15" s="663">
        <v>45282</v>
      </c>
      <c r="S15" s="663">
        <v>49357</v>
      </c>
      <c r="T15" s="661">
        <v>4800</v>
      </c>
      <c r="U15" s="661">
        <v>5328</v>
      </c>
      <c r="V15" s="661">
        <v>5904</v>
      </c>
      <c r="W15" s="661">
        <v>6615</v>
      </c>
      <c r="X15" s="663">
        <v>7209</v>
      </c>
      <c r="Y15" s="663">
        <v>7857</v>
      </c>
      <c r="Z15" s="663">
        <v>8564</v>
      </c>
      <c r="AA15" s="663">
        <v>9335</v>
      </c>
      <c r="AB15" s="663">
        <v>10175</v>
      </c>
      <c r="AC15" s="663">
        <v>11091</v>
      </c>
      <c r="AD15" s="663">
        <v>12089</v>
      </c>
      <c r="AE15" s="661">
        <v>3100</v>
      </c>
      <c r="AF15" s="661">
        <v>3450</v>
      </c>
      <c r="AG15" s="661">
        <v>3850</v>
      </c>
      <c r="AH15" s="661">
        <v>4300</v>
      </c>
      <c r="AI15" s="663">
        <v>4687</v>
      </c>
      <c r="AJ15" s="663">
        <v>5109</v>
      </c>
      <c r="AK15" s="663">
        <v>5569</v>
      </c>
      <c r="AL15" s="663">
        <v>6070</v>
      </c>
      <c r="AM15" s="663">
        <v>6616</v>
      </c>
      <c r="AN15" s="663">
        <v>7211</v>
      </c>
      <c r="AO15" s="663">
        <v>7860</v>
      </c>
      <c r="AP15" s="662"/>
      <c r="AQ15" s="664">
        <v>10.4</v>
      </c>
      <c r="AR15" s="664">
        <v>9.4</v>
      </c>
      <c r="AS15" s="664">
        <v>8.5</v>
      </c>
      <c r="AT15" s="664">
        <v>7.7</v>
      </c>
      <c r="AU15" s="664">
        <v>7.1</v>
      </c>
      <c r="AV15" s="664">
        <v>6.5</v>
      </c>
      <c r="AW15" s="664">
        <v>6</v>
      </c>
      <c r="AX15" s="664">
        <v>5.5</v>
      </c>
      <c r="AY15" s="664">
        <v>5</v>
      </c>
      <c r="AZ15" s="664">
        <v>4.5999999999999996</v>
      </c>
      <c r="BA15" s="664">
        <v>4.2</v>
      </c>
      <c r="BB15" s="664">
        <v>43.4</v>
      </c>
      <c r="BC15" s="664">
        <v>39.1</v>
      </c>
      <c r="BD15" s="664">
        <v>35.299999999999997</v>
      </c>
      <c r="BE15" s="664">
        <v>31.5</v>
      </c>
      <c r="BF15" s="664">
        <v>28.9</v>
      </c>
      <c r="BG15" s="664">
        <v>26.5</v>
      </c>
      <c r="BH15" s="664">
        <v>24.3</v>
      </c>
      <c r="BI15" s="664">
        <v>22.3</v>
      </c>
      <c r="BJ15" s="664">
        <v>20.5</v>
      </c>
      <c r="BK15" s="664">
        <v>18.8</v>
      </c>
      <c r="BL15" s="664">
        <v>17.2</v>
      </c>
      <c r="BM15" s="664">
        <v>68.400000000000006</v>
      </c>
      <c r="BN15" s="664">
        <v>61.4</v>
      </c>
      <c r="BO15" s="664">
        <v>55.1</v>
      </c>
      <c r="BP15" s="664">
        <v>49.3</v>
      </c>
      <c r="BQ15" s="664">
        <v>45.2</v>
      </c>
      <c r="BR15" s="664">
        <v>41.5</v>
      </c>
      <c r="BS15" s="664">
        <v>38.1</v>
      </c>
      <c r="BT15" s="664">
        <v>34.9</v>
      </c>
      <c r="BU15" s="664">
        <v>32</v>
      </c>
      <c r="BV15" s="664">
        <v>29.4</v>
      </c>
      <c r="BW15" s="669">
        <v>27</v>
      </c>
      <c r="BY15" s="671" t="s">
        <v>1200</v>
      </c>
    </row>
    <row r="16" spans="2:77" ht="14.25" customHeight="1">
      <c r="B16" s="586" t="s">
        <v>1148</v>
      </c>
      <c r="C16" s="615" t="s">
        <v>1149</v>
      </c>
      <c r="D16" s="661">
        <v>4900</v>
      </c>
      <c r="E16" s="661">
        <v>118000</v>
      </c>
      <c r="F16" s="661">
        <v>-3200</v>
      </c>
      <c r="G16" s="661">
        <f t="shared" si="10"/>
        <v>114800</v>
      </c>
      <c r="H16" s="662"/>
      <c r="I16" s="661">
        <v>17100</v>
      </c>
      <c r="J16" s="661">
        <v>19200</v>
      </c>
      <c r="K16" s="661">
        <v>21300</v>
      </c>
      <c r="L16" s="661">
        <v>23400</v>
      </c>
      <c r="M16" s="663">
        <v>25506</v>
      </c>
      <c r="N16" s="663">
        <v>27802</v>
      </c>
      <c r="O16" s="663">
        <v>30304</v>
      </c>
      <c r="P16" s="663">
        <v>33031</v>
      </c>
      <c r="Q16" s="663">
        <v>36004</v>
      </c>
      <c r="R16" s="663">
        <v>39244</v>
      </c>
      <c r="S16" s="663">
        <v>42776</v>
      </c>
      <c r="T16" s="661">
        <v>3250</v>
      </c>
      <c r="U16" s="661">
        <v>3648</v>
      </c>
      <c r="V16" s="661">
        <v>4047</v>
      </c>
      <c r="W16" s="661">
        <v>4563</v>
      </c>
      <c r="X16" s="663">
        <v>4974</v>
      </c>
      <c r="Y16" s="663">
        <v>5422</v>
      </c>
      <c r="Z16" s="663">
        <v>5910</v>
      </c>
      <c r="AA16" s="663">
        <v>6442</v>
      </c>
      <c r="AB16" s="663">
        <v>7022</v>
      </c>
      <c r="AC16" s="663">
        <v>7654</v>
      </c>
      <c r="AD16" s="663">
        <v>8343</v>
      </c>
      <c r="AE16" s="661">
        <v>2200</v>
      </c>
      <c r="AF16" s="661">
        <v>2500</v>
      </c>
      <c r="AG16" s="661">
        <v>2800</v>
      </c>
      <c r="AH16" s="661">
        <v>3150</v>
      </c>
      <c r="AI16" s="663">
        <v>3434</v>
      </c>
      <c r="AJ16" s="663">
        <v>3743</v>
      </c>
      <c r="AK16" s="663">
        <v>4080</v>
      </c>
      <c r="AL16" s="663">
        <v>4447</v>
      </c>
      <c r="AM16" s="663">
        <v>4847</v>
      </c>
      <c r="AN16" s="663">
        <v>5283</v>
      </c>
      <c r="AO16" s="663">
        <v>5759</v>
      </c>
      <c r="AP16" s="662"/>
      <c r="AQ16" s="664">
        <v>6.7</v>
      </c>
      <c r="AR16" s="664">
        <v>6</v>
      </c>
      <c r="AS16" s="664">
        <v>5.4</v>
      </c>
      <c r="AT16" s="664">
        <v>4.9000000000000004</v>
      </c>
      <c r="AU16" s="664">
        <v>4.5</v>
      </c>
      <c r="AV16" s="664">
        <v>4.0999999999999996</v>
      </c>
      <c r="AW16" s="664">
        <v>3.8</v>
      </c>
      <c r="AX16" s="664">
        <v>3.5</v>
      </c>
      <c r="AY16" s="664">
        <v>3.2</v>
      </c>
      <c r="AZ16" s="664">
        <v>2.9</v>
      </c>
      <c r="BA16" s="664">
        <v>2.7</v>
      </c>
      <c r="BB16" s="664">
        <v>35.299999999999997</v>
      </c>
      <c r="BC16" s="664">
        <v>31.5</v>
      </c>
      <c r="BD16" s="664">
        <v>28.4</v>
      </c>
      <c r="BE16" s="664">
        <v>25.2</v>
      </c>
      <c r="BF16" s="664">
        <v>23.1</v>
      </c>
      <c r="BG16" s="664">
        <v>21.2</v>
      </c>
      <c r="BH16" s="664">
        <v>19.399999999999999</v>
      </c>
      <c r="BI16" s="664">
        <v>17.8</v>
      </c>
      <c r="BJ16" s="664">
        <v>16.3</v>
      </c>
      <c r="BK16" s="664">
        <v>15</v>
      </c>
      <c r="BL16" s="664">
        <v>13.8</v>
      </c>
      <c r="BM16" s="664">
        <v>53.6</v>
      </c>
      <c r="BN16" s="664">
        <v>47.2</v>
      </c>
      <c r="BO16" s="664">
        <v>42.1</v>
      </c>
      <c r="BP16" s="664">
        <v>37.5</v>
      </c>
      <c r="BQ16" s="664">
        <v>34.4</v>
      </c>
      <c r="BR16" s="664">
        <v>31.5</v>
      </c>
      <c r="BS16" s="664">
        <v>28.9</v>
      </c>
      <c r="BT16" s="664">
        <v>26.5</v>
      </c>
      <c r="BU16" s="664">
        <v>24.3</v>
      </c>
      <c r="BV16" s="664">
        <v>22.3</v>
      </c>
      <c r="BW16" s="669">
        <v>20.5</v>
      </c>
    </row>
    <row r="17" spans="2:75">
      <c r="D17" s="665"/>
      <c r="E17" s="665"/>
      <c r="F17" s="665"/>
      <c r="G17" s="665"/>
      <c r="H17" s="665"/>
      <c r="I17" s="665"/>
      <c r="J17" s="665"/>
      <c r="K17" s="665"/>
      <c r="L17" s="665"/>
      <c r="M17" s="665"/>
      <c r="N17" s="665"/>
      <c r="O17" s="665"/>
      <c r="P17" s="665"/>
      <c r="Q17" s="665"/>
      <c r="R17" s="665"/>
      <c r="S17" s="665"/>
      <c r="T17" s="665"/>
      <c r="U17" s="665"/>
      <c r="V17" s="665"/>
      <c r="W17" s="665"/>
      <c r="X17" s="665"/>
      <c r="Y17" s="665"/>
      <c r="Z17" s="665"/>
      <c r="AA17" s="665"/>
      <c r="AB17" s="665"/>
      <c r="AC17" s="665"/>
      <c r="AD17" s="665"/>
      <c r="AE17" s="665"/>
      <c r="AF17" s="665"/>
      <c r="AG17" s="665"/>
      <c r="AH17" s="665"/>
      <c r="AI17" s="665"/>
      <c r="AJ17" s="665"/>
      <c r="AK17" s="665"/>
      <c r="AL17" s="665"/>
      <c r="AM17" s="665"/>
      <c r="AN17" s="665"/>
      <c r="AO17" s="665"/>
      <c r="AP17" s="665"/>
      <c r="AQ17" s="665"/>
      <c r="AR17" s="665"/>
      <c r="AS17" s="665"/>
      <c r="AT17" s="665"/>
      <c r="AU17" s="665"/>
      <c r="AV17" s="665"/>
      <c r="AW17" s="665"/>
      <c r="AX17" s="665"/>
      <c r="AY17" s="665"/>
      <c r="AZ17" s="665"/>
      <c r="BA17" s="665"/>
      <c r="BB17" s="665"/>
      <c r="BC17" s="664"/>
      <c r="BD17" s="664"/>
      <c r="BE17" s="664"/>
      <c r="BF17" s="664"/>
      <c r="BG17" s="664"/>
      <c r="BH17" s="664"/>
      <c r="BI17" s="664"/>
      <c r="BJ17" s="664"/>
      <c r="BK17" s="664"/>
      <c r="BL17" s="664"/>
      <c r="BM17" s="664"/>
      <c r="BN17" s="664"/>
      <c r="BO17" s="664"/>
      <c r="BP17" s="664"/>
      <c r="BQ17" s="664"/>
      <c r="BR17" s="665"/>
      <c r="BS17" s="665"/>
      <c r="BT17" s="665"/>
      <c r="BU17" s="665"/>
      <c r="BV17" s="665"/>
      <c r="BW17" s="666"/>
    </row>
    <row r="18" spans="2:75" ht="14.25" customHeight="1">
      <c r="B18" s="582" t="s">
        <v>963</v>
      </c>
      <c r="C18" s="615"/>
      <c r="D18" s="667">
        <f>MAX(D10:D16)</f>
        <v>4900</v>
      </c>
      <c r="E18" s="667">
        <f t="shared" ref="E18:BP18" si="11">MAX(E10:E16)</f>
        <v>489349</v>
      </c>
      <c r="F18" s="667">
        <f t="shared" si="11"/>
        <v>1800</v>
      </c>
      <c r="G18" s="667">
        <f t="shared" si="11"/>
        <v>483443</v>
      </c>
      <c r="H18" s="667">
        <f t="shared" si="11"/>
        <v>0</v>
      </c>
      <c r="I18" s="667">
        <f t="shared" si="11"/>
        <v>63121</v>
      </c>
      <c r="J18" s="667">
        <f t="shared" si="11"/>
        <v>68610.580000000016</v>
      </c>
      <c r="K18" s="667">
        <f t="shared" si="11"/>
        <v>74637.470400000006</v>
      </c>
      <c r="L18" s="667">
        <f t="shared" si="11"/>
        <v>81258.607912000007</v>
      </c>
      <c r="M18" s="667">
        <f t="shared" si="11"/>
        <v>88537.282247160038</v>
      </c>
      <c r="N18" s="667">
        <f t="shared" si="11"/>
        <v>96543.868598924819</v>
      </c>
      <c r="O18" s="667">
        <f t="shared" si="11"/>
        <v>105356.64638480304</v>
      </c>
      <c r="P18" s="667">
        <f t="shared" si="11"/>
        <v>114845.76623983758</v>
      </c>
      <c r="Q18" s="667">
        <f t="shared" si="11"/>
        <v>124596.8134866242</v>
      </c>
      <c r="R18" s="667">
        <f t="shared" si="11"/>
        <v>134538.36988544796</v>
      </c>
      <c r="S18" s="667">
        <f t="shared" si="11"/>
        <v>144600.84860186314</v>
      </c>
      <c r="T18" s="667">
        <f t="shared" si="11"/>
        <v>14851</v>
      </c>
      <c r="U18" s="667">
        <f t="shared" si="11"/>
        <v>15780.433400000002</v>
      </c>
      <c r="V18" s="667">
        <f t="shared" si="11"/>
        <v>17334.552500400001</v>
      </c>
      <c r="W18" s="667">
        <f t="shared" si="11"/>
        <v>19055.143555363997</v>
      </c>
      <c r="X18" s="667">
        <f t="shared" si="11"/>
        <v>20961.201572015132</v>
      </c>
      <c r="Y18" s="667">
        <f t="shared" si="11"/>
        <v>23073.984595143032</v>
      </c>
      <c r="Z18" s="667">
        <f t="shared" si="11"/>
        <v>25180.238485967922</v>
      </c>
      <c r="AA18" s="667">
        <f t="shared" si="11"/>
        <v>27448.138131321186</v>
      </c>
      <c r="AB18" s="667">
        <f t="shared" si="11"/>
        <v>29778.638423303186</v>
      </c>
      <c r="AC18" s="667">
        <f t="shared" si="11"/>
        <v>32154.670402622069</v>
      </c>
      <c r="AD18" s="667">
        <f t="shared" si="11"/>
        <v>34559.602815845283</v>
      </c>
      <c r="AE18" s="667">
        <f t="shared" si="11"/>
        <v>10671</v>
      </c>
      <c r="AF18" s="667">
        <f t="shared" si="11"/>
        <v>10499.812108214202</v>
      </c>
      <c r="AG18" s="667">
        <f t="shared" si="11"/>
        <v>11449.815478493663</v>
      </c>
      <c r="AH18" s="667">
        <f t="shared" si="11"/>
        <v>12503.872104817005</v>
      </c>
      <c r="AI18" s="667">
        <f t="shared" si="11"/>
        <v>13674.021779161838</v>
      </c>
      <c r="AJ18" s="667">
        <f t="shared" si="11"/>
        <v>14973.752630857951</v>
      </c>
      <c r="AK18" s="667">
        <f t="shared" si="11"/>
        <v>16252.053059759881</v>
      </c>
      <c r="AL18" s="667">
        <f t="shared" si="11"/>
        <v>17626.106849163691</v>
      </c>
      <c r="AM18" s="667">
        <f t="shared" si="11"/>
        <v>19027.818648590699</v>
      </c>
      <c r="AN18" s="667">
        <f t="shared" si="11"/>
        <v>20445.155618932513</v>
      </c>
      <c r="AO18" s="667">
        <f t="shared" si="11"/>
        <v>21866.472455067662</v>
      </c>
      <c r="AP18" s="667">
        <f t="shared" si="11"/>
        <v>0</v>
      </c>
      <c r="AQ18" s="668">
        <f t="shared" si="11"/>
        <v>10.4</v>
      </c>
      <c r="AR18" s="668">
        <f t="shared" si="11"/>
        <v>9.4</v>
      </c>
      <c r="AS18" s="668">
        <f t="shared" si="11"/>
        <v>8.5</v>
      </c>
      <c r="AT18" s="668">
        <f t="shared" si="11"/>
        <v>7.7</v>
      </c>
      <c r="AU18" s="668">
        <f t="shared" si="11"/>
        <v>7.1</v>
      </c>
      <c r="AV18" s="668">
        <f t="shared" si="11"/>
        <v>6.5</v>
      </c>
      <c r="AW18" s="668">
        <f t="shared" si="11"/>
        <v>6</v>
      </c>
      <c r="AX18" s="668">
        <f t="shared" si="11"/>
        <v>5.5</v>
      </c>
      <c r="AY18" s="668">
        <f t="shared" si="11"/>
        <v>5</v>
      </c>
      <c r="AZ18" s="668">
        <f t="shared" si="11"/>
        <v>4.5999999999999996</v>
      </c>
      <c r="BA18" s="668">
        <f t="shared" si="11"/>
        <v>4.2</v>
      </c>
      <c r="BB18" s="668">
        <f t="shared" si="11"/>
        <v>43.4</v>
      </c>
      <c r="BC18" s="668">
        <f t="shared" si="11"/>
        <v>39.1</v>
      </c>
      <c r="BD18" s="668">
        <f t="shared" si="11"/>
        <v>35.299999999999997</v>
      </c>
      <c r="BE18" s="668">
        <f t="shared" si="11"/>
        <v>31.5</v>
      </c>
      <c r="BF18" s="668">
        <f t="shared" si="11"/>
        <v>28.9</v>
      </c>
      <c r="BG18" s="668">
        <f t="shared" si="11"/>
        <v>26.5</v>
      </c>
      <c r="BH18" s="668">
        <f t="shared" si="11"/>
        <v>24.3</v>
      </c>
      <c r="BI18" s="668">
        <f t="shared" si="11"/>
        <v>22.3</v>
      </c>
      <c r="BJ18" s="668">
        <f t="shared" si="11"/>
        <v>20.5</v>
      </c>
      <c r="BK18" s="668">
        <f t="shared" si="11"/>
        <v>18.8</v>
      </c>
      <c r="BL18" s="668">
        <f t="shared" si="11"/>
        <v>17.2</v>
      </c>
      <c r="BM18" s="668">
        <f t="shared" si="11"/>
        <v>68.400000000000006</v>
      </c>
      <c r="BN18" s="668">
        <f t="shared" si="11"/>
        <v>61.4</v>
      </c>
      <c r="BO18" s="668">
        <f t="shared" si="11"/>
        <v>55.1</v>
      </c>
      <c r="BP18" s="668">
        <f t="shared" si="11"/>
        <v>49.3</v>
      </c>
      <c r="BQ18" s="668">
        <f t="shared" ref="BQ18:BW18" si="12">MAX(BQ10:BQ16)</f>
        <v>45.2</v>
      </c>
      <c r="BR18" s="668">
        <f t="shared" si="12"/>
        <v>41.5</v>
      </c>
      <c r="BS18" s="668">
        <f t="shared" si="12"/>
        <v>38.1</v>
      </c>
      <c r="BT18" s="668">
        <f t="shared" si="12"/>
        <v>34.9</v>
      </c>
      <c r="BU18" s="668">
        <f t="shared" si="12"/>
        <v>32</v>
      </c>
      <c r="BV18" s="668">
        <f t="shared" si="12"/>
        <v>29.4</v>
      </c>
      <c r="BW18" s="668">
        <f t="shared" si="12"/>
        <v>27</v>
      </c>
    </row>
    <row r="19" spans="2:75" ht="14.25" customHeight="1">
      <c r="B19" s="582" t="s">
        <v>1201</v>
      </c>
      <c r="C19" s="615"/>
      <c r="D19" s="667">
        <f>_xlfn.QUARTILE.INC(D10:D16,3)</f>
        <v>2147.5</v>
      </c>
      <c r="E19" s="667">
        <f t="shared" ref="E19:BP19" si="13">_xlfn.QUARTILE.INC(E10:E16,3)</f>
        <v>165000</v>
      </c>
      <c r="F19" s="667">
        <f t="shared" si="13"/>
        <v>-1850</v>
      </c>
      <c r="G19" s="667">
        <f t="shared" si="13"/>
        <v>161650</v>
      </c>
      <c r="H19" s="667" t="e">
        <f t="shared" si="13"/>
        <v>#NUM!</v>
      </c>
      <c r="I19" s="667">
        <f t="shared" si="13"/>
        <v>18562.5</v>
      </c>
      <c r="J19" s="667">
        <f t="shared" si="13"/>
        <v>20700</v>
      </c>
      <c r="K19" s="667">
        <f t="shared" si="13"/>
        <v>22950</v>
      </c>
      <c r="L19" s="667">
        <f t="shared" si="13"/>
        <v>25200</v>
      </c>
      <c r="M19" s="667">
        <f t="shared" si="13"/>
        <v>27480</v>
      </c>
      <c r="N19" s="667">
        <f t="shared" si="13"/>
        <v>30208.5</v>
      </c>
      <c r="O19" s="667">
        <f t="shared" si="13"/>
        <v>33211</v>
      </c>
      <c r="P19" s="667">
        <f t="shared" si="13"/>
        <v>36514.5</v>
      </c>
      <c r="Q19" s="667">
        <f t="shared" si="13"/>
        <v>40150</v>
      </c>
      <c r="R19" s="667">
        <f t="shared" si="13"/>
        <v>44151</v>
      </c>
      <c r="S19" s="667">
        <f t="shared" si="13"/>
        <v>48554.5</v>
      </c>
      <c r="T19" s="667">
        <f t="shared" si="13"/>
        <v>4025</v>
      </c>
      <c r="U19" s="667">
        <f t="shared" si="13"/>
        <v>4488</v>
      </c>
      <c r="V19" s="667">
        <f t="shared" si="13"/>
        <v>4975.5</v>
      </c>
      <c r="W19" s="667">
        <f t="shared" si="13"/>
        <v>5589</v>
      </c>
      <c r="X19" s="667">
        <f t="shared" si="13"/>
        <v>6091.5</v>
      </c>
      <c r="Y19" s="667">
        <f t="shared" si="13"/>
        <v>6639.5</v>
      </c>
      <c r="Z19" s="667">
        <f t="shared" si="13"/>
        <v>7237</v>
      </c>
      <c r="AA19" s="667">
        <f t="shared" si="13"/>
        <v>7888.5</v>
      </c>
      <c r="AB19" s="667">
        <f t="shared" si="13"/>
        <v>8598.5</v>
      </c>
      <c r="AC19" s="667">
        <f t="shared" si="13"/>
        <v>9372.5</v>
      </c>
      <c r="AD19" s="667">
        <f t="shared" si="13"/>
        <v>10216</v>
      </c>
      <c r="AE19" s="667">
        <f t="shared" si="13"/>
        <v>2650</v>
      </c>
      <c r="AF19" s="667">
        <f t="shared" si="13"/>
        <v>2975</v>
      </c>
      <c r="AG19" s="667">
        <f t="shared" si="13"/>
        <v>3325</v>
      </c>
      <c r="AH19" s="667">
        <f t="shared" si="13"/>
        <v>3725</v>
      </c>
      <c r="AI19" s="667">
        <f t="shared" si="13"/>
        <v>4060.5</v>
      </c>
      <c r="AJ19" s="667">
        <f t="shared" si="13"/>
        <v>4426</v>
      </c>
      <c r="AK19" s="667">
        <f t="shared" si="13"/>
        <v>4824.5</v>
      </c>
      <c r="AL19" s="667">
        <f t="shared" si="13"/>
        <v>5258.5</v>
      </c>
      <c r="AM19" s="667">
        <f t="shared" si="13"/>
        <v>5731.5</v>
      </c>
      <c r="AN19" s="667">
        <f t="shared" si="13"/>
        <v>6247</v>
      </c>
      <c r="AO19" s="667">
        <f t="shared" si="13"/>
        <v>6809.5</v>
      </c>
      <c r="AP19" s="667" t="e">
        <f t="shared" si="13"/>
        <v>#NUM!</v>
      </c>
      <c r="AQ19" s="668">
        <f t="shared" si="13"/>
        <v>7.5794941461637171</v>
      </c>
      <c r="AR19" s="668">
        <f t="shared" si="13"/>
        <v>6.8730936686441062</v>
      </c>
      <c r="AS19" s="668">
        <f t="shared" si="13"/>
        <v>6.2886078829381118</v>
      </c>
      <c r="AT19" s="668">
        <f t="shared" si="13"/>
        <v>5.7747186939477873</v>
      </c>
      <c r="AU19" s="668">
        <f t="shared" si="13"/>
        <v>5.2801662516047418</v>
      </c>
      <c r="AV19" s="668">
        <f t="shared" si="13"/>
        <v>4.8537478144178277</v>
      </c>
      <c r="AW19" s="668">
        <f t="shared" si="13"/>
        <v>4.4443165741735928</v>
      </c>
      <c r="AX19" s="668">
        <f t="shared" si="13"/>
        <v>4.1047488985810947</v>
      </c>
      <c r="AY19" s="668">
        <f t="shared" si="13"/>
        <v>3.7900295500008871</v>
      </c>
      <c r="AZ19" s="668">
        <f t="shared" si="13"/>
        <v>3.4966733223080713</v>
      </c>
      <c r="BA19" s="668">
        <f t="shared" si="13"/>
        <v>3.2716464829715077</v>
      </c>
      <c r="BB19" s="668">
        <f t="shared" si="13"/>
        <v>37</v>
      </c>
      <c r="BC19" s="668">
        <f t="shared" si="13"/>
        <v>32.4</v>
      </c>
      <c r="BD19" s="668">
        <f t="shared" si="13"/>
        <v>28.85</v>
      </c>
      <c r="BE19" s="668">
        <f t="shared" si="13"/>
        <v>25.98536756480933</v>
      </c>
      <c r="BF19" s="668">
        <f t="shared" si="13"/>
        <v>23.9</v>
      </c>
      <c r="BG19" s="668">
        <f t="shared" si="13"/>
        <v>22</v>
      </c>
      <c r="BH19" s="668">
        <f t="shared" si="13"/>
        <v>20.25</v>
      </c>
      <c r="BI19" s="668">
        <f t="shared" si="13"/>
        <v>18.700000000000003</v>
      </c>
      <c r="BJ19" s="668">
        <f t="shared" si="13"/>
        <v>17.200000000000003</v>
      </c>
      <c r="BK19" s="668">
        <f t="shared" si="13"/>
        <v>15.917461599615361</v>
      </c>
      <c r="BL19" s="668">
        <f t="shared" si="13"/>
        <v>14.744336748834762</v>
      </c>
      <c r="BM19" s="668">
        <f t="shared" si="13"/>
        <v>61.150000000000006</v>
      </c>
      <c r="BN19" s="668">
        <f t="shared" si="13"/>
        <v>51.55</v>
      </c>
      <c r="BO19" s="668">
        <f t="shared" si="13"/>
        <v>44.769296340152842</v>
      </c>
      <c r="BP19" s="668">
        <f t="shared" si="13"/>
        <v>39.367898483681813</v>
      </c>
      <c r="BQ19" s="668">
        <f t="shared" ref="BQ19:BW19" si="14">_xlfn.QUARTILE.INC(BQ10:BQ16,3)</f>
        <v>35.693382353161468</v>
      </c>
      <c r="BR19" s="668">
        <f t="shared" si="14"/>
        <v>32.390225862672139</v>
      </c>
      <c r="BS19" s="668">
        <f t="shared" si="14"/>
        <v>29.754990228023225</v>
      </c>
      <c r="BT19" s="668">
        <f t="shared" si="14"/>
        <v>27.481369385413043</v>
      </c>
      <c r="BU19" s="668">
        <f t="shared" si="14"/>
        <v>25.458778219337397</v>
      </c>
      <c r="BV19" s="668">
        <f t="shared" si="14"/>
        <v>23.617358163487289</v>
      </c>
      <c r="BW19" s="668">
        <f t="shared" si="14"/>
        <v>21.989482002767918</v>
      </c>
    </row>
    <row r="20" spans="2:75" ht="14.25" customHeight="1">
      <c r="B20" s="582" t="s">
        <v>1202</v>
      </c>
      <c r="C20" s="615"/>
      <c r="D20" s="667">
        <f>AVERAGE(D10:D16)</f>
        <v>1756.4285714285713</v>
      </c>
      <c r="E20" s="667">
        <f t="shared" ref="E20:BP20" si="15">AVERAGE(E10:E16)</f>
        <v>168007.57142857142</v>
      </c>
      <c r="F20" s="667">
        <f t="shared" si="15"/>
        <v>-2472.2857142857142</v>
      </c>
      <c r="G20" s="667">
        <f t="shared" si="15"/>
        <v>165535.28571428571</v>
      </c>
      <c r="H20" s="667" t="e">
        <f t="shared" si="15"/>
        <v>#DIV/0!</v>
      </c>
      <c r="I20" s="667">
        <f t="shared" si="15"/>
        <v>22085.571428571428</v>
      </c>
      <c r="J20" s="667">
        <f t="shared" si="15"/>
        <v>24272.940000000002</v>
      </c>
      <c r="K20" s="667">
        <f t="shared" si="15"/>
        <v>26691.067199999998</v>
      </c>
      <c r="L20" s="667">
        <f t="shared" si="15"/>
        <v>29222.658273142857</v>
      </c>
      <c r="M20" s="667">
        <f t="shared" si="15"/>
        <v>31870.040321022861</v>
      </c>
      <c r="N20" s="667">
        <f t="shared" si="15"/>
        <v>34769.838371274978</v>
      </c>
      <c r="O20" s="667">
        <f t="shared" si="15"/>
        <v>37947.23519782901</v>
      </c>
      <c r="P20" s="667">
        <f t="shared" si="15"/>
        <v>41398.680891405369</v>
      </c>
      <c r="Q20" s="667">
        <f t="shared" si="15"/>
        <v>45081.54478380346</v>
      </c>
      <c r="R20" s="667">
        <f t="shared" si="15"/>
        <v>49004.052840778277</v>
      </c>
      <c r="S20" s="667">
        <f t="shared" si="15"/>
        <v>53176.12122883759</v>
      </c>
      <c r="T20" s="667">
        <f t="shared" si="15"/>
        <v>4713.8571428571431</v>
      </c>
      <c r="U20" s="667">
        <f t="shared" si="15"/>
        <v>5190.6333428571434</v>
      </c>
      <c r="V20" s="667">
        <f t="shared" si="15"/>
        <v>5770.6503572000001</v>
      </c>
      <c r="W20" s="667">
        <f t="shared" si="15"/>
        <v>6420.020507909142</v>
      </c>
      <c r="X20" s="667">
        <f t="shared" si="15"/>
        <v>7027.0287960021615</v>
      </c>
      <c r="Y20" s="667">
        <f t="shared" si="15"/>
        <v>7694.4263707347191</v>
      </c>
      <c r="Z20" s="667">
        <f t="shared" si="15"/>
        <v>8394.1769265668463</v>
      </c>
      <c r="AA20" s="667">
        <f t="shared" si="15"/>
        <v>9153.8768759030263</v>
      </c>
      <c r="AB20" s="667">
        <f t="shared" si="15"/>
        <v>9962.8054890433123</v>
      </c>
      <c r="AC20" s="667">
        <f t="shared" si="15"/>
        <v>10821.667200374581</v>
      </c>
      <c r="AD20" s="667">
        <f t="shared" si="15"/>
        <v>11732.228973692183</v>
      </c>
      <c r="AE20" s="667">
        <f t="shared" si="15"/>
        <v>3228.7142857142858</v>
      </c>
      <c r="AF20" s="667">
        <f t="shared" si="15"/>
        <v>3438.5445868877432</v>
      </c>
      <c r="AG20" s="667">
        <f t="shared" si="15"/>
        <v>3822.8307826419518</v>
      </c>
      <c r="AH20" s="667">
        <f t="shared" si="15"/>
        <v>4249.1245864024295</v>
      </c>
      <c r="AI20" s="667">
        <f t="shared" si="15"/>
        <v>4637.8602541659766</v>
      </c>
      <c r="AJ20" s="667">
        <f t="shared" si="15"/>
        <v>5065.1075186939934</v>
      </c>
      <c r="AK20" s="667">
        <f t="shared" si="15"/>
        <v>5511.1504371085548</v>
      </c>
      <c r="AL20" s="667">
        <f t="shared" si="15"/>
        <v>5995.0152641662416</v>
      </c>
      <c r="AM20" s="667">
        <f t="shared" si="15"/>
        <v>6508.6883783700996</v>
      </c>
      <c r="AN20" s="667">
        <f t="shared" si="15"/>
        <v>7053.450802704645</v>
      </c>
      <c r="AO20" s="667">
        <f t="shared" si="15"/>
        <v>7629.924636438237</v>
      </c>
      <c r="AP20" s="667" t="e">
        <f t="shared" si="15"/>
        <v>#DIV/0!</v>
      </c>
      <c r="AQ20" s="668">
        <f>AVERAGE(AQ10:AQ16)</f>
        <v>7.2798554703324916</v>
      </c>
      <c r="AR20" s="668">
        <f t="shared" si="15"/>
        <v>6.6065981910411731</v>
      </c>
      <c r="AS20" s="668">
        <f t="shared" si="15"/>
        <v>5.9824593951251748</v>
      </c>
      <c r="AT20" s="668">
        <f t="shared" si="15"/>
        <v>5.4499196268422248</v>
      </c>
      <c r="AU20" s="668">
        <f t="shared" si="15"/>
        <v>5.0229046433156403</v>
      </c>
      <c r="AV20" s="668">
        <f t="shared" si="15"/>
        <v>4.6010708041193791</v>
      </c>
      <c r="AW20" s="668">
        <f t="shared" si="15"/>
        <v>4.2269475926210269</v>
      </c>
      <c r="AX20" s="668">
        <f t="shared" si="15"/>
        <v>3.8870711138803129</v>
      </c>
      <c r="AY20" s="668">
        <f t="shared" si="15"/>
        <v>3.5400084428573959</v>
      </c>
      <c r="AZ20" s="668">
        <f t="shared" si="15"/>
        <v>3.2561923778023059</v>
      </c>
      <c r="BA20" s="668">
        <f t="shared" si="15"/>
        <v>3.0204704237061448</v>
      </c>
      <c r="BB20" s="668">
        <f t="shared" si="15"/>
        <v>35.878984580162957</v>
      </c>
      <c r="BC20" s="668">
        <f t="shared" si="15"/>
        <v>31.876513874092058</v>
      </c>
      <c r="BD20" s="668">
        <f t="shared" si="15"/>
        <v>28.455568670383656</v>
      </c>
      <c r="BE20" s="668">
        <f t="shared" si="15"/>
        <v>25.452962161374096</v>
      </c>
      <c r="BF20" s="668">
        <f t="shared" si="15"/>
        <v>23.323386636421471</v>
      </c>
      <c r="BG20" s="668">
        <f t="shared" si="15"/>
        <v>21.35026636511396</v>
      </c>
      <c r="BH20" s="668">
        <f t="shared" si="15"/>
        <v>19.585614553704236</v>
      </c>
      <c r="BI20" s="668">
        <f t="shared" si="15"/>
        <v>18.001851642057492</v>
      </c>
      <c r="BJ20" s="668">
        <f t="shared" si="15"/>
        <v>16.519222414824728</v>
      </c>
      <c r="BK20" s="668">
        <f t="shared" si="15"/>
        <v>15.190703314175819</v>
      </c>
      <c r="BL20" s="668">
        <f t="shared" si="15"/>
        <v>13.969810499667076</v>
      </c>
      <c r="BM20" s="668">
        <f t="shared" si="15"/>
        <v>55.036834143272166</v>
      </c>
      <c r="BN20" s="668">
        <f t="shared" si="15"/>
        <v>49.072214378105365</v>
      </c>
      <c r="BO20" s="668">
        <f t="shared" si="15"/>
        <v>43.591227525757965</v>
      </c>
      <c r="BP20" s="668">
        <f t="shared" si="15"/>
        <v>38.819399566766229</v>
      </c>
      <c r="BQ20" s="668">
        <f t="shared" ref="BQ20:BW20" si="16">AVERAGE(BQ10:BQ16)</f>
        <v>35.583823529474707</v>
      </c>
      <c r="BR20" s="668">
        <f t="shared" si="16"/>
        <v>32.597207389334891</v>
      </c>
      <c r="BS20" s="668">
        <f t="shared" si="16"/>
        <v>29.929997208006633</v>
      </c>
      <c r="BT20" s="668">
        <f t="shared" si="16"/>
        <v>27.480391252975156</v>
      </c>
      <c r="BU20" s="668">
        <f t="shared" si="16"/>
        <v>25.245365205524973</v>
      </c>
      <c r="BV20" s="668">
        <f t="shared" si="16"/>
        <v>23.190673760996368</v>
      </c>
      <c r="BW20" s="668">
        <f t="shared" si="16"/>
        <v>21.368423429362263</v>
      </c>
    </row>
    <row r="21" spans="2:75" ht="14.25" customHeight="1">
      <c r="B21" s="582" t="s">
        <v>445</v>
      </c>
      <c r="C21" s="615"/>
      <c r="D21" s="667">
        <f>MEDIAN(D10:D16)</f>
        <v>1080</v>
      </c>
      <c r="E21" s="667">
        <f t="shared" ref="E21:BP21" si="17">MEDIAN(E10:E16)</f>
        <v>110000</v>
      </c>
      <c r="F21" s="667">
        <f t="shared" si="17"/>
        <v>-2800</v>
      </c>
      <c r="G21" s="667">
        <f t="shared" si="17"/>
        <v>108800</v>
      </c>
      <c r="H21" s="667" t="e">
        <f t="shared" si="17"/>
        <v>#NUM!</v>
      </c>
      <c r="I21" s="667">
        <f t="shared" si="17"/>
        <v>16500</v>
      </c>
      <c r="J21" s="667">
        <f t="shared" si="17"/>
        <v>18200</v>
      </c>
      <c r="K21" s="667">
        <f t="shared" si="17"/>
        <v>20500</v>
      </c>
      <c r="L21" s="667">
        <f t="shared" si="17"/>
        <v>23000</v>
      </c>
      <c r="M21" s="667">
        <f t="shared" si="17"/>
        <v>25506</v>
      </c>
      <c r="N21" s="667">
        <f t="shared" si="17"/>
        <v>27802</v>
      </c>
      <c r="O21" s="667">
        <f t="shared" si="17"/>
        <v>30304</v>
      </c>
      <c r="P21" s="667">
        <f t="shared" si="17"/>
        <v>33031</v>
      </c>
      <c r="Q21" s="667">
        <f t="shared" si="17"/>
        <v>36004</v>
      </c>
      <c r="R21" s="667">
        <f t="shared" si="17"/>
        <v>39244</v>
      </c>
      <c r="S21" s="667">
        <f t="shared" si="17"/>
        <v>42776</v>
      </c>
      <c r="T21" s="667">
        <f t="shared" si="17"/>
        <v>3200</v>
      </c>
      <c r="U21" s="667">
        <f t="shared" si="17"/>
        <v>3586</v>
      </c>
      <c r="V21" s="667">
        <f t="shared" si="17"/>
        <v>4027</v>
      </c>
      <c r="W21" s="667">
        <f t="shared" si="17"/>
        <v>4485</v>
      </c>
      <c r="X21" s="667">
        <f t="shared" si="17"/>
        <v>4889</v>
      </c>
      <c r="Y21" s="667">
        <f t="shared" si="17"/>
        <v>5329</v>
      </c>
      <c r="Z21" s="667">
        <f t="shared" si="17"/>
        <v>5809</v>
      </c>
      <c r="AA21" s="667">
        <f t="shared" si="17"/>
        <v>6331</v>
      </c>
      <c r="AB21" s="667">
        <f t="shared" si="17"/>
        <v>6901</v>
      </c>
      <c r="AC21" s="667">
        <f t="shared" si="17"/>
        <v>7522</v>
      </c>
      <c r="AD21" s="667">
        <f t="shared" si="17"/>
        <v>8199</v>
      </c>
      <c r="AE21" s="667">
        <f t="shared" si="17"/>
        <v>1950</v>
      </c>
      <c r="AF21" s="667">
        <f t="shared" si="17"/>
        <v>2280</v>
      </c>
      <c r="AG21" s="667">
        <f t="shared" si="17"/>
        <v>2580</v>
      </c>
      <c r="AH21" s="667">
        <f t="shared" si="17"/>
        <v>2900</v>
      </c>
      <c r="AI21" s="667">
        <f t="shared" si="17"/>
        <v>3161</v>
      </c>
      <c r="AJ21" s="667">
        <f t="shared" si="17"/>
        <v>3446</v>
      </c>
      <c r="AK21" s="667">
        <f t="shared" si="17"/>
        <v>3756</v>
      </c>
      <c r="AL21" s="667">
        <f t="shared" si="17"/>
        <v>4094</v>
      </c>
      <c r="AM21" s="667">
        <f t="shared" si="17"/>
        <v>4462</v>
      </c>
      <c r="AN21" s="667">
        <f t="shared" si="17"/>
        <v>4864</v>
      </c>
      <c r="AO21" s="667">
        <f t="shared" si="17"/>
        <v>5301</v>
      </c>
      <c r="AP21" s="667" t="e">
        <f t="shared" si="17"/>
        <v>#NUM!</v>
      </c>
      <c r="AQ21" s="668">
        <f t="shared" si="17"/>
        <v>7.3</v>
      </c>
      <c r="AR21" s="668">
        <f t="shared" si="17"/>
        <v>6.7</v>
      </c>
      <c r="AS21" s="668">
        <f t="shared" si="17"/>
        <v>6</v>
      </c>
      <c r="AT21" s="668">
        <f t="shared" si="17"/>
        <v>5.5</v>
      </c>
      <c r="AU21" s="668">
        <f t="shared" si="17"/>
        <v>5.0999999999999996</v>
      </c>
      <c r="AV21" s="668">
        <f t="shared" si="17"/>
        <v>4.7</v>
      </c>
      <c r="AW21" s="668">
        <f t="shared" si="17"/>
        <v>4.3</v>
      </c>
      <c r="AX21" s="668">
        <f t="shared" si="17"/>
        <v>4</v>
      </c>
      <c r="AY21" s="668">
        <f t="shared" si="17"/>
        <v>3.6</v>
      </c>
      <c r="AZ21" s="668">
        <f t="shared" si="17"/>
        <v>3.3</v>
      </c>
      <c r="BA21" s="668">
        <f t="shared" si="17"/>
        <v>3.1</v>
      </c>
      <c r="BB21" s="668">
        <f t="shared" si="17"/>
        <v>35.299999999999997</v>
      </c>
      <c r="BC21" s="668">
        <f t="shared" si="17"/>
        <v>31.2</v>
      </c>
      <c r="BD21" s="668">
        <f t="shared" si="17"/>
        <v>27.888980692685571</v>
      </c>
      <c r="BE21" s="668">
        <f t="shared" si="17"/>
        <v>25.2</v>
      </c>
      <c r="BF21" s="668">
        <f t="shared" si="17"/>
        <v>23.06370645495031</v>
      </c>
      <c r="BG21" s="668">
        <f t="shared" si="17"/>
        <v>20.951864555797723</v>
      </c>
      <c r="BH21" s="668">
        <f t="shared" si="17"/>
        <v>19.199301875929653</v>
      </c>
      <c r="BI21" s="668">
        <f t="shared" si="17"/>
        <v>17.612961494402462</v>
      </c>
      <c r="BJ21" s="668">
        <f t="shared" si="17"/>
        <v>16.234556903773111</v>
      </c>
      <c r="BK21" s="668">
        <f t="shared" si="17"/>
        <v>15</v>
      </c>
      <c r="BL21" s="668">
        <f t="shared" si="17"/>
        <v>13.8</v>
      </c>
      <c r="BM21" s="668">
        <f t="shared" si="17"/>
        <v>53.6</v>
      </c>
      <c r="BN21" s="668">
        <f t="shared" si="17"/>
        <v>47.2</v>
      </c>
      <c r="BO21" s="668">
        <f t="shared" si="17"/>
        <v>42.6</v>
      </c>
      <c r="BP21" s="668">
        <f t="shared" si="17"/>
        <v>37.9</v>
      </c>
      <c r="BQ21" s="668">
        <f t="shared" ref="BQ21:BW21" si="18">MEDIAN(BQ10:BQ16)</f>
        <v>34.799999999999997</v>
      </c>
      <c r="BR21" s="668">
        <f t="shared" si="18"/>
        <v>31.9</v>
      </c>
      <c r="BS21" s="668">
        <f t="shared" si="18"/>
        <v>29.3</v>
      </c>
      <c r="BT21" s="668">
        <f t="shared" si="18"/>
        <v>26.9</v>
      </c>
      <c r="BU21" s="668">
        <f t="shared" si="18"/>
        <v>24.7</v>
      </c>
      <c r="BV21" s="668">
        <f t="shared" si="18"/>
        <v>22.6</v>
      </c>
      <c r="BW21" s="668">
        <f t="shared" si="18"/>
        <v>20.8</v>
      </c>
    </row>
    <row r="22" spans="2:75" ht="14.25" customHeight="1">
      <c r="B22" s="582" t="s">
        <v>1203</v>
      </c>
      <c r="C22" s="615"/>
      <c r="D22" s="667">
        <f>_xlfn.QUARTILE.INC(D10:D16,1)</f>
        <v>795</v>
      </c>
      <c r="E22" s="667">
        <f t="shared" ref="E22:BP22" si="19">_xlfn.QUARTILE.INC(E10:E16,1)</f>
        <v>85200</v>
      </c>
      <c r="F22" s="667">
        <f t="shared" si="19"/>
        <v>-3350</v>
      </c>
      <c r="G22" s="667">
        <f t="shared" si="19"/>
        <v>84700</v>
      </c>
      <c r="H22" s="667" t="e">
        <f t="shared" si="19"/>
        <v>#NUM!</v>
      </c>
      <c r="I22" s="667">
        <f t="shared" si="19"/>
        <v>13691.5</v>
      </c>
      <c r="J22" s="667">
        <f t="shared" si="19"/>
        <v>14950</v>
      </c>
      <c r="K22" s="667">
        <f t="shared" si="19"/>
        <v>16350</v>
      </c>
      <c r="L22" s="667">
        <f t="shared" si="19"/>
        <v>17750</v>
      </c>
      <c r="M22" s="667">
        <f t="shared" si="19"/>
        <v>19267.5</v>
      </c>
      <c r="N22" s="667">
        <f t="shared" si="19"/>
        <v>20915</v>
      </c>
      <c r="O22" s="667">
        <f t="shared" si="19"/>
        <v>22704</v>
      </c>
      <c r="P22" s="667">
        <f t="shared" si="19"/>
        <v>24647</v>
      </c>
      <c r="Q22" s="667">
        <f t="shared" si="19"/>
        <v>26756</v>
      </c>
      <c r="R22" s="667">
        <f t="shared" si="19"/>
        <v>29046.5</v>
      </c>
      <c r="S22" s="667">
        <f t="shared" si="19"/>
        <v>31534</v>
      </c>
      <c r="T22" s="667">
        <f t="shared" si="19"/>
        <v>2398</v>
      </c>
      <c r="U22" s="667">
        <f t="shared" si="19"/>
        <v>2816</v>
      </c>
      <c r="V22" s="667">
        <f t="shared" si="19"/>
        <v>3198</v>
      </c>
      <c r="W22" s="667">
        <f t="shared" si="19"/>
        <v>3635</v>
      </c>
      <c r="X22" s="667">
        <f t="shared" si="19"/>
        <v>3984.5</v>
      </c>
      <c r="Y22" s="667">
        <f t="shared" si="19"/>
        <v>4368</v>
      </c>
      <c r="Z22" s="667">
        <f t="shared" si="19"/>
        <v>4789</v>
      </c>
      <c r="AA22" s="667">
        <f t="shared" si="19"/>
        <v>5252.5</v>
      </c>
      <c r="AB22" s="667">
        <f t="shared" si="19"/>
        <v>5763</v>
      </c>
      <c r="AC22" s="667">
        <f t="shared" si="19"/>
        <v>6323</v>
      </c>
      <c r="AD22" s="667">
        <f t="shared" si="19"/>
        <v>6938</v>
      </c>
      <c r="AE22" s="667">
        <f t="shared" si="19"/>
        <v>1665</v>
      </c>
      <c r="AF22" s="667">
        <f t="shared" si="19"/>
        <v>1860</v>
      </c>
      <c r="AG22" s="667">
        <f t="shared" si="19"/>
        <v>2090</v>
      </c>
      <c r="AH22" s="667">
        <f t="shared" si="19"/>
        <v>2345</v>
      </c>
      <c r="AI22" s="667">
        <f t="shared" si="19"/>
        <v>2566.5</v>
      </c>
      <c r="AJ22" s="667">
        <f t="shared" si="19"/>
        <v>2809</v>
      </c>
      <c r="AK22" s="667">
        <f t="shared" si="19"/>
        <v>3075</v>
      </c>
      <c r="AL22" s="667">
        <f t="shared" si="19"/>
        <v>3367.5</v>
      </c>
      <c r="AM22" s="667">
        <f t="shared" si="19"/>
        <v>3688</v>
      </c>
      <c r="AN22" s="667">
        <f t="shared" si="19"/>
        <v>4040</v>
      </c>
      <c r="AO22" s="667">
        <f t="shared" si="19"/>
        <v>4426.5</v>
      </c>
      <c r="AP22" s="667" t="e">
        <f t="shared" si="19"/>
        <v>#NUM!</v>
      </c>
      <c r="AQ22" s="668">
        <f t="shared" si="19"/>
        <v>6.3000000000000007</v>
      </c>
      <c r="AR22" s="668">
        <f t="shared" si="19"/>
        <v>5.7</v>
      </c>
      <c r="AS22" s="668">
        <f t="shared" si="19"/>
        <v>5.2</v>
      </c>
      <c r="AT22" s="668">
        <f t="shared" si="19"/>
        <v>4.75</v>
      </c>
      <c r="AU22" s="668">
        <f t="shared" si="19"/>
        <v>4.4000000000000004</v>
      </c>
      <c r="AV22" s="668">
        <f t="shared" si="19"/>
        <v>4.05</v>
      </c>
      <c r="AW22" s="668">
        <f t="shared" si="19"/>
        <v>3.75</v>
      </c>
      <c r="AX22" s="668">
        <f t="shared" si="19"/>
        <v>3.45</v>
      </c>
      <c r="AY22" s="668">
        <f t="shared" si="19"/>
        <v>3.1500000000000004</v>
      </c>
      <c r="AZ22" s="668">
        <f t="shared" si="19"/>
        <v>2.9</v>
      </c>
      <c r="BA22" s="668">
        <f t="shared" si="19"/>
        <v>2.7</v>
      </c>
      <c r="BB22" s="668">
        <f t="shared" si="19"/>
        <v>33.276446030570327</v>
      </c>
      <c r="BC22" s="668">
        <f t="shared" si="19"/>
        <v>30.467798559322205</v>
      </c>
      <c r="BD22" s="668">
        <f t="shared" si="19"/>
        <v>27</v>
      </c>
      <c r="BE22" s="668">
        <f t="shared" si="19"/>
        <v>23.75</v>
      </c>
      <c r="BF22" s="668">
        <f t="shared" si="19"/>
        <v>21.6</v>
      </c>
      <c r="BG22" s="668">
        <f t="shared" si="19"/>
        <v>19.600000000000001</v>
      </c>
      <c r="BH22" s="668">
        <f t="shared" si="19"/>
        <v>18.049999999999997</v>
      </c>
      <c r="BI22" s="668">
        <f t="shared" si="19"/>
        <v>16.7</v>
      </c>
      <c r="BJ22" s="668">
        <f t="shared" si="19"/>
        <v>15.350000000000001</v>
      </c>
      <c r="BK22" s="668">
        <f t="shared" si="19"/>
        <v>14.15</v>
      </c>
      <c r="BL22" s="668">
        <f t="shared" si="19"/>
        <v>13.05</v>
      </c>
      <c r="BM22" s="668">
        <f t="shared" si="19"/>
        <v>48.528919501452535</v>
      </c>
      <c r="BN22" s="668">
        <f t="shared" si="19"/>
        <v>46.552750323368784</v>
      </c>
      <c r="BO22" s="668">
        <f t="shared" si="19"/>
        <v>41.6</v>
      </c>
      <c r="BP22" s="668">
        <f t="shared" si="19"/>
        <v>37.25</v>
      </c>
      <c r="BQ22" s="668">
        <f t="shared" ref="BQ22:BW22" si="20">_xlfn.QUARTILE.INC(BQ10:BQ16,1)</f>
        <v>34.349999999999994</v>
      </c>
      <c r="BR22" s="668">
        <f t="shared" si="20"/>
        <v>31.6</v>
      </c>
      <c r="BS22" s="668">
        <f t="shared" si="20"/>
        <v>28.9</v>
      </c>
      <c r="BT22" s="668">
        <f t="shared" si="20"/>
        <v>26.3</v>
      </c>
      <c r="BU22" s="668">
        <f t="shared" si="20"/>
        <v>23.9</v>
      </c>
      <c r="BV22" s="668">
        <f t="shared" si="20"/>
        <v>21.700000000000003</v>
      </c>
      <c r="BW22" s="668">
        <f t="shared" si="20"/>
        <v>19.75</v>
      </c>
    </row>
    <row r="23" spans="2:75" ht="14.25" customHeight="1">
      <c r="B23" s="582" t="s">
        <v>1204</v>
      </c>
      <c r="C23" s="615"/>
      <c r="D23" s="667">
        <f>MIN(D10:D16)</f>
        <v>430</v>
      </c>
      <c r="E23" s="667">
        <f t="shared" ref="E23:BP23" si="21">MIN(E10:E16)</f>
        <v>76304</v>
      </c>
      <c r="F23" s="667">
        <f t="shared" si="21"/>
        <v>-5906</v>
      </c>
      <c r="G23" s="667">
        <f t="shared" si="21"/>
        <v>73804</v>
      </c>
      <c r="H23" s="667">
        <f t="shared" si="21"/>
        <v>0</v>
      </c>
      <c r="I23" s="667">
        <f t="shared" si="21"/>
        <v>10470</v>
      </c>
      <c r="J23" s="667">
        <f t="shared" si="21"/>
        <v>11800</v>
      </c>
      <c r="K23" s="667">
        <f t="shared" si="21"/>
        <v>13100</v>
      </c>
      <c r="L23" s="667">
        <f t="shared" si="21"/>
        <v>14400</v>
      </c>
      <c r="M23" s="667">
        <f t="shared" si="21"/>
        <v>15552</v>
      </c>
      <c r="N23" s="667">
        <f t="shared" si="21"/>
        <v>16796</v>
      </c>
      <c r="O23" s="667">
        <f t="shared" si="21"/>
        <v>18140</v>
      </c>
      <c r="P23" s="667">
        <f t="shared" si="21"/>
        <v>19591</v>
      </c>
      <c r="Q23" s="667">
        <f t="shared" si="21"/>
        <v>21158</v>
      </c>
      <c r="R23" s="667">
        <f t="shared" si="21"/>
        <v>22851</v>
      </c>
      <c r="S23" s="667">
        <f t="shared" si="21"/>
        <v>24679</v>
      </c>
      <c r="T23" s="667">
        <f t="shared" si="21"/>
        <v>2100</v>
      </c>
      <c r="U23" s="667">
        <f t="shared" si="21"/>
        <v>2360</v>
      </c>
      <c r="V23" s="667">
        <f t="shared" si="21"/>
        <v>2686</v>
      </c>
      <c r="W23" s="667">
        <f t="shared" si="21"/>
        <v>2952</v>
      </c>
      <c r="X23" s="667">
        <f t="shared" si="21"/>
        <v>3187</v>
      </c>
      <c r="Y23" s="667">
        <f t="shared" si="21"/>
        <v>3443</v>
      </c>
      <c r="Z23" s="667">
        <f t="shared" si="21"/>
        <v>3718</v>
      </c>
      <c r="AA23" s="667">
        <f t="shared" si="21"/>
        <v>4016</v>
      </c>
      <c r="AB23" s="667">
        <f t="shared" si="21"/>
        <v>4337</v>
      </c>
      <c r="AC23" s="667">
        <f t="shared" si="21"/>
        <v>4684</v>
      </c>
      <c r="AD23" s="667">
        <f t="shared" si="21"/>
        <v>5059</v>
      </c>
      <c r="AE23" s="667">
        <f t="shared" si="21"/>
        <v>1350</v>
      </c>
      <c r="AF23" s="667">
        <f t="shared" si="21"/>
        <v>1620</v>
      </c>
      <c r="AG23" s="667">
        <f t="shared" si="21"/>
        <v>1900</v>
      </c>
      <c r="AH23" s="667">
        <f t="shared" si="21"/>
        <v>2200</v>
      </c>
      <c r="AI23" s="667">
        <f t="shared" si="21"/>
        <v>2376</v>
      </c>
      <c r="AJ23" s="667">
        <f t="shared" si="21"/>
        <v>2566</v>
      </c>
      <c r="AK23" s="667">
        <f t="shared" si="21"/>
        <v>2771</v>
      </c>
      <c r="AL23" s="667">
        <f t="shared" si="21"/>
        <v>2993</v>
      </c>
      <c r="AM23" s="667">
        <f t="shared" si="21"/>
        <v>3232</v>
      </c>
      <c r="AN23" s="667">
        <f t="shared" si="21"/>
        <v>3491</v>
      </c>
      <c r="AO23" s="667">
        <f t="shared" si="21"/>
        <v>3770</v>
      </c>
      <c r="AP23" s="667">
        <f t="shared" si="21"/>
        <v>0</v>
      </c>
      <c r="AQ23" s="668">
        <f t="shared" si="21"/>
        <v>5.5</v>
      </c>
      <c r="AR23" s="668">
        <f t="shared" si="21"/>
        <v>5</v>
      </c>
      <c r="AS23" s="668">
        <f t="shared" si="21"/>
        <v>4.4000000000000004</v>
      </c>
      <c r="AT23" s="668">
        <f t="shared" si="21"/>
        <v>3.9</v>
      </c>
      <c r="AU23" s="668">
        <f t="shared" si="21"/>
        <v>3.6</v>
      </c>
      <c r="AV23" s="668">
        <f t="shared" si="21"/>
        <v>3.2</v>
      </c>
      <c r="AW23" s="668">
        <f t="shared" si="21"/>
        <v>2.9</v>
      </c>
      <c r="AX23" s="668">
        <f t="shared" si="21"/>
        <v>2.6</v>
      </c>
      <c r="AY23" s="668">
        <f t="shared" si="21"/>
        <v>2.2999999999999998</v>
      </c>
      <c r="AZ23" s="668">
        <f t="shared" si="21"/>
        <v>2.1</v>
      </c>
      <c r="BA23" s="668">
        <f t="shared" si="21"/>
        <v>1.9</v>
      </c>
      <c r="BB23" s="668">
        <f t="shared" si="21"/>
        <v>31.9</v>
      </c>
      <c r="BC23" s="668">
        <f t="shared" si="21"/>
        <v>27.1</v>
      </c>
      <c r="BD23" s="668">
        <f t="shared" si="21"/>
        <v>24.3</v>
      </c>
      <c r="BE23" s="668">
        <f t="shared" si="21"/>
        <v>22</v>
      </c>
      <c r="BF23" s="668">
        <f t="shared" si="21"/>
        <v>20.3</v>
      </c>
      <c r="BG23" s="668">
        <f t="shared" si="21"/>
        <v>18.8</v>
      </c>
      <c r="BH23" s="668">
        <f t="shared" si="21"/>
        <v>17</v>
      </c>
      <c r="BI23" s="668">
        <f t="shared" si="21"/>
        <v>15.3</v>
      </c>
      <c r="BJ23" s="668">
        <f t="shared" si="21"/>
        <v>13.8</v>
      </c>
      <c r="BK23" s="668">
        <f t="shared" si="21"/>
        <v>12.4</v>
      </c>
      <c r="BL23" s="668">
        <f t="shared" si="21"/>
        <v>11.2</v>
      </c>
      <c r="BM23" s="668">
        <f t="shared" si="21"/>
        <v>43.9</v>
      </c>
      <c r="BN23" s="668">
        <f t="shared" si="21"/>
        <v>38.700000000000003</v>
      </c>
      <c r="BO23" s="668">
        <f t="shared" si="21"/>
        <v>34.700000000000003</v>
      </c>
      <c r="BP23" s="668">
        <f t="shared" si="21"/>
        <v>31.3</v>
      </c>
      <c r="BQ23" s="668">
        <f t="shared" ref="BQ23:BW23" si="22">MIN(BQ10:BQ16)</f>
        <v>29</v>
      </c>
      <c r="BR23" s="668">
        <f t="shared" si="22"/>
        <v>26.8</v>
      </c>
      <c r="BS23" s="668">
        <f t="shared" si="22"/>
        <v>24.8</v>
      </c>
      <c r="BT23" s="668">
        <f t="shared" si="22"/>
        <v>23</v>
      </c>
      <c r="BU23" s="668">
        <f t="shared" si="22"/>
        <v>21.3</v>
      </c>
      <c r="BV23" s="668">
        <f t="shared" si="22"/>
        <v>19.7</v>
      </c>
      <c r="BW23" s="668">
        <f t="shared" si="22"/>
        <v>18.3</v>
      </c>
    </row>
    <row r="24" spans="2:75" ht="14.25" customHeight="1">
      <c r="B24" s="582"/>
      <c r="C24" s="615"/>
      <c r="D24" s="667"/>
      <c r="E24" s="667"/>
      <c r="F24" s="667"/>
      <c r="G24" s="667"/>
      <c r="H24" s="667"/>
      <c r="I24" s="667"/>
      <c r="J24" s="667"/>
      <c r="K24" s="667"/>
      <c r="L24" s="667"/>
      <c r="M24" s="667"/>
      <c r="N24" s="667"/>
      <c r="O24" s="667"/>
      <c r="P24" s="667"/>
      <c r="Q24" s="667"/>
      <c r="R24" s="667"/>
      <c r="S24" s="667"/>
      <c r="T24" s="667"/>
      <c r="U24" s="667"/>
      <c r="V24" s="667"/>
      <c r="W24" s="667"/>
      <c r="X24" s="667"/>
      <c r="Y24" s="667"/>
      <c r="Z24" s="667"/>
      <c r="AA24" s="667"/>
      <c r="AB24" s="667"/>
      <c r="AC24" s="667"/>
      <c r="AD24" s="667"/>
      <c r="AE24" s="667"/>
      <c r="AF24" s="667"/>
      <c r="AG24" s="667"/>
      <c r="AH24" s="667"/>
      <c r="AI24" s="667"/>
      <c r="AJ24" s="667"/>
      <c r="AK24" s="667"/>
      <c r="AL24" s="667"/>
      <c r="AM24" s="667"/>
      <c r="AN24" s="667"/>
      <c r="AO24" s="667"/>
      <c r="AP24" s="667"/>
      <c r="AQ24" s="668"/>
      <c r="AR24" s="668"/>
      <c r="AS24" s="668"/>
      <c r="AT24" s="668"/>
      <c r="AU24" s="668"/>
      <c r="AV24" s="668"/>
      <c r="AW24" s="668"/>
      <c r="AX24" s="668"/>
      <c r="AY24" s="668"/>
      <c r="AZ24" s="668"/>
      <c r="BA24" s="668"/>
      <c r="BB24" s="668"/>
      <c r="BC24" s="668"/>
      <c r="BD24" s="668"/>
      <c r="BE24" s="668"/>
      <c r="BF24" s="668"/>
      <c r="BG24" s="668"/>
      <c r="BH24" s="668"/>
      <c r="BI24" s="668"/>
      <c r="BJ24" s="668"/>
      <c r="BK24" s="668"/>
      <c r="BL24" s="668"/>
      <c r="BM24" s="668"/>
      <c r="BN24" s="668"/>
      <c r="BO24" s="668"/>
      <c r="BP24" s="668"/>
      <c r="BQ24" s="668"/>
      <c r="BR24" s="668"/>
      <c r="BS24" s="668"/>
      <c r="BT24" s="668"/>
      <c r="BU24" s="668"/>
      <c r="BV24" s="668"/>
      <c r="BW24" s="668"/>
    </row>
    <row r="25" spans="2:75" ht="14.25" customHeight="1">
      <c r="B25" s="582"/>
      <c r="C25" s="615"/>
      <c r="D25" s="667"/>
      <c r="E25" s="667"/>
      <c r="F25" s="667"/>
      <c r="G25" s="667"/>
      <c r="H25" s="667"/>
      <c r="I25" s="667"/>
      <c r="J25" s="667"/>
      <c r="K25" s="667"/>
      <c r="L25" s="667"/>
      <c r="M25" s="667"/>
      <c r="N25" s="667"/>
      <c r="O25" s="667"/>
      <c r="P25" s="667"/>
      <c r="Q25" s="667"/>
      <c r="R25" s="667"/>
      <c r="S25" s="667"/>
      <c r="T25" s="667"/>
      <c r="U25" s="667"/>
      <c r="V25" s="667"/>
      <c r="W25" s="667"/>
      <c r="X25" s="667"/>
      <c r="Y25" s="667"/>
      <c r="Z25" s="667"/>
      <c r="AA25" s="667"/>
      <c r="AB25" s="667"/>
      <c r="AC25" s="667"/>
      <c r="AD25" s="667"/>
      <c r="AE25" s="667"/>
      <c r="AF25" s="667"/>
      <c r="AG25" s="667"/>
      <c r="AH25" s="667"/>
      <c r="AI25" s="667"/>
      <c r="AJ25" s="667"/>
      <c r="AK25" s="667"/>
      <c r="AL25" s="667"/>
      <c r="AM25" s="667"/>
      <c r="AN25" s="667"/>
      <c r="AO25" s="667"/>
      <c r="AP25" s="667"/>
      <c r="AQ25" s="668"/>
      <c r="AR25" s="668"/>
      <c r="AS25" s="668"/>
      <c r="AT25" s="668"/>
      <c r="AU25" s="668"/>
      <c r="AV25" s="668"/>
      <c r="AW25" s="668"/>
      <c r="AX25" s="668"/>
      <c r="AY25" s="668"/>
      <c r="AZ25" s="668"/>
      <c r="BA25" s="668"/>
      <c r="BB25" s="668"/>
      <c r="BC25" s="668"/>
      <c r="BD25" s="668"/>
      <c r="BE25" s="668"/>
      <c r="BF25" s="668"/>
      <c r="BG25" s="668"/>
      <c r="BH25" s="668"/>
      <c r="BI25" s="668"/>
      <c r="BJ25" s="668"/>
      <c r="BK25" s="668"/>
      <c r="BL25" s="668"/>
      <c r="BM25" s="668"/>
      <c r="BN25" s="668"/>
      <c r="BO25" s="668"/>
      <c r="BP25" s="668"/>
      <c r="BQ25" s="668"/>
      <c r="BR25" s="668"/>
      <c r="BS25" s="668"/>
      <c r="BT25" s="668"/>
      <c r="BU25" s="668"/>
      <c r="BV25" s="668"/>
      <c r="BW25" s="668"/>
    </row>
    <row r="27" spans="2:75" ht="15.6" customHeight="1">
      <c r="B27" s="623" t="s">
        <v>1301</v>
      </c>
      <c r="C27" s="613"/>
    </row>
    <row r="28" spans="2:75">
      <c r="B28" s="580" t="s">
        <v>5</v>
      </c>
      <c r="C28" s="673">
        <f>$I$10</f>
        <v>63121</v>
      </c>
    </row>
    <row r="29" spans="2:75">
      <c r="B29" s="580" t="s">
        <v>63</v>
      </c>
      <c r="C29" s="673">
        <f>$T$10</f>
        <v>14851</v>
      </c>
    </row>
    <row r="30" spans="2:75">
      <c r="B30" s="580" t="s">
        <v>1220</v>
      </c>
      <c r="C30" s="673">
        <f>$AE$10</f>
        <v>10671</v>
      </c>
    </row>
    <row r="31" spans="2:75">
      <c r="B31" s="624" t="s">
        <v>1221</v>
      </c>
      <c r="C31" s="672" t="s">
        <v>1297</v>
      </c>
    </row>
    <row r="32" spans="2:75">
      <c r="B32" s="580" t="str">
        <f>C31</f>
        <v>EV/ Sales</v>
      </c>
      <c r="C32" s="664">
        <f>IF(B32="EV/ Sales",$AQ$21,IF(B32="EV/ EBITDA",$BB$21,$BM$21))</f>
        <v>7.3</v>
      </c>
    </row>
    <row r="33" spans="2:3">
      <c r="B33" s="676" t="s">
        <v>147</v>
      </c>
      <c r="C33" s="677">
        <f>IF(C31="EV/ Sales",C28*C32,IF(C31="EV/ EBITDA",C29*C32,C30*C32))</f>
        <v>460783.3</v>
      </c>
    </row>
    <row r="34" spans="2:3">
      <c r="B34" s="678"/>
      <c r="C34" s="679"/>
    </row>
    <row r="35" spans="2:3">
      <c r="B35" s="99" t="s">
        <v>152</v>
      </c>
      <c r="C35" s="675">
        <f>-('3Statement Model'!$I$61+'3Statement Model'!$I$70+'3Statement Model'!$I$71)</f>
        <v>-1648</v>
      </c>
    </row>
    <row r="36" spans="2:3">
      <c r="B36" s="99" t="s">
        <v>153</v>
      </c>
      <c r="C36" s="675">
        <f>'3Statement Model'!$I$102+'3Statement Model'!$I$103</f>
        <v>7554</v>
      </c>
    </row>
    <row r="37" spans="2:3">
      <c r="B37" s="99" t="s">
        <v>1019</v>
      </c>
      <c r="C37" s="675">
        <f>-'3Statement Model'!$I$56</f>
        <v>-207</v>
      </c>
    </row>
    <row r="38" spans="2:3">
      <c r="B38" s="99" t="s">
        <v>1016</v>
      </c>
      <c r="C38" s="675">
        <f>'3Statement Model'!$I$89+'3Statement Model'!$I$90+'3Statement Model'!$I$91</f>
        <v>909</v>
      </c>
    </row>
    <row r="39" spans="2:3">
      <c r="B39" s="39" t="s">
        <v>154</v>
      </c>
      <c r="C39" s="680">
        <f>SUM(C33:C38)</f>
        <v>467391.3</v>
      </c>
    </row>
    <row r="40" spans="2:3">
      <c r="B40" t="s">
        <v>1017</v>
      </c>
      <c r="C40" s="675">
        <f ca="1">-'Option value'!$E$28</f>
        <v>-81.716207593150102</v>
      </c>
    </row>
    <row r="41" spans="2:3" ht="15" thickBot="1">
      <c r="B41" s="53" t="s">
        <v>1273</v>
      </c>
      <c r="C41" s="681">
        <f ca="1">SUM(C39:C40)</f>
        <v>467309.58379240683</v>
      </c>
    </row>
    <row r="42" spans="2:3">
      <c r="B42" t="s">
        <v>1272</v>
      </c>
      <c r="C42" s="682">
        <v>235</v>
      </c>
    </row>
    <row r="43" spans="2:3">
      <c r="B43" s="39" t="s">
        <v>1274</v>
      </c>
      <c r="C43" s="683">
        <f ca="1">C41/C42</f>
        <v>1988.5514203932205</v>
      </c>
    </row>
    <row r="45" spans="2:3" ht="15.6" customHeight="1">
      <c r="B45" s="684" t="s">
        <v>1302</v>
      </c>
      <c r="C45" s="613"/>
    </row>
    <row r="46" spans="2:3">
      <c r="B46" s="580" t="s">
        <v>5</v>
      </c>
      <c r="C46" s="673">
        <f>$I$10</f>
        <v>63121</v>
      </c>
    </row>
    <row r="47" spans="2:3">
      <c r="B47" s="580" t="s">
        <v>63</v>
      </c>
      <c r="C47" s="673">
        <f>$T$10</f>
        <v>14851</v>
      </c>
    </row>
    <row r="48" spans="2:3">
      <c r="B48" s="580" t="s">
        <v>1220</v>
      </c>
      <c r="C48" s="673">
        <f>$AE$10</f>
        <v>10671</v>
      </c>
    </row>
    <row r="49" spans="2:3">
      <c r="B49" s="624" t="s">
        <v>1221</v>
      </c>
      <c r="C49" s="672" t="s">
        <v>1298</v>
      </c>
    </row>
    <row r="50" spans="2:3">
      <c r="B50" s="580" t="str">
        <f>C49</f>
        <v>EV/ EBITDA</v>
      </c>
      <c r="C50" s="664">
        <f>IF(B50="EV/ Sales",$AQ$21,IF(B50="EV/ EBITDA",$BB$21,$BM$21))</f>
        <v>35.299999999999997</v>
      </c>
    </row>
    <row r="51" spans="2:3">
      <c r="B51" s="676" t="s">
        <v>147</v>
      </c>
      <c r="C51" s="677">
        <f>IF(C49="EV/ Sales",C46*C50,IF(C49="EV/ EBITDA",C47*C50,C48*C50))</f>
        <v>524240.29999999993</v>
      </c>
    </row>
    <row r="52" spans="2:3">
      <c r="B52" s="678"/>
      <c r="C52" s="679"/>
    </row>
    <row r="53" spans="2:3">
      <c r="B53" s="99" t="s">
        <v>152</v>
      </c>
      <c r="C53" s="675">
        <f>-('3Statement Model'!$I$61+'3Statement Model'!$I$70+'3Statement Model'!$I$71)</f>
        <v>-1648</v>
      </c>
    </row>
    <row r="54" spans="2:3">
      <c r="B54" s="99" t="s">
        <v>153</v>
      </c>
      <c r="C54" s="675">
        <f>'3Statement Model'!$I$102+'3Statement Model'!$I$103</f>
        <v>7554</v>
      </c>
    </row>
    <row r="55" spans="2:3">
      <c r="B55" s="99" t="s">
        <v>1019</v>
      </c>
      <c r="C55" s="675">
        <f>-'3Statement Model'!$I$56</f>
        <v>-207</v>
      </c>
    </row>
    <row r="56" spans="2:3">
      <c r="B56" s="99" t="s">
        <v>1016</v>
      </c>
      <c r="C56" s="675">
        <f>'3Statement Model'!$I$89+'3Statement Model'!$I$90+'3Statement Model'!$I$91</f>
        <v>909</v>
      </c>
    </row>
    <row r="57" spans="2:3">
      <c r="B57" s="39" t="s">
        <v>154</v>
      </c>
      <c r="C57" s="680">
        <f>SUM(C51:C56)</f>
        <v>530848.29999999993</v>
      </c>
    </row>
    <row r="58" spans="2:3">
      <c r="B58" t="s">
        <v>1017</v>
      </c>
      <c r="C58" s="675">
        <f ca="1">-'Option value'!$E$28</f>
        <v>-81.716207593150102</v>
      </c>
    </row>
    <row r="59" spans="2:3" ht="15" thickBot="1">
      <c r="B59" s="53" t="s">
        <v>1273</v>
      </c>
      <c r="C59" s="681">
        <f ca="1">SUM(C57:C58)</f>
        <v>530766.58379240683</v>
      </c>
    </row>
    <row r="60" spans="2:3">
      <c r="B60" t="s">
        <v>1272</v>
      </c>
      <c r="C60" s="682">
        <v>235</v>
      </c>
    </row>
    <row r="61" spans="2:3">
      <c r="B61" s="39" t="s">
        <v>1274</v>
      </c>
      <c r="C61" s="683">
        <f ca="1">C59/C60</f>
        <v>2258.5812076272632</v>
      </c>
    </row>
    <row r="64" spans="2:3" ht="15.6">
      <c r="B64" s="684" t="s">
        <v>1340</v>
      </c>
      <c r="C64" s="613"/>
    </row>
    <row r="65" spans="2:3">
      <c r="B65" s="580" t="s">
        <v>5</v>
      </c>
      <c r="C65" s="673">
        <f>$I$10</f>
        <v>63121</v>
      </c>
    </row>
    <row r="66" spans="2:3">
      <c r="B66" s="580" t="s">
        <v>63</v>
      </c>
      <c r="C66" s="673">
        <f>$T$10</f>
        <v>14851</v>
      </c>
    </row>
    <row r="67" spans="2:3">
      <c r="B67" s="580" t="s">
        <v>1220</v>
      </c>
      <c r="C67" s="673">
        <f>$AE$10</f>
        <v>10671</v>
      </c>
    </row>
    <row r="68" spans="2:3">
      <c r="B68" s="624" t="s">
        <v>1221</v>
      </c>
      <c r="C68" s="672" t="s">
        <v>1200</v>
      </c>
    </row>
    <row r="69" spans="2:3">
      <c r="B69" s="580" t="str">
        <f>C68</f>
        <v>P/E</v>
      </c>
      <c r="C69" s="664">
        <f>IF(B69="EV/ Sales",$AQ$21,IF(B69="EV/ EBITDA",$BB$21,$BM$21))</f>
        <v>53.6</v>
      </c>
    </row>
    <row r="70" spans="2:3">
      <c r="B70" s="676" t="s">
        <v>147</v>
      </c>
      <c r="C70" s="677">
        <f>IF(C68="EV/ Sales",C65*C69,IF(C68="EV/ EBITDA",C66*C69,C67*C69))</f>
        <v>571965.6</v>
      </c>
    </row>
    <row r="71" spans="2:3">
      <c r="B71" s="678"/>
      <c r="C71" s="679"/>
    </row>
    <row r="72" spans="2:3">
      <c r="B72" s="99" t="s">
        <v>152</v>
      </c>
      <c r="C72" s="675">
        <f>-('3Statement Model'!$I$61+'3Statement Model'!$I$70+'3Statement Model'!$I$71)</f>
        <v>-1648</v>
      </c>
    </row>
    <row r="73" spans="2:3">
      <c r="B73" s="99" t="s">
        <v>153</v>
      </c>
      <c r="C73" s="675">
        <f>'3Statement Model'!$I$102+'3Statement Model'!$I$103</f>
        <v>7554</v>
      </c>
    </row>
    <row r="74" spans="2:3">
      <c r="B74" s="99" t="s">
        <v>1019</v>
      </c>
      <c r="C74" s="675">
        <f>-'3Statement Model'!$I$56</f>
        <v>-207</v>
      </c>
    </row>
    <row r="75" spans="2:3">
      <c r="B75" s="99" t="s">
        <v>1016</v>
      </c>
      <c r="C75" s="675">
        <f>'3Statement Model'!$I$89+'3Statement Model'!$I$90+'3Statement Model'!$I$91</f>
        <v>909</v>
      </c>
    </row>
    <row r="76" spans="2:3">
      <c r="B76" s="39" t="s">
        <v>154</v>
      </c>
      <c r="C76" s="680">
        <f>SUM(C70:C75)</f>
        <v>578573.6</v>
      </c>
    </row>
    <row r="77" spans="2:3">
      <c r="B77" t="s">
        <v>1017</v>
      </c>
      <c r="C77" s="675">
        <f ca="1">-'Option value'!$E$28</f>
        <v>-81.716207593150102</v>
      </c>
    </row>
    <row r="78" spans="2:3" ht="15" thickBot="1">
      <c r="B78" s="53" t="s">
        <v>1273</v>
      </c>
      <c r="C78" s="681">
        <f ca="1">SUM(C76:C77)</f>
        <v>578491.88379240688</v>
      </c>
    </row>
    <row r="79" spans="2:3">
      <c r="B79" t="s">
        <v>1272</v>
      </c>
      <c r="C79" s="682">
        <v>235</v>
      </c>
    </row>
    <row r="80" spans="2:3">
      <c r="B80" s="39" t="s">
        <v>1274</v>
      </c>
      <c r="C80" s="683">
        <f ca="1">C78/C79</f>
        <v>2461.6675906059868</v>
      </c>
    </row>
    <row r="110" spans="2:6" ht="14.25" customHeight="1">
      <c r="B110" s="606" t="s">
        <v>1205</v>
      </c>
    </row>
    <row r="112" spans="2:6" ht="14.25" customHeight="1">
      <c r="B112" s="607" t="s">
        <v>1206</v>
      </c>
      <c r="D112" s="608" t="s">
        <v>52</v>
      </c>
      <c r="E112" s="608" t="s">
        <v>63</v>
      </c>
      <c r="F112" s="608" t="s">
        <v>1197</v>
      </c>
    </row>
    <row r="113" spans="2:30" ht="14.25" customHeight="1">
      <c r="D113" s="604">
        <v>63121</v>
      </c>
      <c r="E113" s="604">
        <v>14851</v>
      </c>
      <c r="F113" s="604">
        <v>10114</v>
      </c>
    </row>
    <row r="115" spans="2:30" ht="14.25" customHeight="1">
      <c r="B115" s="614" t="s">
        <v>1058</v>
      </c>
      <c r="C115" s="614" t="s">
        <v>1207</v>
      </c>
      <c r="D115" s="614" t="s">
        <v>1208</v>
      </c>
      <c r="E115" s="614" t="s">
        <v>1209</v>
      </c>
      <c r="F115" s="614" t="s">
        <v>1210</v>
      </c>
      <c r="G115" s="614" t="s">
        <v>1211</v>
      </c>
      <c r="H115" s="618"/>
    </row>
    <row r="116" spans="2:30" ht="14.25" customHeight="1">
      <c r="B116" s="565" t="s">
        <v>1212</v>
      </c>
      <c r="C116" s="566" t="s">
        <v>52</v>
      </c>
      <c r="D116" s="609">
        <v>7.2</v>
      </c>
      <c r="E116" s="609">
        <v>7</v>
      </c>
      <c r="F116" s="605">
        <v>454471</v>
      </c>
      <c r="G116" s="605">
        <v>441847</v>
      </c>
      <c r="H116" s="611"/>
      <c r="I116" s="581" t="s">
        <v>1213</v>
      </c>
      <c r="J116" s="581"/>
      <c r="K116" s="581"/>
      <c r="L116" s="581"/>
      <c r="M116" s="581"/>
      <c r="N116" s="581"/>
      <c r="O116" s="581"/>
      <c r="P116" s="581"/>
      <c r="Q116" s="581"/>
      <c r="R116" s="581"/>
      <c r="S116" s="581"/>
      <c r="T116" s="581"/>
      <c r="U116" s="581"/>
      <c r="V116" s="581"/>
      <c r="W116" s="581"/>
      <c r="X116" s="581"/>
      <c r="Y116" s="581"/>
      <c r="Z116" s="581"/>
      <c r="AA116" s="581"/>
      <c r="AB116" s="581"/>
      <c r="AC116" s="581"/>
      <c r="AD116" s="581"/>
    </row>
    <row r="117" spans="2:30" ht="14.25" customHeight="1">
      <c r="B117" s="565" t="s">
        <v>1214</v>
      </c>
      <c r="C117" s="566" t="s">
        <v>63</v>
      </c>
      <c r="D117" s="609">
        <v>36.4</v>
      </c>
      <c r="E117" s="609">
        <v>36</v>
      </c>
      <c r="F117" s="605">
        <v>540576</v>
      </c>
      <c r="G117" s="605">
        <v>534636</v>
      </c>
      <c r="H117" s="611"/>
      <c r="I117" s="581" t="s">
        <v>1213</v>
      </c>
      <c r="J117" s="581"/>
      <c r="K117" s="581"/>
      <c r="L117" s="581"/>
      <c r="M117" s="581"/>
      <c r="N117" s="581"/>
      <c r="O117" s="581"/>
      <c r="P117" s="581"/>
      <c r="Q117" s="581"/>
      <c r="R117" s="581"/>
      <c r="S117" s="581"/>
      <c r="T117" s="581"/>
      <c r="U117" s="581"/>
      <c r="V117" s="581"/>
      <c r="W117" s="581"/>
      <c r="X117" s="581"/>
      <c r="Y117" s="581"/>
      <c r="Z117" s="581"/>
      <c r="AA117" s="581"/>
      <c r="AB117" s="581"/>
      <c r="AC117" s="581"/>
      <c r="AD117" s="581"/>
    </row>
    <row r="118" spans="2:30" ht="14.25" customHeight="1">
      <c r="B118" s="565" t="s">
        <v>1215</v>
      </c>
      <c r="C118" s="566" t="s">
        <v>1197</v>
      </c>
      <c r="D118" s="609">
        <v>56.6</v>
      </c>
      <c r="E118" s="609">
        <v>55</v>
      </c>
      <c r="F118" s="605">
        <v>572452</v>
      </c>
      <c r="G118" s="605">
        <v>556270</v>
      </c>
      <c r="H118" s="611"/>
      <c r="I118" s="581" t="s">
        <v>1216</v>
      </c>
      <c r="J118" s="581"/>
      <c r="K118" s="581"/>
      <c r="L118" s="581"/>
      <c r="M118" s="581"/>
      <c r="N118" s="581"/>
      <c r="O118" s="581"/>
      <c r="P118" s="581"/>
      <c r="Q118" s="581"/>
      <c r="R118" s="581"/>
      <c r="S118" s="581"/>
      <c r="T118" s="581"/>
      <c r="U118" s="581"/>
      <c r="V118" s="581"/>
      <c r="W118" s="581"/>
      <c r="X118" s="581"/>
      <c r="Y118" s="581"/>
      <c r="Z118" s="581"/>
      <c r="AA118" s="581"/>
      <c r="AB118" s="581"/>
      <c r="AC118" s="581"/>
      <c r="AD118" s="581"/>
    </row>
    <row r="120" spans="2:30" ht="14.25" customHeight="1">
      <c r="B120" s="581" t="s">
        <v>1217</v>
      </c>
    </row>
    <row r="121" spans="2:30" ht="14.25" customHeight="1">
      <c r="B121" s="581" t="s">
        <v>1218</v>
      </c>
    </row>
    <row r="122" spans="2:30" ht="14.25" customHeight="1">
      <c r="B122" s="581" t="s">
        <v>1219</v>
      </c>
    </row>
  </sheetData>
  <mergeCells count="1">
    <mergeCell ref="B7:G7"/>
  </mergeCells>
  <dataValidations count="1">
    <dataValidation type="list" allowBlank="1" showInputMessage="1" showErrorMessage="1" sqref="C31 C49 C68" xr:uid="{6134EC92-C375-4B14-A001-66D6BCFC68B0}">
      <formula1>$BY$13:$BY$15</formula1>
    </dataValidation>
  </dataValidation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3219-DCAE-41F6-A03F-0FD90212A43C}">
  <dimension ref="B3:P13"/>
  <sheetViews>
    <sheetView showGridLines="0" workbookViewId="0">
      <selection activeCell="C20" sqref="C20"/>
    </sheetView>
  </sheetViews>
  <sheetFormatPr defaultRowHeight="14.4"/>
  <cols>
    <col min="1" max="1" width="1.88671875" customWidth="1"/>
    <col min="2" max="2" width="36.21875" customWidth="1"/>
    <col min="3" max="3" width="18.21875" customWidth="1"/>
    <col min="4" max="4" width="21.77734375" customWidth="1"/>
    <col min="5" max="5" width="11" customWidth="1"/>
    <col min="6" max="6" width="15.44140625" customWidth="1"/>
    <col min="7" max="7" width="20.109375" customWidth="1"/>
    <col min="8" max="8" width="18.21875" customWidth="1"/>
  </cols>
  <sheetData>
    <row r="3" spans="2:16" ht="21">
      <c r="B3" s="13" t="str">
        <f>'Input Sheet'!C6</f>
        <v>Hindustan Unilever Ltd.</v>
      </c>
    </row>
    <row r="5" spans="2:16" ht="18">
      <c r="B5" s="738" t="s">
        <v>1328</v>
      </c>
    </row>
    <row r="6" spans="2:16">
      <c r="B6" s="16" t="s">
        <v>1300</v>
      </c>
    </row>
    <row r="7" spans="2:16" ht="28.8">
      <c r="B7" s="691" t="s">
        <v>1329</v>
      </c>
      <c r="C7" s="690" t="s">
        <v>147</v>
      </c>
      <c r="D7" s="690" t="s">
        <v>1330</v>
      </c>
      <c r="E7" s="690" t="s">
        <v>1331</v>
      </c>
      <c r="F7" s="690" t="s">
        <v>1332</v>
      </c>
      <c r="G7" s="690" t="s">
        <v>1333</v>
      </c>
      <c r="H7" s="690" t="s">
        <v>1334</v>
      </c>
      <c r="I7" s="641"/>
      <c r="J7" s="641"/>
      <c r="K7" s="641"/>
      <c r="L7" s="641"/>
      <c r="M7" s="641"/>
      <c r="N7" s="641"/>
      <c r="O7" s="641"/>
      <c r="P7" s="641"/>
    </row>
    <row r="8" spans="2:16" ht="2.4" customHeight="1"/>
    <row r="9" spans="2:16">
      <c r="B9" s="29" t="s">
        <v>1335</v>
      </c>
      <c r="C9" s="692">
        <f>DCFVal!E39</f>
        <v>399560.15240829857</v>
      </c>
      <c r="D9" s="692">
        <f ca="1">DCFVal!E49</f>
        <v>406086.43620070542</v>
      </c>
      <c r="E9" s="692">
        <f ca="1">DCFVal!E51</f>
        <v>1728.0273880881082</v>
      </c>
      <c r="F9" s="692">
        <v>2095</v>
      </c>
      <c r="G9" s="692">
        <f ca="1">E9-F9</f>
        <v>-366.97261191189182</v>
      </c>
      <c r="H9" s="693">
        <f ca="1">G9/F9</f>
        <v>-0.17516592454028249</v>
      </c>
    </row>
    <row r="10" spans="2:16">
      <c r="B10" s="29" t="s">
        <v>1336</v>
      </c>
      <c r="C10" s="692">
        <f>DCFVal!E60</f>
        <v>423885.44365679892</v>
      </c>
      <c r="D10" s="692">
        <f ca="1">DCFVal!E70</f>
        <v>430411.72744920576</v>
      </c>
      <c r="E10" s="692">
        <f ca="1">DCFVal!E72</f>
        <v>1831.5392657413011</v>
      </c>
      <c r="F10" s="692">
        <v>2095</v>
      </c>
      <c r="G10" s="692">
        <f t="shared" ref="G10:G13" ca="1" si="0">E10-F10</f>
        <v>-263.46073425869895</v>
      </c>
      <c r="H10" s="693">
        <f t="shared" ref="H10:H13" ca="1" si="1">G10/F10</f>
        <v>-0.1257569137273026</v>
      </c>
    </row>
    <row r="11" spans="2:16">
      <c r="B11" s="29" t="s">
        <v>1337</v>
      </c>
      <c r="C11" s="692">
        <f>Relative_Val!C51</f>
        <v>524240.29999999993</v>
      </c>
      <c r="D11" s="692">
        <f ca="1">Relative_Val!C59</f>
        <v>530766.58379240683</v>
      </c>
      <c r="E11" s="692">
        <f ca="1">Relative_Val!C61</f>
        <v>2258.5812076272632</v>
      </c>
      <c r="F11" s="692">
        <v>2095</v>
      </c>
      <c r="G11" s="692">
        <f t="shared" ca="1" si="0"/>
        <v>163.58120762726321</v>
      </c>
      <c r="H11" s="693">
        <f t="shared" ca="1" si="1"/>
        <v>7.8081722017786737E-2</v>
      </c>
    </row>
    <row r="12" spans="2:16">
      <c r="B12" s="29" t="s">
        <v>1338</v>
      </c>
      <c r="C12" s="692">
        <f>Relative_Val!C33</f>
        <v>460783.3</v>
      </c>
      <c r="D12" s="692">
        <f ca="1">Relative_Val!C41</f>
        <v>467309.58379240683</v>
      </c>
      <c r="E12" s="692">
        <f ca="1">Relative_Val!C43</f>
        <v>1988.5514203932205</v>
      </c>
      <c r="F12" s="692">
        <v>2095</v>
      </c>
      <c r="G12" s="692">
        <f t="shared" ca="1" si="0"/>
        <v>-106.4485796067795</v>
      </c>
      <c r="H12" s="693">
        <f t="shared" ca="1" si="1"/>
        <v>-5.081077785526468E-2</v>
      </c>
    </row>
    <row r="13" spans="2:16">
      <c r="B13" s="29" t="s">
        <v>1339</v>
      </c>
      <c r="C13" s="692">
        <f>Relative_Val!C70</f>
        <v>571965.6</v>
      </c>
      <c r="D13" s="692">
        <f ca="1">Relative_Val!C78</f>
        <v>578491.88379240688</v>
      </c>
      <c r="E13" s="692">
        <f ca="1">Relative_Val!C80</f>
        <v>2461.6675906059868</v>
      </c>
      <c r="F13" s="692">
        <v>2095</v>
      </c>
      <c r="G13" s="692">
        <f t="shared" ca="1" si="0"/>
        <v>366.66759060598679</v>
      </c>
      <c r="H13" s="693">
        <f t="shared" ca="1" si="1"/>
        <v>0.17502032964486242</v>
      </c>
    </row>
  </sheetData>
  <conditionalFormatting sqref="G9:H13">
    <cfRule type="cellIs" dxfId="0" priority="1" operator="less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DD55-7DB6-4D6E-8BB3-95A04474B66E}">
  <sheetPr>
    <tabColor theme="9" tint="0.39997558519241921"/>
  </sheetPr>
  <dimension ref="A1"/>
  <sheetViews>
    <sheetView workbookViewId="0">
      <selection activeCell="L23" sqref="L23"/>
    </sheetView>
  </sheetViews>
  <sheetFormatPr defaultRowHeight="14.4"/>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E5B9-84C7-49EF-900C-07C8D442F135}">
  <dimension ref="A2:X1230"/>
  <sheetViews>
    <sheetView showGridLines="0" topLeftCell="A1000" workbookViewId="0">
      <selection activeCell="D1020" activeCellId="3" sqref="D998 D1031 D1019 D1020"/>
    </sheetView>
  </sheetViews>
  <sheetFormatPr defaultRowHeight="14.4"/>
  <cols>
    <col min="1" max="3" width="1.88671875" customWidth="1"/>
    <col min="4" max="4" width="39" customWidth="1"/>
    <col min="5" max="5" width="11.5546875" bestFit="1" customWidth="1"/>
    <col min="6" max="14" width="10.88671875" bestFit="1" customWidth="1"/>
    <col min="15" max="15" width="10.109375" bestFit="1" customWidth="1"/>
    <col min="16" max="16" width="10.21875" bestFit="1" customWidth="1"/>
    <col min="17" max="21" width="10.21875" customWidth="1"/>
    <col min="22" max="22" width="10.88671875" bestFit="1" customWidth="1"/>
    <col min="23" max="23" width="11.21875" customWidth="1"/>
  </cols>
  <sheetData>
    <row r="2" spans="1:14">
      <c r="A2" t="s">
        <v>27</v>
      </c>
      <c r="D2" s="20" t="s">
        <v>160</v>
      </c>
    </row>
    <row r="4" spans="1:14">
      <c r="C4" t="s">
        <v>27</v>
      </c>
      <c r="D4" s="20" t="s">
        <v>161</v>
      </c>
    </row>
    <row r="5" spans="1:14" ht="15.6">
      <c r="M5" s="161" t="s">
        <v>312</v>
      </c>
      <c r="N5" s="160"/>
    </row>
    <row r="6" spans="1:14" ht="15.6">
      <c r="D6" s="157" t="s">
        <v>308</v>
      </c>
      <c r="E6" s="138">
        <v>2019</v>
      </c>
      <c r="F6" s="138">
        <f>E6+1</f>
        <v>2020</v>
      </c>
      <c r="G6" s="138">
        <f>F6+1</f>
        <v>2021</v>
      </c>
      <c r="H6" s="138">
        <f t="shared" ref="H6:K6" si="0">G6+1</f>
        <v>2022</v>
      </c>
      <c r="I6" s="138">
        <f t="shared" si="0"/>
        <v>2023</v>
      </c>
      <c r="J6" s="138">
        <f t="shared" si="0"/>
        <v>2024</v>
      </c>
      <c r="K6" s="138">
        <f t="shared" si="0"/>
        <v>2025</v>
      </c>
      <c r="M6" s="138" t="s">
        <v>60</v>
      </c>
      <c r="N6" s="138" t="s">
        <v>59</v>
      </c>
    </row>
    <row r="7" spans="1:14" ht="4.05" customHeight="1"/>
    <row r="8" spans="1:14">
      <c r="D8" t="s">
        <v>309</v>
      </c>
      <c r="E8" s="133">
        <f>' Income Statement'!C10</f>
        <v>39310</v>
      </c>
      <c r="F8" s="133">
        <f>' Income Statement'!D10</f>
        <v>39783</v>
      </c>
      <c r="G8" s="133">
        <f>' Income Statement'!E10</f>
        <v>47028</v>
      </c>
      <c r="H8" s="133">
        <f>' Income Statement'!F10</f>
        <v>52446</v>
      </c>
      <c r="I8" s="133">
        <f>' Income Statement'!G10</f>
        <v>60580</v>
      </c>
      <c r="J8" s="133">
        <f>' Income Statement'!H10</f>
        <v>61896</v>
      </c>
      <c r="K8" s="133">
        <f>' Income Statement'!I10</f>
        <v>63121</v>
      </c>
      <c r="M8" s="44">
        <f>_xlfn.RRI(3,H8,K8)</f>
        <v>6.3703283859108728E-2</v>
      </c>
      <c r="N8" s="44">
        <f>_xlfn.RRI(5,F8,K8)</f>
        <v>9.6718749336330845E-2</v>
      </c>
    </row>
    <row r="9" spans="1:14">
      <c r="D9" t="s">
        <v>310</v>
      </c>
      <c r="E9" s="158">
        <f>' Income Statement'!C12</f>
        <v>0.1059220706147137</v>
      </c>
      <c r="F9" s="158">
        <f>' Income Statement'!D12</f>
        <v>1.2032561689137689E-2</v>
      </c>
      <c r="G9" s="158">
        <f>' Income Statement'!E12</f>
        <v>0.18211296282331646</v>
      </c>
      <c r="H9" s="158">
        <f>' Income Statement'!F12</f>
        <v>0.11520796121459553</v>
      </c>
      <c r="I9" s="158">
        <f>' Income Statement'!G12</f>
        <v>0.15509285741524614</v>
      </c>
      <c r="J9" s="158">
        <f>' Income Statement'!H12</f>
        <v>2.1723341036645749E-2</v>
      </c>
      <c r="K9" s="158">
        <f>' Income Statement'!I12</f>
        <v>1.9791262763344974E-2</v>
      </c>
    </row>
    <row r="14" spans="1:14">
      <c r="D14" t="s">
        <v>42</v>
      </c>
    </row>
    <row r="15" spans="1:14">
      <c r="B15" t="s">
        <v>27</v>
      </c>
      <c r="D15" s="157" t="s">
        <v>358</v>
      </c>
      <c r="E15" s="21"/>
      <c r="F15" s="21"/>
      <c r="G15" s="21"/>
      <c r="H15" s="21"/>
      <c r="I15" s="21"/>
      <c r="J15" s="21"/>
      <c r="K15" s="21"/>
    </row>
    <row r="17" spans="3:11">
      <c r="C17" t="s">
        <v>27</v>
      </c>
      <c r="D17" s="157" t="s">
        <v>313</v>
      </c>
      <c r="E17" s="21"/>
      <c r="F17" s="21"/>
      <c r="G17" s="21"/>
      <c r="H17" s="21"/>
      <c r="I17" s="21"/>
      <c r="J17" s="21"/>
      <c r="K17" s="21"/>
    </row>
    <row r="19" spans="3:11">
      <c r="D19" s="157" t="s">
        <v>314</v>
      </c>
      <c r="E19" s="162" t="s">
        <v>315</v>
      </c>
    </row>
    <row r="20" spans="3:11">
      <c r="D20" t="s">
        <v>52</v>
      </c>
      <c r="E20" s="163" t="s">
        <v>316</v>
      </c>
    </row>
    <row r="21" spans="3:11">
      <c r="D21" t="s">
        <v>311</v>
      </c>
      <c r="E21" s="173" t="s">
        <v>317</v>
      </c>
    </row>
    <row r="22" spans="3:11">
      <c r="E22" s="164" t="s">
        <v>318</v>
      </c>
    </row>
    <row r="23" spans="3:11">
      <c r="E23" s="163" t="s">
        <v>319</v>
      </c>
    </row>
    <row r="28" spans="3:11">
      <c r="D28" s="157" t="s">
        <v>326</v>
      </c>
      <c r="E28" s="162" t="s">
        <v>327</v>
      </c>
    </row>
    <row r="29" spans="3:11">
      <c r="E29" s="166" t="s">
        <v>328</v>
      </c>
    </row>
    <row r="30" spans="3:11">
      <c r="E30" s="166" t="s">
        <v>329</v>
      </c>
    </row>
    <row r="31" spans="3:11">
      <c r="E31" s="165" t="s">
        <v>330</v>
      </c>
    </row>
    <row r="32" spans="3:11">
      <c r="E32" s="167" t="s">
        <v>331</v>
      </c>
    </row>
    <row r="33" spans="4:5">
      <c r="E33" s="167" t="s">
        <v>332</v>
      </c>
    </row>
    <row r="34" spans="4:5">
      <c r="E34" s="167" t="s">
        <v>333</v>
      </c>
    </row>
    <row r="38" spans="4:5">
      <c r="D38" s="157" t="s">
        <v>334</v>
      </c>
      <c r="E38" s="162" t="s">
        <v>335</v>
      </c>
    </row>
    <row r="39" spans="4:5">
      <c r="E39" s="168" t="s">
        <v>336</v>
      </c>
    </row>
    <row r="40" spans="4:5">
      <c r="E40" s="168" t="s">
        <v>337</v>
      </c>
    </row>
    <row r="41" spans="4:5">
      <c r="D41" t="s">
        <v>311</v>
      </c>
      <c r="E41" s="174" t="s">
        <v>338</v>
      </c>
    </row>
    <row r="43" spans="4:5">
      <c r="E43" s="170" t="s">
        <v>339</v>
      </c>
    </row>
    <row r="44" spans="4:5">
      <c r="E44" s="171" t="s">
        <v>340</v>
      </c>
    </row>
    <row r="45" spans="4:5">
      <c r="E45" s="169" t="s">
        <v>343</v>
      </c>
    </row>
    <row r="46" spans="4:5">
      <c r="E46" s="169" t="s">
        <v>342</v>
      </c>
    </row>
    <row r="47" spans="4:5">
      <c r="E47" s="169" t="s">
        <v>344</v>
      </c>
    </row>
    <row r="62" spans="4:5">
      <c r="D62" s="157" t="s">
        <v>345</v>
      </c>
      <c r="E62" s="162" t="s">
        <v>346</v>
      </c>
    </row>
    <row r="98" spans="4:5">
      <c r="D98" s="157" t="s">
        <v>348</v>
      </c>
      <c r="E98" s="162" t="s">
        <v>349</v>
      </c>
    </row>
    <row r="100" spans="4:5">
      <c r="D100" t="s">
        <v>350</v>
      </c>
      <c r="E100" s="175" t="s">
        <v>351</v>
      </c>
    </row>
    <row r="117" spans="4:5">
      <c r="D117" s="157" t="s">
        <v>352</v>
      </c>
      <c r="E117" s="162" t="s">
        <v>353</v>
      </c>
    </row>
    <row r="118" spans="4:5">
      <c r="E118" s="176" t="s">
        <v>354</v>
      </c>
    </row>
    <row r="119" spans="4:5">
      <c r="E119" s="176" t="s">
        <v>355</v>
      </c>
    </row>
    <row r="120" spans="4:5">
      <c r="E120" s="177" t="s">
        <v>356</v>
      </c>
    </row>
    <row r="122" spans="4:5">
      <c r="D122" t="s">
        <v>350</v>
      </c>
      <c r="E122" s="178" t="s">
        <v>357</v>
      </c>
    </row>
    <row r="129" spans="3:11">
      <c r="C129" t="s">
        <v>27</v>
      </c>
      <c r="D129" s="157" t="s">
        <v>359</v>
      </c>
      <c r="E129" s="21"/>
      <c r="F129" s="21"/>
      <c r="G129" s="21"/>
      <c r="H129" s="21"/>
      <c r="I129" s="21"/>
      <c r="J129" s="21"/>
      <c r="K129" s="21"/>
    </row>
    <row r="132" spans="3:11">
      <c r="D132" s="157" t="s">
        <v>360</v>
      </c>
      <c r="E132" s="162" t="s">
        <v>386</v>
      </c>
    </row>
    <row r="133" spans="3:11">
      <c r="E133" s="179" t="s">
        <v>387</v>
      </c>
    </row>
    <row r="134" spans="3:11">
      <c r="D134" t="s">
        <v>311</v>
      </c>
      <c r="E134" s="189" t="s">
        <v>388</v>
      </c>
    </row>
    <row r="135" spans="3:11">
      <c r="E135" s="180" t="s">
        <v>361</v>
      </c>
    </row>
    <row r="136" spans="3:11">
      <c r="E136" s="179" t="s">
        <v>362</v>
      </c>
    </row>
    <row r="150" spans="4:5">
      <c r="D150" s="157" t="s">
        <v>363</v>
      </c>
      <c r="E150" s="162" t="s">
        <v>364</v>
      </c>
    </row>
    <row r="151" spans="4:5">
      <c r="E151" s="183" t="s">
        <v>368</v>
      </c>
    </row>
    <row r="152" spans="4:5">
      <c r="D152" t="s">
        <v>311</v>
      </c>
      <c r="E152" s="184" t="s">
        <v>369</v>
      </c>
    </row>
    <row r="153" spans="4:5">
      <c r="E153" s="183" t="s">
        <v>370</v>
      </c>
    </row>
    <row r="168" spans="4:5">
      <c r="D168" s="157" t="s">
        <v>372</v>
      </c>
      <c r="E168" s="162" t="s">
        <v>373</v>
      </c>
    </row>
    <row r="169" spans="4:5">
      <c r="E169" s="185" t="s">
        <v>371</v>
      </c>
    </row>
    <row r="170" spans="4:5">
      <c r="E170" s="185" t="s">
        <v>374</v>
      </c>
    </row>
    <row r="173" spans="4:5">
      <c r="D173" s="157" t="s">
        <v>375</v>
      </c>
      <c r="E173" s="162" t="s">
        <v>378</v>
      </c>
    </row>
    <row r="174" spans="4:5">
      <c r="E174" s="186" t="s">
        <v>376</v>
      </c>
    </row>
    <row r="175" spans="4:5">
      <c r="D175" t="s">
        <v>311</v>
      </c>
      <c r="E175" s="187" t="s">
        <v>377</v>
      </c>
    </row>
    <row r="188" spans="4:5">
      <c r="D188" s="157" t="s">
        <v>380</v>
      </c>
      <c r="E188" s="162" t="s">
        <v>381</v>
      </c>
    </row>
    <row r="189" spans="4:5">
      <c r="E189" s="185" t="s">
        <v>382</v>
      </c>
    </row>
    <row r="190" spans="4:5">
      <c r="E190" s="185" t="s">
        <v>383</v>
      </c>
    </row>
    <row r="191" spans="4:5">
      <c r="E191" s="185" t="s">
        <v>384</v>
      </c>
    </row>
    <row r="192" spans="4:5">
      <c r="E192" s="188" t="s">
        <v>385</v>
      </c>
    </row>
    <row r="195" spans="2:11">
      <c r="D195" s="157" t="s">
        <v>389</v>
      </c>
      <c r="E195" s="162" t="s">
        <v>390</v>
      </c>
    </row>
    <row r="196" spans="2:11">
      <c r="E196" s="190" t="s">
        <v>391</v>
      </c>
    </row>
    <row r="197" spans="2:11">
      <c r="D197" t="s">
        <v>311</v>
      </c>
      <c r="E197" s="191" t="s">
        <v>392</v>
      </c>
    </row>
    <row r="201" spans="2:11" ht="15.6">
      <c r="B201" t="s">
        <v>27</v>
      </c>
      <c r="D201" s="161" t="s">
        <v>393</v>
      </c>
      <c r="E201" s="21"/>
      <c r="F201" s="21"/>
      <c r="G201" s="21"/>
      <c r="H201" s="21"/>
      <c r="I201" s="21"/>
      <c r="J201" s="21"/>
      <c r="K201" s="21"/>
    </row>
    <row r="204" spans="2:11">
      <c r="D204" s="157" t="s">
        <v>345</v>
      </c>
      <c r="E204" s="162" t="s">
        <v>394</v>
      </c>
    </row>
    <row r="205" spans="2:11">
      <c r="E205" t="s">
        <v>395</v>
      </c>
    </row>
    <row r="206" spans="2:11">
      <c r="D206" t="s">
        <v>311</v>
      </c>
      <c r="E206" s="158" t="s">
        <v>396</v>
      </c>
    </row>
    <row r="209" spans="4:9">
      <c r="D209" s="157" t="s">
        <v>352</v>
      </c>
      <c r="E209" s="162" t="s">
        <v>397</v>
      </c>
    </row>
    <row r="210" spans="4:9">
      <c r="E210" s="176" t="s">
        <v>398</v>
      </c>
    </row>
    <row r="211" spans="4:9">
      <c r="E211" s="176" t="s">
        <v>399</v>
      </c>
    </row>
    <row r="213" spans="4:9">
      <c r="D213" t="s">
        <v>311</v>
      </c>
      <c r="E213" s="192" t="s">
        <v>400</v>
      </c>
    </row>
    <row r="214" spans="4:9">
      <c r="E214" t="s">
        <v>401</v>
      </c>
    </row>
    <row r="215" spans="4:9">
      <c r="E215" s="193" t="s">
        <v>402</v>
      </c>
    </row>
    <row r="216" spans="4:9">
      <c r="E216" s="193" t="s">
        <v>403</v>
      </c>
    </row>
    <row r="217" spans="4:9">
      <c r="E217" s="193" t="s">
        <v>404</v>
      </c>
    </row>
    <row r="218" spans="4:9">
      <c r="E218" s="193" t="s">
        <v>405</v>
      </c>
      <c r="I218" s="194" t="s">
        <v>406</v>
      </c>
    </row>
    <row r="219" spans="4:9">
      <c r="E219" s="193" t="s">
        <v>407</v>
      </c>
    </row>
    <row r="233" spans="4:5">
      <c r="D233" s="157" t="s">
        <v>408</v>
      </c>
      <c r="E233" s="162" t="s">
        <v>409</v>
      </c>
    </row>
    <row r="234" spans="4:5">
      <c r="E234" s="195" t="s">
        <v>410</v>
      </c>
    </row>
    <row r="235" spans="4:5">
      <c r="D235" t="s">
        <v>311</v>
      </c>
      <c r="E235" s="196" t="s">
        <v>411</v>
      </c>
    </row>
    <row r="238" spans="4:5">
      <c r="D238" s="157" t="s">
        <v>360</v>
      </c>
      <c r="E238" s="162" t="s">
        <v>412</v>
      </c>
    </row>
    <row r="239" spans="4:5">
      <c r="E239" s="179" t="s">
        <v>413</v>
      </c>
    </row>
    <row r="240" spans="4:5">
      <c r="D240" t="s">
        <v>311</v>
      </c>
      <c r="E240" s="197" t="s">
        <v>414</v>
      </c>
    </row>
    <row r="242" spans="5:5">
      <c r="E242" s="179" t="s">
        <v>416</v>
      </c>
    </row>
    <row r="243" spans="5:5">
      <c r="E243" s="179" t="s">
        <v>415</v>
      </c>
    </row>
    <row r="244" spans="5:5">
      <c r="E244" s="179" t="s">
        <v>417</v>
      </c>
    </row>
    <row r="245" spans="5:5">
      <c r="E245" s="179" t="s">
        <v>418</v>
      </c>
    </row>
    <row r="258" spans="4:5">
      <c r="D258" s="157" t="s">
        <v>419</v>
      </c>
      <c r="E258" s="162" t="s">
        <v>420</v>
      </c>
    </row>
    <row r="259" spans="4:5">
      <c r="E259" s="168" t="s">
        <v>421</v>
      </c>
    </row>
    <row r="260" spans="4:5">
      <c r="D260" t="s">
        <v>311</v>
      </c>
      <c r="E260" s="174" t="s">
        <v>422</v>
      </c>
    </row>
    <row r="261" spans="4:5">
      <c r="E261" s="168" t="s">
        <v>423</v>
      </c>
    </row>
    <row r="262" spans="4:5">
      <c r="E262" s="172" t="s">
        <v>424</v>
      </c>
    </row>
    <row r="275" spans="3:22" ht="15" thickBot="1">
      <c r="D275" s="157" t="s">
        <v>425</v>
      </c>
      <c r="E275" s="162" t="s">
        <v>426</v>
      </c>
    </row>
    <row r="276" spans="3:22" ht="19.8" customHeight="1" thickBot="1">
      <c r="E276" s="199" t="s">
        <v>427</v>
      </c>
      <c r="F276" s="198" t="s">
        <v>428</v>
      </c>
      <c r="G276" s="201" t="s">
        <v>429</v>
      </c>
    </row>
    <row r="277" spans="3:22" ht="15" thickTop="1">
      <c r="D277" t="s">
        <v>311</v>
      </c>
      <c r="E277" s="200">
        <v>7.0300000000000001E-2</v>
      </c>
    </row>
    <row r="278" spans="3:22">
      <c r="M278" s="14">
        <v>0.06</v>
      </c>
      <c r="N278" s="14">
        <f>M278</f>
        <v>0.06</v>
      </c>
      <c r="O278" s="14">
        <f t="shared" ref="O278:P278" si="1">N278</f>
        <v>0.06</v>
      </c>
      <c r="P278" s="14">
        <f t="shared" si="1"/>
        <v>0.06</v>
      </c>
      <c r="Q278" s="14"/>
      <c r="R278" s="14"/>
      <c r="S278" s="14"/>
      <c r="T278" s="14"/>
      <c r="U278" s="14"/>
      <c r="V278" s="14">
        <f>P278</f>
        <v>0.06</v>
      </c>
    </row>
    <row r="283" spans="3:22" ht="15.6">
      <c r="C283" t="s">
        <v>27</v>
      </c>
      <c r="D283" s="161" t="s">
        <v>367</v>
      </c>
      <c r="E283" s="21"/>
      <c r="F283" s="21"/>
      <c r="G283" s="21"/>
      <c r="H283" s="21"/>
      <c r="I283" s="21"/>
      <c r="J283" s="21"/>
      <c r="K283" s="21"/>
      <c r="L283" s="21"/>
    </row>
    <row r="285" spans="3:22" ht="15.6">
      <c r="D285" s="203" t="s">
        <v>438</v>
      </c>
    </row>
    <row r="287" spans="3:22" ht="13.8" customHeight="1">
      <c r="D287" s="161" t="s">
        <v>430</v>
      </c>
      <c r="E287" s="14">
        <v>0.11</v>
      </c>
    </row>
    <row r="288" spans="3:22" ht="15.6">
      <c r="D288" s="161" t="s">
        <v>431</v>
      </c>
      <c r="E288" s="14">
        <v>0.06</v>
      </c>
    </row>
    <row r="289" spans="4:14" ht="15.6">
      <c r="D289" s="161" t="s">
        <v>359</v>
      </c>
      <c r="E289" s="14">
        <v>0.11</v>
      </c>
    </row>
    <row r="290" spans="4:14" ht="15.6">
      <c r="D290" s="161" t="s">
        <v>432</v>
      </c>
      <c r="E290" s="14">
        <v>0.06</v>
      </c>
    </row>
    <row r="291" spans="4:14" ht="15.6">
      <c r="D291" s="161" t="s">
        <v>433</v>
      </c>
      <c r="E291" s="14">
        <v>0.02</v>
      </c>
    </row>
    <row r="296" spans="4:14">
      <c r="D296" s="157" t="s">
        <v>434</v>
      </c>
      <c r="E296" s="157">
        <v>2018</v>
      </c>
      <c r="F296" s="157">
        <f>E296+1</f>
        <v>2019</v>
      </c>
      <c r="G296" s="157">
        <f>F296+1</f>
        <v>2020</v>
      </c>
      <c r="H296" s="157">
        <f t="shared" ref="H296:L296" si="2">G296+1</f>
        <v>2021</v>
      </c>
      <c r="I296" s="157">
        <f t="shared" si="2"/>
        <v>2022</v>
      </c>
      <c r="J296" s="157">
        <f t="shared" si="2"/>
        <v>2023</v>
      </c>
      <c r="K296" s="157">
        <f t="shared" si="2"/>
        <v>2024</v>
      </c>
      <c r="L296" s="157">
        <f t="shared" si="2"/>
        <v>2025</v>
      </c>
    </row>
    <row r="297" spans="4:14">
      <c r="D297" s="35" t="s">
        <v>359</v>
      </c>
      <c r="E297" s="269">
        <v>11626</v>
      </c>
      <c r="F297" s="269">
        <v>12874</v>
      </c>
      <c r="G297" s="269">
        <v>13640</v>
      </c>
      <c r="H297" s="269">
        <v>13957</v>
      </c>
      <c r="I297" s="269">
        <v>16570</v>
      </c>
      <c r="J297" s="269">
        <v>21233</v>
      </c>
      <c r="K297" s="269">
        <v>21822</v>
      </c>
      <c r="L297" s="269">
        <v>22958</v>
      </c>
    </row>
    <row r="298" spans="4:14">
      <c r="D298" s="270" t="s">
        <v>437</v>
      </c>
      <c r="E298" s="271"/>
      <c r="F298" s="272">
        <f>F297/E297-1</f>
        <v>0.10734560467916743</v>
      </c>
      <c r="G298" s="272">
        <f>G297/F297-1</f>
        <v>5.9499766972191948E-2</v>
      </c>
      <c r="H298" s="272">
        <f t="shared" ref="H298:L298" si="3">H297/G297-1</f>
        <v>2.3240469208211101E-2</v>
      </c>
      <c r="I298" s="272">
        <f t="shared" si="3"/>
        <v>0.18721788349931945</v>
      </c>
      <c r="J298" s="272">
        <f t="shared" si="3"/>
        <v>0.28141219070609536</v>
      </c>
      <c r="K298" s="272">
        <f t="shared" si="3"/>
        <v>2.7739838929967453E-2</v>
      </c>
      <c r="L298" s="272">
        <f t="shared" si="3"/>
        <v>5.2057556594262699E-2</v>
      </c>
    </row>
    <row r="299" spans="4:14">
      <c r="D299" s="29" t="s">
        <v>431</v>
      </c>
      <c r="E299" s="273">
        <v>16588</v>
      </c>
      <c r="F299" s="273">
        <v>17800</v>
      </c>
      <c r="G299" s="273">
        <v>17488</v>
      </c>
      <c r="H299" s="273">
        <v>18038</v>
      </c>
      <c r="I299" s="273">
        <v>19567</v>
      </c>
      <c r="J299" s="273">
        <v>22022</v>
      </c>
      <c r="K299" s="273">
        <v>13037</v>
      </c>
      <c r="L299" s="273">
        <v>13523</v>
      </c>
    </row>
    <row r="300" spans="4:14">
      <c r="D300" s="270" t="s">
        <v>437</v>
      </c>
      <c r="E300" s="271"/>
      <c r="F300" s="272">
        <f>F299/E299-1</f>
        <v>7.3064866168314424E-2</v>
      </c>
      <c r="G300" s="272">
        <f>G299/F299-1</f>
        <v>-1.752808988764043E-2</v>
      </c>
      <c r="H300" s="272">
        <f t="shared" ref="H300:J300" si="4">H299/G299-1</f>
        <v>3.1450137236962439E-2</v>
      </c>
      <c r="I300" s="272">
        <f t="shared" si="4"/>
        <v>8.4765495065971752E-2</v>
      </c>
      <c r="J300" s="272">
        <f t="shared" si="4"/>
        <v>0.12546634639955023</v>
      </c>
      <c r="K300" s="272">
        <f>K299/J299-1</f>
        <v>-0.40800108981927163</v>
      </c>
      <c r="L300" s="272">
        <f>L299/K299-1</f>
        <v>3.7278514995781276E-2</v>
      </c>
    </row>
    <row r="301" spans="4:14">
      <c r="D301" s="29" t="s">
        <v>435</v>
      </c>
      <c r="E301" s="273"/>
      <c r="F301" s="273"/>
      <c r="G301" s="273"/>
      <c r="H301" s="273"/>
      <c r="I301" s="273"/>
      <c r="J301" s="273"/>
      <c r="K301" s="273">
        <v>9411</v>
      </c>
      <c r="L301" s="273">
        <v>9166</v>
      </c>
      <c r="N301" s="110"/>
    </row>
    <row r="302" spans="4:14">
      <c r="D302" s="270" t="s">
        <v>437</v>
      </c>
      <c r="E302" s="271"/>
      <c r="F302" s="271"/>
      <c r="G302" s="271"/>
      <c r="H302" s="271"/>
      <c r="I302" s="271"/>
      <c r="J302" s="271"/>
      <c r="K302" s="271"/>
      <c r="L302" s="272">
        <f>L301/K301-1</f>
        <v>-2.6033365210923365E-2</v>
      </c>
      <c r="N302" s="110"/>
    </row>
    <row r="303" spans="4:14">
      <c r="D303" s="29" t="s">
        <v>436</v>
      </c>
      <c r="E303" s="273">
        <v>6476</v>
      </c>
      <c r="F303" s="273">
        <v>7131</v>
      </c>
      <c r="G303" s="273">
        <v>7450</v>
      </c>
      <c r="H303" s="273">
        <v>13204</v>
      </c>
      <c r="I303" s="273">
        <v>14105</v>
      </c>
      <c r="J303" s="273">
        <v>14876</v>
      </c>
      <c r="K303" s="273">
        <v>15291</v>
      </c>
      <c r="L303" s="273">
        <v>15294</v>
      </c>
      <c r="N303" s="110"/>
    </row>
    <row r="304" spans="4:14">
      <c r="D304" s="270" t="s">
        <v>437</v>
      </c>
      <c r="E304" s="271"/>
      <c r="F304" s="272">
        <f>F303/E303-1</f>
        <v>0.10114268066707854</v>
      </c>
      <c r="G304" s="272">
        <f>G303/F303-1</f>
        <v>4.4734258869723709E-2</v>
      </c>
      <c r="H304" s="272">
        <f t="shared" ref="H304:L304" si="5">H303/G303-1</f>
        <v>0.77234899328859052</v>
      </c>
      <c r="I304" s="272">
        <f t="shared" si="5"/>
        <v>6.8236897909724314E-2</v>
      </c>
      <c r="J304" s="272">
        <f t="shared" si="5"/>
        <v>5.4661467564693478E-2</v>
      </c>
      <c r="K304" s="272">
        <f t="shared" si="5"/>
        <v>2.789728421618709E-2</v>
      </c>
      <c r="L304" s="274">
        <f t="shared" si="5"/>
        <v>1.961938395134144E-4</v>
      </c>
      <c r="N304" s="110"/>
    </row>
    <row r="305" spans="3:22">
      <c r="D305" s="29" t="s">
        <v>433</v>
      </c>
      <c r="E305" s="273">
        <v>1533</v>
      </c>
      <c r="F305" s="273">
        <v>1505</v>
      </c>
      <c r="G305" s="273">
        <v>1205</v>
      </c>
      <c r="H305" s="273">
        <v>1829</v>
      </c>
      <c r="I305" s="273">
        <v>2204</v>
      </c>
      <c r="J305" s="273">
        <v>2459</v>
      </c>
      <c r="K305" s="273">
        <v>2275</v>
      </c>
      <c r="L305" s="273">
        <v>2180</v>
      </c>
      <c r="N305" s="110"/>
    </row>
    <row r="306" spans="3:22">
      <c r="D306" s="270" t="s">
        <v>437</v>
      </c>
      <c r="E306" s="270"/>
      <c r="F306" s="272">
        <f t="shared" ref="F306:L306" si="6">F305/E305-1</f>
        <v>-1.8264840182648401E-2</v>
      </c>
      <c r="G306" s="272">
        <f>G305/F305-1</f>
        <v>-0.19933554817275745</v>
      </c>
      <c r="H306" s="272">
        <f t="shared" si="6"/>
        <v>0.51784232365145222</v>
      </c>
      <c r="I306" s="272">
        <f t="shared" si="6"/>
        <v>0.20503007107709137</v>
      </c>
      <c r="J306" s="272">
        <f t="shared" si="6"/>
        <v>0.1156987295825771</v>
      </c>
      <c r="K306" s="272">
        <f t="shared" si="6"/>
        <v>-7.48271655144368E-2</v>
      </c>
      <c r="L306" s="272">
        <f t="shared" si="6"/>
        <v>-4.1758241758241721E-2</v>
      </c>
      <c r="M306" s="51"/>
      <c r="N306" s="110"/>
      <c r="O306" s="51"/>
      <c r="P306" s="51"/>
      <c r="Q306" s="51"/>
      <c r="R306" s="51"/>
      <c r="S306" s="51"/>
      <c r="T306" s="51"/>
      <c r="U306" s="51"/>
      <c r="V306" s="51"/>
    </row>
    <row r="307" spans="3:22">
      <c r="N307" s="110"/>
    </row>
    <row r="308" spans="3:22">
      <c r="N308" s="110"/>
    </row>
    <row r="309" spans="3:22">
      <c r="N309" s="110"/>
    </row>
    <row r="310" spans="3:22">
      <c r="N310" s="110"/>
    </row>
    <row r="312" spans="3:22" ht="15.6">
      <c r="C312" t="s">
        <v>27</v>
      </c>
      <c r="D312" s="161" t="s">
        <v>365</v>
      </c>
      <c r="E312" s="162" t="s">
        <v>366</v>
      </c>
    </row>
    <row r="314" spans="3:22" ht="15.6">
      <c r="D314" s="157" t="s">
        <v>308</v>
      </c>
      <c r="E314" s="138">
        <v>2025</v>
      </c>
      <c r="F314" s="138">
        <f>E314+1</f>
        <v>2026</v>
      </c>
      <c r="G314" s="138">
        <f>F314+1</f>
        <v>2027</v>
      </c>
      <c r="H314" s="181"/>
      <c r="I314" s="181"/>
      <c r="J314" s="181"/>
      <c r="K314" s="181"/>
    </row>
    <row r="316" spans="3:22">
      <c r="D316" t="s">
        <v>52</v>
      </c>
      <c r="E316" s="182">
        <f>K8</f>
        <v>63121</v>
      </c>
      <c r="F316" s="182">
        <v>63711.199999999997</v>
      </c>
      <c r="G316" s="182">
        <v>69017.5</v>
      </c>
    </row>
    <row r="318" spans="3:22">
      <c r="D318" s="154" t="s">
        <v>160</v>
      </c>
      <c r="F318" s="51">
        <f>F316/E316-1</f>
        <v>9.3502954642670222E-3</v>
      </c>
      <c r="G318" s="51">
        <f>G316/F316-1</f>
        <v>8.3286769045316955E-2</v>
      </c>
    </row>
    <row r="344" spans="1:15" ht="18">
      <c r="A344" s="207" t="s">
        <v>27</v>
      </c>
      <c r="B344" s="207"/>
      <c r="D344" s="207" t="s">
        <v>204</v>
      </c>
    </row>
    <row r="346" spans="1:15" ht="15.6">
      <c r="D346" s="157" t="s">
        <v>308</v>
      </c>
      <c r="E346" s="138">
        <v>2020</v>
      </c>
      <c r="F346" s="138">
        <f>E346+1</f>
        <v>2021</v>
      </c>
      <c r="G346" s="138">
        <f>F346+1</f>
        <v>2022</v>
      </c>
      <c r="H346" s="138">
        <f t="shared" ref="H346" si="7">G346+1</f>
        <v>2023</v>
      </c>
      <c r="I346" s="138">
        <f t="shared" ref="I346" si="8">H346+1</f>
        <v>2024</v>
      </c>
      <c r="J346" s="138">
        <f t="shared" ref="J346" si="9">I346+1</f>
        <v>2025</v>
      </c>
      <c r="L346" s="339"/>
      <c r="M346" s="138" t="s">
        <v>444</v>
      </c>
      <c r="N346" s="138" t="s">
        <v>445</v>
      </c>
    </row>
    <row r="347" spans="1:15">
      <c r="D347" t="s">
        <v>204</v>
      </c>
      <c r="E347" s="246">
        <f>' Income Statement'!D45</f>
        <v>632</v>
      </c>
      <c r="F347" s="246">
        <f>' Income Statement'!E45</f>
        <v>410</v>
      </c>
      <c r="G347" s="246">
        <f>' Income Statement'!F45</f>
        <v>258</v>
      </c>
      <c r="H347" s="246">
        <f>' Income Statement'!G45</f>
        <v>512</v>
      </c>
      <c r="I347" s="246">
        <f>' Income Statement'!H45</f>
        <v>811</v>
      </c>
      <c r="J347" s="246">
        <f>' Income Statement'!I45</f>
        <v>1017</v>
      </c>
    </row>
    <row r="349" spans="1:15">
      <c r="D349" t="s">
        <v>645</v>
      </c>
      <c r="E349" s="14">
        <f t="shared" ref="E349:J349" si="10">E347/I595</f>
        <v>1.5886182540281023E-2</v>
      </c>
      <c r="F349" s="14">
        <f t="shared" si="10"/>
        <v>8.7182104278302284E-3</v>
      </c>
      <c r="G349" s="14">
        <f t="shared" si="10"/>
        <v>4.9193456126301336E-3</v>
      </c>
      <c r="H349" s="14">
        <f t="shared" si="10"/>
        <v>8.4516342027071648E-3</v>
      </c>
      <c r="I349" s="14">
        <f t="shared" si="10"/>
        <v>1.3102623755977769E-2</v>
      </c>
      <c r="J349" s="14">
        <f t="shared" si="10"/>
        <v>1.6111912041951174E-2</v>
      </c>
      <c r="M349" s="43">
        <f>AVERAGE(E349:K349)</f>
        <v>1.1198318096896248E-2</v>
      </c>
      <c r="N349" s="43">
        <f>MEDIAN(E349:K349)</f>
        <v>1.0910417091903999E-2</v>
      </c>
      <c r="O349" s="206" t="s">
        <v>647</v>
      </c>
    </row>
    <row r="352" spans="1:15" ht="18">
      <c r="A352" s="207" t="s">
        <v>27</v>
      </c>
      <c r="B352" s="207"/>
      <c r="D352" s="207" t="s">
        <v>442</v>
      </c>
      <c r="E352" s="20"/>
    </row>
    <row r="354" spans="3:14" ht="15.6">
      <c r="C354" t="s">
        <v>27</v>
      </c>
      <c r="D354" s="20" t="s">
        <v>460</v>
      </c>
      <c r="M354" s="202"/>
      <c r="N354" s="203"/>
    </row>
    <row r="355" spans="3:14" ht="15.6">
      <c r="D355" s="157" t="s">
        <v>308</v>
      </c>
      <c r="E355" s="138">
        <v>2019</v>
      </c>
      <c r="F355" s="138">
        <f>E355+1</f>
        <v>2020</v>
      </c>
      <c r="G355" s="138">
        <f>F355+1</f>
        <v>2021</v>
      </c>
      <c r="H355" s="138">
        <f t="shared" ref="H355" si="11">G355+1</f>
        <v>2022</v>
      </c>
      <c r="I355" s="138">
        <f t="shared" ref="I355" si="12">H355+1</f>
        <v>2023</v>
      </c>
      <c r="J355" s="138">
        <f t="shared" ref="J355" si="13">I355+1</f>
        <v>2024</v>
      </c>
      <c r="K355" s="138">
        <f t="shared" ref="K355" si="14">J355+1</f>
        <v>2025</v>
      </c>
      <c r="M355" s="138" t="s">
        <v>444</v>
      </c>
      <c r="N355" s="138" t="s">
        <v>445</v>
      </c>
    </row>
    <row r="356" spans="3:14">
      <c r="D356" t="s">
        <v>443</v>
      </c>
      <c r="E356" s="426">
        <f>' Income Statement'!C25</f>
        <v>0.53004324599338593</v>
      </c>
      <c r="F356" s="426">
        <f>' Income Statement'!D25</f>
        <v>0.54103511550159622</v>
      </c>
      <c r="G356" s="426">
        <f>' Income Statement'!E25</f>
        <v>0.52904652547418562</v>
      </c>
      <c r="H356" s="426">
        <f>' Income Statement'!F25</f>
        <v>0.50930480875567252</v>
      </c>
      <c r="I356" s="426">
        <f>' Income Statement'!G25</f>
        <v>0.4764608781776164</v>
      </c>
      <c r="J356" s="426">
        <f>' Income Statement'!H25</f>
        <v>0.51919348584722758</v>
      </c>
      <c r="K356" s="426">
        <f>' Income Statement'!I25</f>
        <v>0.51556534275439236</v>
      </c>
      <c r="M356" s="54">
        <f>AVERAGE(E356:K356)</f>
        <v>0.51723562892915376</v>
      </c>
      <c r="N356" s="54">
        <f>MEDIAN(E356:K356)</f>
        <v>0.51919348584722758</v>
      </c>
    </row>
    <row r="359" spans="3:14">
      <c r="C359" t="s">
        <v>27</v>
      </c>
      <c r="D359" s="157" t="s">
        <v>448</v>
      </c>
      <c r="E359" s="21"/>
      <c r="F359" s="21"/>
      <c r="G359" s="21"/>
      <c r="H359" s="21"/>
      <c r="I359" s="21"/>
      <c r="J359" s="21"/>
      <c r="K359" s="21"/>
    </row>
    <row r="361" spans="3:14">
      <c r="D361" s="157" t="s">
        <v>449</v>
      </c>
      <c r="E361" s="635">
        <v>0.52580000000000005</v>
      </c>
    </row>
    <row r="363" spans="3:14">
      <c r="D363" s="157" t="s">
        <v>450</v>
      </c>
      <c r="E363" s="635">
        <v>0.51659999999999995</v>
      </c>
    </row>
    <row r="365" spans="3:14">
      <c r="D365" s="154" t="s">
        <v>471</v>
      </c>
    </row>
    <row r="367" spans="3:14">
      <c r="C367" t="s">
        <v>27</v>
      </c>
      <c r="D367" s="157" t="s">
        <v>1267</v>
      </c>
      <c r="E367" s="21"/>
      <c r="F367" s="21"/>
      <c r="G367" s="21"/>
      <c r="H367" s="21"/>
      <c r="I367" s="21"/>
      <c r="J367" s="21"/>
      <c r="K367" s="21"/>
    </row>
    <row r="369" spans="3:14" ht="15.6">
      <c r="D369" s="157"/>
      <c r="E369" s="138">
        <v>2019</v>
      </c>
      <c r="F369" s="138">
        <f>E369+1</f>
        <v>2020</v>
      </c>
      <c r="G369" s="138">
        <f>F369+1</f>
        <v>2021</v>
      </c>
      <c r="H369" s="138">
        <f t="shared" ref="H369" si="15">G369+1</f>
        <v>2022</v>
      </c>
      <c r="I369" s="138">
        <f t="shared" ref="I369" si="16">H369+1</f>
        <v>2023</v>
      </c>
      <c r="J369" s="138">
        <f t="shared" ref="J369" si="17">I369+1</f>
        <v>2024</v>
      </c>
      <c r="K369" s="138">
        <f t="shared" ref="K369" si="18">J369+1</f>
        <v>2025</v>
      </c>
      <c r="M369" s="138" t="s">
        <v>444</v>
      </c>
      <c r="N369" s="138" t="s">
        <v>445</v>
      </c>
    </row>
    <row r="370" spans="3:14">
      <c r="D370" t="s">
        <v>1268</v>
      </c>
      <c r="E370" s="361">
        <v>0.63819999999999999</v>
      </c>
      <c r="F370" s="361">
        <v>0.64610000000000001</v>
      </c>
      <c r="G370" s="361">
        <v>0.628</v>
      </c>
      <c r="H370" s="361">
        <v>0.62090000000000001</v>
      </c>
      <c r="I370" s="361">
        <v>0.59489999999999998</v>
      </c>
      <c r="J370" s="361">
        <v>0.6159</v>
      </c>
      <c r="K370" s="361">
        <v>0.61899999999999999</v>
      </c>
      <c r="M370" s="44">
        <f>AVERAGE(E370:K370)</f>
        <v>0.62328571428571422</v>
      </c>
      <c r="N370" s="44">
        <f>MEDIAN(E370:K370)</f>
        <v>0.62090000000000001</v>
      </c>
    </row>
    <row r="371" spans="3:14">
      <c r="D371" t="s">
        <v>1269</v>
      </c>
      <c r="E371" s="361">
        <v>0.55840000000000001</v>
      </c>
      <c r="F371" s="361">
        <v>0.56999999999999995</v>
      </c>
      <c r="G371" s="361">
        <v>0.55300000000000005</v>
      </c>
      <c r="H371" s="361">
        <v>0.50509999999999999</v>
      </c>
      <c r="I371" s="361">
        <v>0.49659999999999999</v>
      </c>
      <c r="J371" s="361">
        <v>0.55159999999999998</v>
      </c>
      <c r="K371" s="361">
        <v>0.54500000000000004</v>
      </c>
      <c r="M371" s="44">
        <f t="shared" ref="M371:M373" si="19">AVERAGE(E371:K371)</f>
        <v>0.53995714285714291</v>
      </c>
      <c r="N371" s="44">
        <f t="shared" ref="N371:N373" si="20">MEDIAN(E371:K371)</f>
        <v>0.55159999999999998</v>
      </c>
    </row>
    <row r="372" spans="3:14">
      <c r="D372" t="s">
        <v>1270</v>
      </c>
      <c r="E372" s="361">
        <v>0.5222</v>
      </c>
      <c r="F372" s="361">
        <v>0.56089999999999995</v>
      </c>
      <c r="G372" s="361">
        <v>0.52749999999999997</v>
      </c>
      <c r="H372" s="361">
        <v>0.4874</v>
      </c>
      <c r="I372" s="361">
        <v>0.51449999999999996</v>
      </c>
      <c r="J372" s="361">
        <v>0.5645</v>
      </c>
      <c r="K372" s="361">
        <v>0.55300000000000005</v>
      </c>
      <c r="M372" s="44">
        <f t="shared" si="19"/>
        <v>0.53285714285714281</v>
      </c>
      <c r="N372" s="44">
        <f t="shared" si="20"/>
        <v>0.52749999999999997</v>
      </c>
    </row>
    <row r="373" spans="3:14">
      <c r="D373" t="s">
        <v>1271</v>
      </c>
      <c r="E373" s="361">
        <v>0.44729999999999998</v>
      </c>
      <c r="F373" s="361">
        <v>0.43859999999999999</v>
      </c>
      <c r="G373" s="361">
        <v>0.46400000000000002</v>
      </c>
      <c r="H373" s="361">
        <v>0.49430000000000002</v>
      </c>
      <c r="I373" s="361">
        <v>0.50419999999999998</v>
      </c>
      <c r="J373" s="361">
        <v>0.52370000000000005</v>
      </c>
      <c r="K373" s="361">
        <v>0.51049999999999995</v>
      </c>
      <c r="M373" s="44">
        <f t="shared" si="19"/>
        <v>0.4832285714285714</v>
      </c>
      <c r="N373" s="44">
        <f t="shared" si="20"/>
        <v>0.49430000000000002</v>
      </c>
    </row>
    <row r="375" spans="3:14">
      <c r="D375" t="s">
        <v>629</v>
      </c>
      <c r="E375" s="361">
        <f>AVERAGE(E370:E373)</f>
        <v>0.54152500000000003</v>
      </c>
      <c r="F375" s="361">
        <f t="shared" ref="F375:K375" si="21">AVERAGE(F370:F373)</f>
        <v>0.55389999999999995</v>
      </c>
      <c r="G375" s="361">
        <f t="shared" si="21"/>
        <v>0.54312499999999997</v>
      </c>
      <c r="H375" s="361">
        <f t="shared" si="21"/>
        <v>0.52692499999999998</v>
      </c>
      <c r="I375" s="361">
        <f t="shared" si="21"/>
        <v>0.52754999999999996</v>
      </c>
      <c r="J375" s="361">
        <f t="shared" si="21"/>
        <v>0.56392500000000001</v>
      </c>
      <c r="K375" s="636">
        <f t="shared" si="21"/>
        <v>0.55687500000000001</v>
      </c>
    </row>
    <row r="376" spans="3:14">
      <c r="D376" t="s">
        <v>445</v>
      </c>
      <c r="E376" s="361">
        <f>MEDIAN(E370:E373)</f>
        <v>0.5403</v>
      </c>
      <c r="F376" s="361">
        <f t="shared" ref="F376:K376" si="22">MEDIAN(F370:F373)</f>
        <v>0.56545000000000001</v>
      </c>
      <c r="G376" s="361">
        <f t="shared" si="22"/>
        <v>0.54025000000000001</v>
      </c>
      <c r="H376" s="361">
        <f t="shared" si="22"/>
        <v>0.49970000000000003</v>
      </c>
      <c r="I376" s="361">
        <f t="shared" si="22"/>
        <v>0.50934999999999997</v>
      </c>
      <c r="J376" s="361">
        <f t="shared" si="22"/>
        <v>0.55804999999999993</v>
      </c>
      <c r="K376" s="636">
        <f t="shared" si="22"/>
        <v>0.54900000000000004</v>
      </c>
    </row>
    <row r="378" spans="3:14">
      <c r="C378" t="s">
        <v>27</v>
      </c>
      <c r="D378" s="157" t="s">
        <v>451</v>
      </c>
      <c r="E378" s="21"/>
      <c r="F378" s="21"/>
      <c r="G378" s="21"/>
      <c r="H378" s="21"/>
      <c r="I378" s="21"/>
      <c r="J378" s="21"/>
      <c r="K378" s="21"/>
    </row>
    <row r="380" spans="3:14">
      <c r="D380" s="157" t="s">
        <v>452</v>
      </c>
    </row>
    <row r="381" spans="3:14">
      <c r="D381" t="s">
        <v>453</v>
      </c>
      <c r="E381" s="110" t="s">
        <v>473</v>
      </c>
    </row>
    <row r="382" spans="3:14">
      <c r="D382" t="s">
        <v>359</v>
      </c>
      <c r="E382" s="110" t="s">
        <v>457</v>
      </c>
    </row>
    <row r="383" spans="3:14">
      <c r="D383" t="s">
        <v>430</v>
      </c>
      <c r="E383" s="110" t="s">
        <v>458</v>
      </c>
      <c r="F383" t="s">
        <v>455</v>
      </c>
      <c r="G383" t="s">
        <v>456</v>
      </c>
    </row>
    <row r="384" spans="3:14">
      <c r="D384" t="s">
        <v>431</v>
      </c>
      <c r="E384" s="110" t="s">
        <v>459</v>
      </c>
    </row>
    <row r="385" spans="4:5">
      <c r="D385" t="s">
        <v>454</v>
      </c>
      <c r="E385" s="110" t="s">
        <v>459</v>
      </c>
    </row>
    <row r="435" spans="2:17">
      <c r="B435" t="s">
        <v>27</v>
      </c>
      <c r="D435" s="157" t="s">
        <v>469</v>
      </c>
    </row>
    <row r="438" spans="2:17">
      <c r="C438" t="s">
        <v>27</v>
      </c>
      <c r="D438" s="157" t="s">
        <v>1232</v>
      </c>
      <c r="E438" s="162" t="s">
        <v>1233</v>
      </c>
    </row>
    <row r="440" spans="2:17" ht="15">
      <c r="D440" s="628" t="s">
        <v>1234</v>
      </c>
    </row>
    <row r="441" spans="2:17" ht="15">
      <c r="D441" s="629" t="s">
        <v>1235</v>
      </c>
    </row>
    <row r="442" spans="2:17" ht="30">
      <c r="D442" s="629" t="s">
        <v>1236</v>
      </c>
    </row>
    <row r="443" spans="2:17" ht="15">
      <c r="D443" s="629" t="s">
        <v>1237</v>
      </c>
    </row>
    <row r="444" spans="2:17" ht="42.6" customHeight="1">
      <c r="D444" s="725" t="s">
        <v>1238</v>
      </c>
      <c r="E444" s="725"/>
      <c r="F444" s="725"/>
      <c r="G444" s="725"/>
      <c r="H444" s="725"/>
      <c r="I444" s="725"/>
      <c r="J444" s="725"/>
      <c r="K444" s="725"/>
      <c r="L444" s="725"/>
      <c r="M444" s="725"/>
      <c r="N444" s="725"/>
      <c r="O444" s="725"/>
      <c r="P444" s="725"/>
      <c r="Q444" s="725"/>
    </row>
    <row r="445" spans="2:17" ht="45.6" customHeight="1">
      <c r="D445" s="725" t="s">
        <v>1239</v>
      </c>
      <c r="E445" s="725"/>
      <c r="F445" s="725"/>
      <c r="G445" s="725"/>
      <c r="H445" s="725"/>
      <c r="I445" s="725"/>
      <c r="J445" s="725"/>
      <c r="K445" s="725"/>
      <c r="L445" s="725"/>
      <c r="M445" s="725"/>
      <c r="N445" s="725"/>
      <c r="O445" s="725"/>
      <c r="P445" s="725"/>
      <c r="Q445" s="725"/>
    </row>
    <row r="461" spans="3:5">
      <c r="C461" t="s">
        <v>27</v>
      </c>
      <c r="D461" s="157" t="s">
        <v>1240</v>
      </c>
      <c r="E461" s="162" t="s">
        <v>1241</v>
      </c>
    </row>
    <row r="462" spans="3:5" ht="15.6">
      <c r="D462" s="630" t="s">
        <v>1242</v>
      </c>
    </row>
    <row r="463" spans="3:5" ht="15.6">
      <c r="D463" s="630" t="s">
        <v>1243</v>
      </c>
    </row>
    <row r="466" spans="3:5">
      <c r="C466" t="s">
        <v>27</v>
      </c>
      <c r="D466" s="157" t="s">
        <v>1244</v>
      </c>
      <c r="E466" s="162" t="s">
        <v>1245</v>
      </c>
    </row>
    <row r="468" spans="3:5">
      <c r="D468" s="195" t="s">
        <v>1246</v>
      </c>
    </row>
    <row r="469" spans="3:5">
      <c r="D469" s="195" t="s">
        <v>1247</v>
      </c>
    </row>
    <row r="471" spans="3:5">
      <c r="D471" s="195" t="s">
        <v>1248</v>
      </c>
    </row>
    <row r="483" spans="3:5">
      <c r="C483" t="s">
        <v>27</v>
      </c>
      <c r="D483" s="157" t="s">
        <v>1250</v>
      </c>
      <c r="E483" s="162" t="s">
        <v>1249</v>
      </c>
    </row>
    <row r="485" spans="3:5" ht="17.399999999999999">
      <c r="D485" s="631" t="s">
        <v>1251</v>
      </c>
    </row>
    <row r="486" spans="3:5" ht="17.399999999999999">
      <c r="D486" s="631" t="s">
        <v>1252</v>
      </c>
    </row>
    <row r="487" spans="3:5" ht="34.799999999999997">
      <c r="D487" s="633" t="s">
        <v>1253</v>
      </c>
    </row>
    <row r="488" spans="3:5" ht="17.399999999999999">
      <c r="D488" s="632" t="s">
        <v>1254</v>
      </c>
    </row>
    <row r="491" spans="3:5">
      <c r="C491" t="s">
        <v>27</v>
      </c>
      <c r="D491" s="157" t="s">
        <v>1256</v>
      </c>
      <c r="E491" s="162" t="s">
        <v>1255</v>
      </c>
    </row>
    <row r="493" spans="3:5">
      <c r="D493" t="s">
        <v>1257</v>
      </c>
    </row>
    <row r="497" spans="2:5">
      <c r="B497" t="s">
        <v>27</v>
      </c>
      <c r="D497" s="157" t="s">
        <v>1258</v>
      </c>
    </row>
    <row r="500" spans="2:5">
      <c r="C500" t="s">
        <v>27</v>
      </c>
      <c r="D500" s="157" t="s">
        <v>1232</v>
      </c>
      <c r="E500" s="162" t="s">
        <v>1259</v>
      </c>
    </row>
    <row r="502" spans="2:5" ht="15">
      <c r="D502" s="628" t="s">
        <v>1260</v>
      </c>
    </row>
    <row r="503" spans="2:5" ht="14.4" customHeight="1">
      <c r="D503" s="634" t="s">
        <v>1261</v>
      </c>
    </row>
    <row r="504" spans="2:5" ht="15">
      <c r="D504" s="628" t="s">
        <v>1262</v>
      </c>
    </row>
    <row r="505" spans="2:5">
      <c r="D505" t="s">
        <v>1263</v>
      </c>
    </row>
    <row r="506" spans="2:5" ht="15">
      <c r="D506" s="634" t="s">
        <v>1264</v>
      </c>
    </row>
    <row r="507" spans="2:5" ht="15">
      <c r="D507" s="634" t="s">
        <v>1265</v>
      </c>
    </row>
    <row r="508" spans="2:5" ht="15">
      <c r="D508" s="634" t="s">
        <v>1266</v>
      </c>
    </row>
    <row r="536" spans="3:11">
      <c r="C536" t="s">
        <v>27</v>
      </c>
      <c r="D536" s="157" t="s">
        <v>461</v>
      </c>
      <c r="E536" s="21"/>
      <c r="F536" s="21"/>
      <c r="G536" s="21"/>
      <c r="H536" s="21"/>
      <c r="I536" s="21"/>
      <c r="J536" s="21"/>
      <c r="K536" s="21"/>
    </row>
    <row r="538" spans="3:11">
      <c r="D538" s="266" t="s">
        <v>308</v>
      </c>
      <c r="E538" s="266">
        <v>2025</v>
      </c>
      <c r="F538" s="266">
        <f>E538+1</f>
        <v>2026</v>
      </c>
      <c r="G538" s="266">
        <f>F538+1</f>
        <v>2027</v>
      </c>
      <c r="H538" s="266">
        <f t="shared" ref="H538" si="23">G538+1</f>
        <v>2028</v>
      </c>
    </row>
    <row r="539" spans="3:11">
      <c r="D539" s="29" t="s">
        <v>462</v>
      </c>
      <c r="E539" s="267">
        <v>0.51600000000000001</v>
      </c>
      <c r="F539" s="267">
        <v>0.51</v>
      </c>
      <c r="G539" s="267">
        <v>0.51500000000000001</v>
      </c>
      <c r="H539" s="267">
        <v>0.51300000000000001</v>
      </c>
    </row>
    <row r="540" spans="3:11">
      <c r="D540" s="29" t="s">
        <v>464</v>
      </c>
      <c r="E540" s="267">
        <v>0.51600000000000001</v>
      </c>
      <c r="F540" s="267">
        <v>0.51100000000000001</v>
      </c>
      <c r="G540" s="267">
        <v>0.51300000000000001</v>
      </c>
      <c r="H540" s="267">
        <v>0.51500000000000001</v>
      </c>
    </row>
    <row r="541" spans="3:11">
      <c r="D541" s="29" t="s">
        <v>463</v>
      </c>
      <c r="E541" s="267">
        <v>0.51600000000000001</v>
      </c>
      <c r="F541" s="267">
        <v>0.51800000000000002</v>
      </c>
      <c r="G541" s="267">
        <v>0.52200000000000002</v>
      </c>
      <c r="H541" s="267">
        <v>0.52400000000000002</v>
      </c>
    </row>
    <row r="542" spans="3:11">
      <c r="D542" s="29" t="s">
        <v>465</v>
      </c>
      <c r="E542" s="267">
        <v>0.51600000000000001</v>
      </c>
      <c r="F542" s="267">
        <v>0.50600000000000001</v>
      </c>
      <c r="G542" s="267">
        <v>0.51300000000000001</v>
      </c>
      <c r="H542" s="267">
        <v>0.51400000000000001</v>
      </c>
    </row>
    <row r="544" spans="3:11">
      <c r="D544" s="29" t="s">
        <v>444</v>
      </c>
      <c r="E544" s="268">
        <f>AVERAGE(E539:E542)</f>
        <v>0.51600000000000001</v>
      </c>
      <c r="F544" s="268">
        <f>AVERAGE(F539:F542)</f>
        <v>0.51124999999999998</v>
      </c>
      <c r="G544" s="268">
        <f t="shared" ref="G544:H544" si="24">AVERAGE(G539:G542)</f>
        <v>0.51575000000000004</v>
      </c>
      <c r="H544" s="268">
        <f t="shared" si="24"/>
        <v>0.51649999999999996</v>
      </c>
    </row>
    <row r="545" spans="4:8">
      <c r="D545" s="29" t="s">
        <v>445</v>
      </c>
      <c r="E545" s="268">
        <f>MEDIAN(E539:E542)</f>
        <v>0.51600000000000001</v>
      </c>
      <c r="F545" s="268">
        <f t="shared" ref="F545:H545" si="25">MEDIAN(F539:F542)</f>
        <v>0.51049999999999995</v>
      </c>
      <c r="G545" s="268">
        <f t="shared" si="25"/>
        <v>0.51400000000000001</v>
      </c>
      <c r="H545" s="268">
        <f t="shared" si="25"/>
        <v>0.51449999999999996</v>
      </c>
    </row>
    <row r="570" spans="1:14">
      <c r="A570" s="20" t="s">
        <v>27</v>
      </c>
      <c r="B570" s="20"/>
      <c r="D570" s="157" t="s">
        <v>474</v>
      </c>
      <c r="E570" s="21"/>
      <c r="F570" s="21"/>
      <c r="G570" s="21"/>
      <c r="H570" s="21"/>
      <c r="I570" s="21"/>
      <c r="J570" s="21"/>
      <c r="K570" s="21"/>
    </row>
    <row r="572" spans="1:14" ht="15.6">
      <c r="M572" s="161" t="s">
        <v>312</v>
      </c>
      <c r="N572" s="160"/>
    </row>
    <row r="573" spans="1:14" ht="15.6">
      <c r="C573" t="s">
        <v>27</v>
      </c>
      <c r="D573" s="157" t="s">
        <v>308</v>
      </c>
      <c r="E573" s="138">
        <v>2019</v>
      </c>
      <c r="F573" s="138">
        <f>E573+1</f>
        <v>2020</v>
      </c>
      <c r="G573" s="138">
        <f>F573+1</f>
        <v>2021</v>
      </c>
      <c r="H573" s="138">
        <f t="shared" ref="H573" si="26">G573+1</f>
        <v>2022</v>
      </c>
      <c r="I573" s="138">
        <f t="shared" ref="I573" si="27">H573+1</f>
        <v>2023</v>
      </c>
      <c r="J573" s="138">
        <f t="shared" ref="J573" si="28">I573+1</f>
        <v>2024</v>
      </c>
      <c r="K573" s="138">
        <f t="shared" ref="K573" si="29">J573+1</f>
        <v>2025</v>
      </c>
      <c r="M573" s="138" t="s">
        <v>60</v>
      </c>
      <c r="N573" s="138" t="s">
        <v>59</v>
      </c>
    </row>
    <row r="575" spans="1:14">
      <c r="D575" t="s">
        <v>309</v>
      </c>
      <c r="E575" s="133">
        <f t="shared" ref="E575:K575" si="30">E8</f>
        <v>39310</v>
      </c>
      <c r="F575" s="133">
        <f t="shared" si="30"/>
        <v>39783</v>
      </c>
      <c r="G575" s="133">
        <f t="shared" si="30"/>
        <v>47028</v>
      </c>
      <c r="H575" s="133">
        <f t="shared" si="30"/>
        <v>52446</v>
      </c>
      <c r="I575" s="133">
        <f t="shared" si="30"/>
        <v>60580</v>
      </c>
      <c r="J575" s="133">
        <f t="shared" si="30"/>
        <v>61896</v>
      </c>
      <c r="K575" s="133">
        <f t="shared" si="30"/>
        <v>63121</v>
      </c>
      <c r="M575" s="44">
        <f>_xlfn.RRI(3,H575,K575)</f>
        <v>6.3703283859108728E-2</v>
      </c>
      <c r="N575" s="44">
        <f>_xlfn.RRI(5,F575,K575)</f>
        <v>9.6718749336330845E-2</v>
      </c>
    </row>
    <row r="576" spans="1:14">
      <c r="D576" s="154" t="s">
        <v>475</v>
      </c>
      <c r="E576" s="216">
        <f>' Income Statement'!C566</f>
        <v>0</v>
      </c>
      <c r="F576" s="217">
        <f>F575/E575-1</f>
        <v>1.2032561689137689E-2</v>
      </c>
      <c r="G576" s="217">
        <f>G575/F575-1</f>
        <v>0.18211296282331646</v>
      </c>
      <c r="H576" s="217">
        <f t="shared" ref="H576:K576" si="31">H575/G575-1</f>
        <v>0.11520796121459553</v>
      </c>
      <c r="I576" s="217">
        <f t="shared" si="31"/>
        <v>0.15509285741524614</v>
      </c>
      <c r="J576" s="217">
        <f t="shared" si="31"/>
        <v>2.1723341036645749E-2</v>
      </c>
      <c r="K576" s="217">
        <f t="shared" si="31"/>
        <v>1.9791262763344974E-2</v>
      </c>
    </row>
    <row r="578" spans="3:14">
      <c r="D578" t="s">
        <v>476</v>
      </c>
      <c r="E578" s="133">
        <f>-' Income Statement'!C35</f>
        <v>11956</v>
      </c>
      <c r="F578" s="133">
        <f>-' Income Statement'!D35</f>
        <v>11663</v>
      </c>
      <c r="G578" s="133">
        <f>-' Income Statement'!E35</f>
        <v>13254</v>
      </c>
      <c r="H578" s="133">
        <f>-' Income Statement'!F35</f>
        <v>13854</v>
      </c>
      <c r="I578" s="133">
        <f>-' Income Statement'!G35</f>
        <v>14715</v>
      </c>
      <c r="J578" s="133">
        <f>-' Income Statement'!H35</f>
        <v>17473</v>
      </c>
      <c r="K578" s="133">
        <f>-' Income Statement'!I35</f>
        <v>17692</v>
      </c>
      <c r="M578" s="44">
        <f>_xlfn.RRI(3,H578,K578)</f>
        <v>8.4927162571547976E-2</v>
      </c>
      <c r="N578" s="44">
        <f>_xlfn.RRI(5,F578,K578)</f>
        <v>8.6909365718994991E-2</v>
      </c>
    </row>
    <row r="579" spans="3:14">
      <c r="D579" s="154" t="s">
        <v>475</v>
      </c>
      <c r="E579" s="216">
        <f>' Income Statement'!C569</f>
        <v>0</v>
      </c>
      <c r="F579" s="217">
        <f>F578/E578-1</f>
        <v>-2.4506523921043799E-2</v>
      </c>
      <c r="G579" s="217">
        <f>G578/F578-1</f>
        <v>0.13641430163765755</v>
      </c>
      <c r="H579" s="217">
        <f t="shared" ref="H579" si="32">H578/G578-1</f>
        <v>4.5269352648257044E-2</v>
      </c>
      <c r="I579" s="217">
        <f t="shared" ref="I579" si="33">I578/H578-1</f>
        <v>6.2148116067561654E-2</v>
      </c>
      <c r="J579" s="217">
        <f t="shared" ref="J579" si="34">J578/I578-1</f>
        <v>0.18742779476724425</v>
      </c>
      <c r="K579" s="217">
        <f t="shared" ref="K579" si="35">K578/J578-1</f>
        <v>1.2533623304527008E-2</v>
      </c>
    </row>
    <row r="580" spans="3:14">
      <c r="D580" s="154"/>
      <c r="E580" s="216"/>
      <c r="F580" s="217"/>
      <c r="G580" s="217"/>
      <c r="H580" s="217"/>
      <c r="I580" s="217"/>
      <c r="J580" s="217"/>
      <c r="K580" s="217"/>
      <c r="M580" s="156" t="s">
        <v>444</v>
      </c>
      <c r="N580" s="156" t="s">
        <v>445</v>
      </c>
    </row>
    <row r="581" spans="3:14">
      <c r="D581" s="242" t="s">
        <v>498</v>
      </c>
      <c r="E581" s="243">
        <f>E578/E575</f>
        <v>0.30414652760111932</v>
      </c>
      <c r="F581" s="243">
        <f t="shared" ref="F581:K581" si="36">F578/F575</f>
        <v>0.29316542241661009</v>
      </c>
      <c r="G581" s="243">
        <f t="shared" si="36"/>
        <v>0.28183210002551673</v>
      </c>
      <c r="H581" s="243">
        <f t="shared" si="36"/>
        <v>0.26415741905960416</v>
      </c>
      <c r="I581" s="243">
        <f t="shared" si="36"/>
        <v>0.24290194783757016</v>
      </c>
      <c r="J581" s="243">
        <f t="shared" si="36"/>
        <v>0.28229610960320539</v>
      </c>
      <c r="K581" s="243">
        <f t="shared" si="36"/>
        <v>0.2802870676953787</v>
      </c>
      <c r="M581" s="244">
        <f>AVERAGE(E581:K581)</f>
        <v>0.27839808489128631</v>
      </c>
      <c r="N581" s="244">
        <f>MEDIAN(E581:K581)</f>
        <v>0.28183210002551673</v>
      </c>
    </row>
    <row r="582" spans="3:14">
      <c r="M582" s="244"/>
      <c r="N582" s="244"/>
    </row>
    <row r="583" spans="3:14">
      <c r="D583" s="242"/>
      <c r="E583" s="243"/>
      <c r="F583" s="243"/>
      <c r="G583" s="243"/>
      <c r="H583" s="243"/>
      <c r="I583" s="243"/>
      <c r="J583" s="243"/>
      <c r="K583" s="243"/>
      <c r="M583" s="244"/>
      <c r="N583" s="244"/>
    </row>
    <row r="584" spans="3:14">
      <c r="D584" t="s">
        <v>512</v>
      </c>
      <c r="E584" s="133"/>
      <c r="F584" s="133"/>
      <c r="G584" s="133"/>
      <c r="H584" s="133"/>
      <c r="I584" s="133"/>
      <c r="J584" s="133"/>
      <c r="K584" s="133"/>
      <c r="M584" s="244"/>
      <c r="N584" s="244"/>
    </row>
    <row r="585" spans="3:14">
      <c r="D585" s="63" t="s">
        <v>210</v>
      </c>
      <c r="E585" s="133"/>
      <c r="F585" s="133">
        <v>1820</v>
      </c>
      <c r="G585" s="133">
        <v>2358</v>
      </c>
      <c r="H585" s="133">
        <v>2545</v>
      </c>
      <c r="I585" s="133">
        <v>2854</v>
      </c>
      <c r="J585" s="133">
        <v>3009</v>
      </c>
      <c r="K585" s="133">
        <v>3007</v>
      </c>
      <c r="M585" s="244"/>
      <c r="N585" s="244"/>
    </row>
    <row r="586" spans="3:14">
      <c r="D586" s="253" t="s">
        <v>513</v>
      </c>
      <c r="E586" s="254"/>
      <c r="F586" s="255">
        <f>F585/F575</f>
        <v>4.574818389764472E-2</v>
      </c>
      <c r="G586" s="255">
        <f t="shared" ref="G586:K586" si="37">G585/G575</f>
        <v>5.0140341923960191E-2</v>
      </c>
      <c r="H586" s="255">
        <f t="shared" si="37"/>
        <v>4.8526103039316627E-2</v>
      </c>
      <c r="I586" s="255">
        <f t="shared" si="37"/>
        <v>4.7111257840871577E-2</v>
      </c>
      <c r="J586" s="255">
        <f t="shared" si="37"/>
        <v>4.8613803799922452E-2</v>
      </c>
      <c r="K586" s="255">
        <f t="shared" si="37"/>
        <v>4.7638662251865464E-2</v>
      </c>
      <c r="M586" s="37">
        <f>AVERAGE(E586:K586)</f>
        <v>4.7963058792263508E-2</v>
      </c>
      <c r="N586" s="37">
        <f>MEDIAN(E586:K586)</f>
        <v>4.8082382645591046E-2</v>
      </c>
    </row>
    <row r="587" spans="3:14">
      <c r="D587" s="63" t="s">
        <v>211</v>
      </c>
      <c r="E587" s="133"/>
      <c r="F587" s="133">
        <v>9843</v>
      </c>
      <c r="G587" s="133">
        <v>10896</v>
      </c>
      <c r="H587" s="133">
        <v>11309</v>
      </c>
      <c r="I587" s="133">
        <v>11861</v>
      </c>
      <c r="J587" s="133">
        <v>14464</v>
      </c>
      <c r="K587" s="133">
        <v>14615</v>
      </c>
      <c r="M587" s="54"/>
      <c r="N587" s="54"/>
    </row>
    <row r="588" spans="3:14">
      <c r="D588" s="253" t="s">
        <v>514</v>
      </c>
      <c r="E588" s="254"/>
      <c r="F588" s="255">
        <f>F587/F575</f>
        <v>0.24741723851896538</v>
      </c>
      <c r="G588" s="255">
        <f t="shared" ref="G588:K588" si="38">G587/G575</f>
        <v>0.23169175810155651</v>
      </c>
      <c r="H588" s="255">
        <f t="shared" si="38"/>
        <v>0.21563131602028754</v>
      </c>
      <c r="I588" s="255">
        <f t="shared" si="38"/>
        <v>0.19579068999669857</v>
      </c>
      <c r="J588" s="255">
        <f t="shared" si="38"/>
        <v>0.23368230580328292</v>
      </c>
      <c r="K588" s="255">
        <f t="shared" si="38"/>
        <v>0.23153942428035043</v>
      </c>
      <c r="M588" s="37">
        <f>AVERAGE(E588:K588)</f>
        <v>0.22595878878685685</v>
      </c>
      <c r="N588" s="37">
        <f>MEDIAN(E588:K588)</f>
        <v>0.23161559119095348</v>
      </c>
    </row>
    <row r="589" spans="3:14">
      <c r="D589" s="251" t="s">
        <v>518</v>
      </c>
      <c r="E589" s="252"/>
      <c r="F589" s="252"/>
      <c r="G589" s="252"/>
      <c r="H589" s="252"/>
      <c r="I589" s="252"/>
      <c r="J589" s="252"/>
      <c r="K589" s="252"/>
      <c r="L589" s="251"/>
      <c r="M589" s="251"/>
    </row>
    <row r="590" spans="3:14">
      <c r="E590" s="14"/>
      <c r="F590" s="14"/>
      <c r="G590" s="14"/>
      <c r="H590" s="14"/>
      <c r="I590" s="14"/>
      <c r="J590" s="14"/>
      <c r="K590" s="14"/>
    </row>
    <row r="591" spans="3:14">
      <c r="C591" t="s">
        <v>27</v>
      </c>
      <c r="D591" s="157" t="s">
        <v>477</v>
      </c>
    </row>
    <row r="593" spans="3:22">
      <c r="D593" s="218"/>
      <c r="E593" s="218"/>
      <c r="F593" s="218"/>
      <c r="G593" s="218"/>
      <c r="H593" s="218"/>
      <c r="I593" s="218"/>
      <c r="J593" s="218"/>
      <c r="K593" s="218"/>
      <c r="L593" s="218"/>
      <c r="M593" s="218"/>
      <c r="N593" s="218"/>
      <c r="O593" s="218"/>
      <c r="P593" s="218"/>
      <c r="Q593" s="218"/>
      <c r="R593" s="218"/>
      <c r="S593" s="218"/>
      <c r="T593" s="218"/>
      <c r="U593" s="218"/>
      <c r="V593" s="218"/>
    </row>
    <row r="594" spans="3:22">
      <c r="C594" t="s">
        <v>27</v>
      </c>
      <c r="D594" s="219" t="s">
        <v>496</v>
      </c>
      <c r="E594" s="220">
        <v>42430</v>
      </c>
      <c r="F594" s="220">
        <v>42795</v>
      </c>
      <c r="G594" s="220">
        <v>43160</v>
      </c>
      <c r="H594" s="220">
        <v>43525</v>
      </c>
      <c r="I594" s="220">
        <v>43891</v>
      </c>
      <c r="J594" s="220">
        <v>44256</v>
      </c>
      <c r="K594" s="220">
        <v>44621</v>
      </c>
      <c r="L594" s="220">
        <v>44986</v>
      </c>
      <c r="M594" s="220">
        <v>45352</v>
      </c>
      <c r="N594" s="220">
        <v>45717</v>
      </c>
      <c r="P594" s="208"/>
      <c r="Q594" s="208"/>
      <c r="R594" s="208"/>
      <c r="S594" s="208"/>
      <c r="T594" s="208"/>
      <c r="U594" s="208"/>
      <c r="V594" s="208"/>
    </row>
    <row r="595" spans="3:22">
      <c r="D595" s="221" t="s">
        <v>52</v>
      </c>
      <c r="E595" s="222">
        <v>32186</v>
      </c>
      <c r="F595" s="222">
        <v>33162</v>
      </c>
      <c r="G595" s="222">
        <v>35545</v>
      </c>
      <c r="H595" s="222">
        <v>39310</v>
      </c>
      <c r="I595" s="222">
        <v>39783</v>
      </c>
      <c r="J595" s="222">
        <v>47028</v>
      </c>
      <c r="K595" s="222">
        <v>52446</v>
      </c>
      <c r="L595" s="222">
        <v>60580</v>
      </c>
      <c r="M595" s="222">
        <v>61896</v>
      </c>
      <c r="N595" s="222">
        <v>63121</v>
      </c>
      <c r="P595" s="223"/>
      <c r="Q595" s="223"/>
      <c r="R595" s="223"/>
      <c r="S595" s="223"/>
      <c r="T595" s="223"/>
      <c r="U595" s="223"/>
      <c r="V595" s="223"/>
    </row>
    <row r="596" spans="3:22">
      <c r="D596" s="221"/>
      <c r="E596" s="222"/>
      <c r="F596" s="222"/>
      <c r="G596" s="222"/>
      <c r="H596" s="222"/>
      <c r="I596" s="222"/>
      <c r="J596" s="222"/>
      <c r="K596" s="222"/>
      <c r="L596" s="222"/>
      <c r="M596" s="222"/>
      <c r="N596" s="222"/>
      <c r="P596" s="223"/>
      <c r="Q596" s="223"/>
      <c r="R596" s="223"/>
      <c r="S596" s="223"/>
      <c r="T596" s="223"/>
      <c r="U596" s="223"/>
      <c r="V596" s="223"/>
    </row>
    <row r="597" spans="3:22">
      <c r="D597" s="229" t="s">
        <v>478</v>
      </c>
      <c r="E597" s="230">
        <v>1680</v>
      </c>
      <c r="F597" s="230">
        <v>1743</v>
      </c>
      <c r="G597" s="230">
        <v>1860</v>
      </c>
      <c r="H597" s="230">
        <v>1875</v>
      </c>
      <c r="I597" s="230">
        <v>1820</v>
      </c>
      <c r="J597" s="230">
        <v>2358</v>
      </c>
      <c r="K597" s="230">
        <v>2545</v>
      </c>
      <c r="L597" s="230">
        <v>2854</v>
      </c>
      <c r="M597" s="230">
        <v>3009</v>
      </c>
      <c r="N597" s="230">
        <v>3077</v>
      </c>
      <c r="P597" s="224"/>
      <c r="Q597" s="224"/>
      <c r="R597" s="224"/>
      <c r="S597" s="224"/>
      <c r="T597" s="224"/>
      <c r="U597" s="224"/>
      <c r="V597" s="224"/>
    </row>
    <row r="598" spans="3:22">
      <c r="D598" s="231" t="s">
        <v>479</v>
      </c>
      <c r="E598" s="232">
        <v>1340</v>
      </c>
      <c r="F598" s="232">
        <v>1439</v>
      </c>
      <c r="G598" s="232">
        <v>1526</v>
      </c>
      <c r="H598" s="232">
        <v>1558</v>
      </c>
      <c r="I598" s="232">
        <v>1547</v>
      </c>
      <c r="J598" s="232">
        <v>1943</v>
      </c>
      <c r="K598" s="232">
        <v>2016</v>
      </c>
      <c r="L598" s="232">
        <v>2308</v>
      </c>
      <c r="M598" s="232">
        <v>2474</v>
      </c>
      <c r="N598" s="232">
        <v>2550</v>
      </c>
      <c r="P598" s="223"/>
      <c r="Q598" s="223"/>
      <c r="R598" s="223"/>
      <c r="S598" s="223"/>
      <c r="T598" s="223"/>
      <c r="U598" s="223"/>
      <c r="V598" s="223"/>
    </row>
    <row r="599" spans="3:22">
      <c r="D599" s="231" t="s">
        <v>480</v>
      </c>
      <c r="E599" s="233">
        <v>81</v>
      </c>
      <c r="F599" s="233">
        <v>86</v>
      </c>
      <c r="G599" s="233">
        <v>94</v>
      </c>
      <c r="H599" s="233">
        <v>110</v>
      </c>
      <c r="I599" s="233">
        <v>122</v>
      </c>
      <c r="J599" s="233">
        <v>162</v>
      </c>
      <c r="K599" s="233">
        <v>169</v>
      </c>
      <c r="L599" s="233">
        <v>161</v>
      </c>
      <c r="M599" s="233">
        <v>174</v>
      </c>
      <c r="N599" s="233">
        <v>199</v>
      </c>
      <c r="P599" s="223"/>
      <c r="Q599" s="223"/>
      <c r="R599" s="223"/>
      <c r="S599" s="223"/>
      <c r="T599" s="223"/>
      <c r="U599" s="223"/>
      <c r="V599" s="223"/>
    </row>
    <row r="600" spans="3:22">
      <c r="D600" s="231" t="s">
        <v>481</v>
      </c>
      <c r="E600" s="233">
        <v>113</v>
      </c>
      <c r="F600" s="233">
        <v>106</v>
      </c>
      <c r="G600" s="233">
        <v>96</v>
      </c>
      <c r="H600" s="233">
        <v>86</v>
      </c>
      <c r="I600" s="233">
        <v>74</v>
      </c>
      <c r="J600" s="233">
        <v>158</v>
      </c>
      <c r="K600" s="233">
        <v>168</v>
      </c>
      <c r="L600" s="233">
        <v>186</v>
      </c>
      <c r="M600" s="233">
        <v>153</v>
      </c>
      <c r="N600" s="233">
        <v>176</v>
      </c>
      <c r="P600" s="223"/>
      <c r="Q600" s="223"/>
      <c r="R600" s="223"/>
      <c r="S600" s="223"/>
      <c r="T600" s="223"/>
      <c r="U600" s="223"/>
      <c r="V600" s="223"/>
    </row>
    <row r="601" spans="3:22">
      <c r="D601" s="231" t="s">
        <v>482</v>
      </c>
      <c r="E601" s="233">
        <v>146</v>
      </c>
      <c r="F601" s="233">
        <v>112</v>
      </c>
      <c r="G601" s="233">
        <v>144</v>
      </c>
      <c r="H601" s="233">
        <v>121</v>
      </c>
      <c r="I601" s="233">
        <v>77</v>
      </c>
      <c r="J601" s="233">
        <v>95</v>
      </c>
      <c r="K601" s="233">
        <v>192</v>
      </c>
      <c r="L601" s="233">
        <v>199</v>
      </c>
      <c r="M601" s="233">
        <v>208</v>
      </c>
      <c r="N601" s="233">
        <v>152</v>
      </c>
      <c r="P601" s="223"/>
      <c r="Q601" s="223"/>
      <c r="R601" s="223"/>
      <c r="S601" s="223"/>
      <c r="T601" s="223"/>
      <c r="U601" s="223"/>
      <c r="V601" s="223"/>
    </row>
    <row r="603" spans="3:22">
      <c r="D603" s="229" t="s">
        <v>488</v>
      </c>
      <c r="E603" s="230">
        <v>5178</v>
      </c>
      <c r="F603" s="230">
        <v>5058</v>
      </c>
      <c r="G603" s="230">
        <v>5700</v>
      </c>
      <c r="H603" s="230">
        <v>6206</v>
      </c>
      <c r="I603" s="230">
        <v>6220</v>
      </c>
      <c r="J603" s="230">
        <v>6497</v>
      </c>
      <c r="K603" s="230">
        <v>6618</v>
      </c>
      <c r="L603" s="230">
        <v>6879</v>
      </c>
      <c r="M603" s="230">
        <f>SUM(M604:M605)</f>
        <v>8297</v>
      </c>
      <c r="N603" s="230">
        <f t="shared" ref="N603" si="39">SUM(N604:N605)</f>
        <v>7986</v>
      </c>
      <c r="P603" s="224"/>
      <c r="Q603" s="224"/>
      <c r="R603" s="224"/>
      <c r="S603" s="224"/>
      <c r="T603" s="224"/>
      <c r="U603" s="224"/>
      <c r="V603" s="224"/>
    </row>
    <row r="604" spans="3:22">
      <c r="D604" s="234" t="s">
        <v>489</v>
      </c>
      <c r="E604" s="235">
        <v>3656</v>
      </c>
      <c r="F604" s="235">
        <v>3542</v>
      </c>
      <c r="G604" s="235">
        <v>4153</v>
      </c>
      <c r="H604" s="235">
        <v>4607</v>
      </c>
      <c r="I604" s="235">
        <v>4713</v>
      </c>
      <c r="J604" s="235">
        <v>4754</v>
      </c>
      <c r="K604" s="235">
        <v>4744</v>
      </c>
      <c r="L604" s="235">
        <v>4907</v>
      </c>
      <c r="M604" s="235">
        <v>6380</v>
      </c>
      <c r="N604" s="235">
        <v>6028</v>
      </c>
      <c r="P604" s="223"/>
      <c r="Q604" s="223"/>
      <c r="R604" s="223"/>
      <c r="S604" s="223"/>
      <c r="T604" s="223"/>
      <c r="U604" s="223"/>
      <c r="V604" s="223"/>
    </row>
    <row r="605" spans="3:22">
      <c r="D605" s="234" t="s">
        <v>490</v>
      </c>
      <c r="E605" s="235">
        <v>1522</v>
      </c>
      <c r="F605" s="235">
        <v>1516</v>
      </c>
      <c r="G605" s="235">
        <v>1547</v>
      </c>
      <c r="H605" s="235">
        <v>1599</v>
      </c>
      <c r="I605" s="235">
        <v>1507</v>
      </c>
      <c r="J605" s="235">
        <v>1743</v>
      </c>
      <c r="K605" s="235">
        <v>1874</v>
      </c>
      <c r="L605" s="235">
        <v>1972</v>
      </c>
      <c r="M605" s="235">
        <v>1917</v>
      </c>
      <c r="N605" s="235">
        <v>1958</v>
      </c>
      <c r="P605" s="223"/>
      <c r="Q605" s="223"/>
      <c r="R605" s="223"/>
      <c r="S605" s="223"/>
      <c r="T605" s="223"/>
      <c r="U605" s="223"/>
      <c r="V605" s="223"/>
    </row>
    <row r="607" spans="3:22">
      <c r="D607" s="229" t="s">
        <v>211</v>
      </c>
      <c r="E607" s="230">
        <f t="shared" ref="E607:N607" si="40">SUM(E608:E615)</f>
        <v>3842</v>
      </c>
      <c r="F607" s="230">
        <f t="shared" si="40"/>
        <v>4126</v>
      </c>
      <c r="G607" s="230">
        <f t="shared" si="40"/>
        <v>4198</v>
      </c>
      <c r="H607" s="230">
        <f t="shared" si="40"/>
        <v>4253</v>
      </c>
      <c r="I607" s="230">
        <f t="shared" si="40"/>
        <v>3910</v>
      </c>
      <c r="J607" s="230">
        <f t="shared" si="40"/>
        <v>3859</v>
      </c>
      <c r="K607" s="230">
        <f t="shared" si="40"/>
        <v>4371</v>
      </c>
      <c r="L607" s="230">
        <f t="shared" si="40"/>
        <v>5083</v>
      </c>
      <c r="M607" s="230">
        <f t="shared" si="40"/>
        <v>5563</v>
      </c>
      <c r="N607" s="230">
        <f t="shared" si="40"/>
        <v>6046</v>
      </c>
      <c r="P607" s="224"/>
      <c r="Q607" s="224"/>
      <c r="R607" s="224"/>
      <c r="S607" s="224"/>
      <c r="T607" s="224"/>
      <c r="U607" s="224"/>
      <c r="V607" s="224"/>
    </row>
    <row r="608" spans="3:22">
      <c r="D608" s="234" t="s">
        <v>491</v>
      </c>
      <c r="E608" s="236">
        <v>236</v>
      </c>
      <c r="F608" s="236">
        <v>193</v>
      </c>
      <c r="G608" s="236">
        <v>309</v>
      </c>
      <c r="H608" s="236">
        <v>281</v>
      </c>
      <c r="I608" s="236">
        <v>299</v>
      </c>
      <c r="J608" s="236">
        <v>293</v>
      </c>
      <c r="K608" s="236">
        <v>259</v>
      </c>
      <c r="L608" s="236">
        <v>204</v>
      </c>
      <c r="M608" s="236">
        <v>209</v>
      </c>
      <c r="N608" s="236">
        <v>203</v>
      </c>
      <c r="P608" s="223"/>
      <c r="Q608" s="223"/>
      <c r="R608" s="223"/>
      <c r="S608" s="223"/>
      <c r="T608" s="223"/>
      <c r="U608" s="223"/>
      <c r="V608" s="223"/>
    </row>
    <row r="609" spans="3:22">
      <c r="D609" s="234" t="s">
        <v>492</v>
      </c>
      <c r="E609" s="236">
        <v>130</v>
      </c>
      <c r="F609" s="236">
        <v>131</v>
      </c>
      <c r="G609" s="236">
        <v>120</v>
      </c>
      <c r="H609" s="236">
        <v>143</v>
      </c>
      <c r="I609" s="236">
        <v>156</v>
      </c>
      <c r="J609" s="236">
        <v>163</v>
      </c>
      <c r="K609" s="236">
        <v>209</v>
      </c>
      <c r="L609" s="236">
        <v>223</v>
      </c>
      <c r="M609" s="236">
        <v>227</v>
      </c>
      <c r="N609" s="236">
        <v>244</v>
      </c>
      <c r="P609" s="223"/>
      <c r="Q609" s="223"/>
      <c r="R609" s="223"/>
      <c r="S609" s="223"/>
      <c r="T609" s="223"/>
      <c r="U609" s="223"/>
      <c r="V609" s="223"/>
    </row>
    <row r="610" spans="3:22">
      <c r="D610" s="234" t="s">
        <v>483</v>
      </c>
      <c r="E610" s="236">
        <v>309</v>
      </c>
      <c r="F610" s="236">
        <v>295</v>
      </c>
      <c r="G610" s="236">
        <v>295</v>
      </c>
      <c r="H610" s="236">
        <v>308</v>
      </c>
      <c r="I610" s="236">
        <v>110</v>
      </c>
      <c r="J610" s="236">
        <v>339</v>
      </c>
      <c r="K610" s="236">
        <v>318</v>
      </c>
      <c r="L610" s="236">
        <v>384</v>
      </c>
      <c r="M610" s="236">
        <v>446</v>
      </c>
      <c r="N610" s="236">
        <v>427</v>
      </c>
      <c r="P610" s="223"/>
      <c r="Q610" s="223"/>
      <c r="R610" s="223"/>
      <c r="S610" s="223"/>
      <c r="T610" s="223"/>
      <c r="U610" s="223"/>
      <c r="V610" s="223"/>
    </row>
    <row r="611" spans="3:22">
      <c r="D611" s="231" t="s">
        <v>484</v>
      </c>
      <c r="E611" s="233">
        <v>382</v>
      </c>
      <c r="F611" s="233">
        <v>383</v>
      </c>
      <c r="G611" s="233">
        <v>381</v>
      </c>
      <c r="H611" s="233">
        <v>351</v>
      </c>
      <c r="I611" s="233">
        <v>119</v>
      </c>
      <c r="J611" s="233">
        <v>104</v>
      </c>
      <c r="K611" s="233">
        <v>82</v>
      </c>
      <c r="L611" s="233">
        <v>79</v>
      </c>
      <c r="M611" s="233">
        <v>81</v>
      </c>
      <c r="N611" s="233">
        <v>53</v>
      </c>
      <c r="P611" s="223"/>
      <c r="Q611" s="223"/>
      <c r="R611" s="223"/>
      <c r="S611" s="223"/>
      <c r="T611" s="223"/>
      <c r="U611" s="223"/>
      <c r="V611" s="223"/>
    </row>
    <row r="612" spans="3:22">
      <c r="D612" s="231" t="s">
        <v>485</v>
      </c>
      <c r="E612" s="233">
        <v>0</v>
      </c>
      <c r="F612" s="233">
        <v>378</v>
      </c>
      <c r="G612" s="233">
        <v>358</v>
      </c>
      <c r="H612" s="233">
        <v>383</v>
      </c>
      <c r="I612" s="233">
        <v>387</v>
      </c>
      <c r="J612" s="233">
        <v>450</v>
      </c>
      <c r="K612" s="233">
        <v>500</v>
      </c>
      <c r="L612" s="233">
        <v>575</v>
      </c>
      <c r="M612" s="233">
        <v>784</v>
      </c>
      <c r="N612" s="233">
        <v>849</v>
      </c>
      <c r="P612" s="223"/>
      <c r="Q612" s="223"/>
      <c r="R612" s="223"/>
      <c r="S612" s="223"/>
      <c r="T612" s="223"/>
      <c r="U612" s="223"/>
      <c r="V612" s="223"/>
    </row>
    <row r="613" spans="3:22">
      <c r="D613" s="231" t="s">
        <v>486</v>
      </c>
      <c r="E613" s="233">
        <v>181</v>
      </c>
      <c r="F613" s="233">
        <v>179</v>
      </c>
      <c r="G613" s="233">
        <v>162</v>
      </c>
      <c r="H613" s="233">
        <v>166</v>
      </c>
      <c r="I613" s="233">
        <v>165</v>
      </c>
      <c r="J613" s="233">
        <v>93</v>
      </c>
      <c r="K613" s="233">
        <v>112</v>
      </c>
      <c r="L613" s="233">
        <v>249</v>
      </c>
      <c r="M613" s="233">
        <v>282</v>
      </c>
      <c r="N613" s="233">
        <v>238</v>
      </c>
      <c r="P613" s="223"/>
      <c r="Q613" s="223"/>
      <c r="R613" s="223"/>
      <c r="S613" s="223"/>
      <c r="T613" s="223"/>
      <c r="U613" s="223"/>
      <c r="V613" s="223"/>
    </row>
    <row r="614" spans="3:22">
      <c r="D614" s="231" t="s">
        <v>487</v>
      </c>
      <c r="E614" s="233">
        <v>4</v>
      </c>
      <c r="F614" s="233">
        <v>4</v>
      </c>
      <c r="G614" s="233">
        <v>4</v>
      </c>
      <c r="H614" s="233">
        <v>4</v>
      </c>
      <c r="I614" s="233">
        <v>4</v>
      </c>
      <c r="J614" s="233">
        <v>5</v>
      </c>
      <c r="K614" s="233">
        <v>5</v>
      </c>
      <c r="L614" s="233">
        <v>5</v>
      </c>
      <c r="M614" s="233">
        <v>585</v>
      </c>
      <c r="N614" s="233">
        <v>645</v>
      </c>
      <c r="P614" s="223"/>
      <c r="Q614" s="223"/>
      <c r="R614" s="223"/>
      <c r="S614" s="223"/>
      <c r="T614" s="223"/>
      <c r="U614" s="223"/>
      <c r="V614" s="223"/>
    </row>
    <row r="615" spans="3:22">
      <c r="D615" s="234" t="s">
        <v>493</v>
      </c>
      <c r="E615" s="235">
        <v>2600</v>
      </c>
      <c r="F615" s="235">
        <v>2563</v>
      </c>
      <c r="G615" s="235">
        <v>2569</v>
      </c>
      <c r="H615" s="235">
        <v>2617</v>
      </c>
      <c r="I615" s="235">
        <v>2670</v>
      </c>
      <c r="J615" s="235">
        <v>2412</v>
      </c>
      <c r="K615" s="235">
        <v>2886</v>
      </c>
      <c r="L615" s="235">
        <v>3364</v>
      </c>
      <c r="M615" s="235">
        <v>2949</v>
      </c>
      <c r="N615" s="235">
        <v>3387</v>
      </c>
      <c r="P615" s="223"/>
      <c r="Q615" s="223"/>
      <c r="R615" s="223"/>
      <c r="S615" s="223"/>
      <c r="T615" s="223"/>
      <c r="U615" s="223"/>
      <c r="V615" s="223"/>
    </row>
    <row r="616" spans="3:22">
      <c r="D616" s="221" t="s">
        <v>1</v>
      </c>
      <c r="E616" s="224">
        <f t="shared" ref="E616:N616" si="41">SUM(E607+E603+E597)</f>
        <v>10700</v>
      </c>
      <c r="F616" s="224">
        <f t="shared" si="41"/>
        <v>10927</v>
      </c>
      <c r="G616" s="224">
        <f t="shared" si="41"/>
        <v>11758</v>
      </c>
      <c r="H616" s="224">
        <f t="shared" si="41"/>
        <v>12334</v>
      </c>
      <c r="I616" s="224">
        <f t="shared" si="41"/>
        <v>11950</v>
      </c>
      <c r="J616" s="224">
        <f t="shared" si="41"/>
        <v>12714</v>
      </c>
      <c r="K616" s="224">
        <f t="shared" si="41"/>
        <v>13534</v>
      </c>
      <c r="L616" s="224">
        <f t="shared" si="41"/>
        <v>14816</v>
      </c>
      <c r="M616" s="224">
        <f t="shared" si="41"/>
        <v>16869</v>
      </c>
      <c r="N616" s="224">
        <f t="shared" si="41"/>
        <v>17109</v>
      </c>
      <c r="P616" s="224"/>
      <c r="Q616" s="224"/>
      <c r="R616" s="224"/>
      <c r="S616" s="224"/>
      <c r="T616" s="224"/>
      <c r="U616" s="224"/>
      <c r="V616" s="224"/>
    </row>
    <row r="617" spans="3:22">
      <c r="D617" s="221"/>
      <c r="E617" s="224"/>
      <c r="F617" s="224"/>
      <c r="G617" s="224"/>
      <c r="H617" s="224"/>
      <c r="I617" s="224"/>
      <c r="J617" s="224"/>
      <c r="K617" s="224"/>
      <c r="L617" s="224"/>
      <c r="M617" s="224"/>
      <c r="N617" s="224"/>
      <c r="P617" s="224"/>
      <c r="Q617" s="224"/>
      <c r="R617" s="224"/>
      <c r="S617" s="224"/>
      <c r="T617" s="224"/>
      <c r="U617" s="224"/>
      <c r="V617" s="224"/>
    </row>
    <row r="618" spans="3:22">
      <c r="D618" s="221" t="s">
        <v>498</v>
      </c>
      <c r="E618" s="226">
        <f>E616/E595</f>
        <v>0.33244267694028462</v>
      </c>
      <c r="F618" s="226">
        <f t="shared" ref="F618:N618" si="42">F616/F595</f>
        <v>0.32950364875459864</v>
      </c>
      <c r="G618" s="226">
        <f t="shared" si="42"/>
        <v>0.33079195386130256</v>
      </c>
      <c r="H618" s="226">
        <f t="shared" si="42"/>
        <v>0.3137624014245739</v>
      </c>
      <c r="I618" s="226">
        <f t="shared" si="42"/>
        <v>0.30037955910816178</v>
      </c>
      <c r="J618" s="226">
        <f t="shared" si="42"/>
        <v>0.27034957897422812</v>
      </c>
      <c r="K618" s="226">
        <f t="shared" si="42"/>
        <v>0.25805590512145826</v>
      </c>
      <c r="L618" s="226">
        <f t="shared" si="42"/>
        <v>0.24456916474083856</v>
      </c>
      <c r="M618" s="226">
        <f t="shared" si="42"/>
        <v>0.27253780535091121</v>
      </c>
      <c r="N618" s="226">
        <f t="shared" si="42"/>
        <v>0.271050838865037</v>
      </c>
      <c r="P618" s="224"/>
      <c r="Q618" s="224"/>
      <c r="R618" s="224"/>
      <c r="S618" s="224"/>
      <c r="T618" s="224"/>
      <c r="U618" s="224"/>
      <c r="V618" s="224"/>
    </row>
    <row r="619" spans="3:22">
      <c r="D619" s="221"/>
      <c r="E619" s="226"/>
      <c r="F619" s="226"/>
      <c r="G619" s="226"/>
      <c r="H619" s="226"/>
      <c r="I619" s="226"/>
      <c r="J619" s="226"/>
      <c r="K619" s="226"/>
      <c r="L619" s="226"/>
      <c r="M619" s="226"/>
      <c r="N619" s="226"/>
      <c r="P619" s="224"/>
      <c r="Q619" s="224"/>
      <c r="R619" s="224"/>
      <c r="S619" s="224"/>
      <c r="T619" s="224"/>
      <c r="U619" s="224"/>
      <c r="V619" s="224"/>
    </row>
    <row r="620" spans="3:22">
      <c r="D620" s="225" t="s">
        <v>517</v>
      </c>
      <c r="E620" s="226"/>
      <c r="F620" s="226"/>
      <c r="G620" s="226"/>
      <c r="H620" s="226"/>
      <c r="I620" s="226"/>
      <c r="J620" s="226"/>
      <c r="K620" s="226"/>
      <c r="L620" s="226"/>
      <c r="M620" s="226"/>
      <c r="N620" s="226"/>
      <c r="P620" s="224"/>
      <c r="Q620" s="224"/>
      <c r="R620" s="224"/>
      <c r="S620" s="224"/>
      <c r="T620" s="224"/>
      <c r="U620" s="224"/>
      <c r="V620" s="224"/>
    </row>
    <row r="622" spans="3:22">
      <c r="C622" t="s">
        <v>27</v>
      </c>
      <c r="D622" s="219" t="s">
        <v>494</v>
      </c>
      <c r="E622" s="220">
        <v>42430</v>
      </c>
      <c r="F622" s="220">
        <v>42795</v>
      </c>
      <c r="G622" s="220">
        <v>43160</v>
      </c>
      <c r="H622" s="220">
        <v>43525</v>
      </c>
      <c r="I622" s="220">
        <v>43891</v>
      </c>
      <c r="J622" s="220">
        <v>44256</v>
      </c>
      <c r="K622" s="220">
        <v>44621</v>
      </c>
      <c r="L622" s="220">
        <v>44986</v>
      </c>
      <c r="M622" s="220">
        <v>45352</v>
      </c>
      <c r="N622" s="220">
        <v>45717</v>
      </c>
      <c r="P622" s="157" t="s">
        <v>444</v>
      </c>
      <c r="Q622" s="157"/>
      <c r="R622" s="157"/>
      <c r="S622" s="157"/>
      <c r="T622" s="157"/>
      <c r="U622" s="157"/>
      <c r="V622" s="157" t="s">
        <v>445</v>
      </c>
    </row>
    <row r="623" spans="3:22">
      <c r="D623" s="221"/>
      <c r="E623" s="222"/>
      <c r="F623" s="222"/>
      <c r="G623" s="222"/>
      <c r="H623" s="222"/>
      <c r="I623" s="222"/>
      <c r="J623" s="222"/>
      <c r="K623" s="222"/>
      <c r="L623" s="222"/>
      <c r="M623" s="222"/>
      <c r="N623" s="222"/>
      <c r="P623" s="223"/>
      <c r="Q623" s="223"/>
      <c r="R623" s="223"/>
      <c r="S623" s="223"/>
      <c r="T623" s="223"/>
      <c r="U623" s="223"/>
      <c r="V623" s="223"/>
    </row>
    <row r="624" spans="3:22">
      <c r="D624" s="229" t="s">
        <v>478</v>
      </c>
      <c r="E624" s="237">
        <f t="shared" ref="E624:N624" si="43">E597/E$616</f>
        <v>0.15700934579439252</v>
      </c>
      <c r="F624" s="237">
        <f t="shared" si="43"/>
        <v>0.15951313260730302</v>
      </c>
      <c r="G624" s="237">
        <f t="shared" si="43"/>
        <v>0.15819016839598571</v>
      </c>
      <c r="H624" s="237">
        <f t="shared" si="43"/>
        <v>0.15201880979406518</v>
      </c>
      <c r="I624" s="237">
        <f t="shared" si="43"/>
        <v>0.15230125523012553</v>
      </c>
      <c r="J624" s="237">
        <f t="shared" si="43"/>
        <v>0.18546484190655971</v>
      </c>
      <c r="K624" s="237">
        <f t="shared" si="43"/>
        <v>0.18804492389537461</v>
      </c>
      <c r="L624" s="237">
        <f t="shared" si="43"/>
        <v>0.19262958963282936</v>
      </c>
      <c r="M624" s="237">
        <f t="shared" si="43"/>
        <v>0.17837453316734839</v>
      </c>
      <c r="N624" s="237">
        <f t="shared" si="43"/>
        <v>0.1798468642235081</v>
      </c>
      <c r="O624" s="205"/>
      <c r="P624" s="206">
        <f>AVERAGE(E624:N624)</f>
        <v>0.17033934646474919</v>
      </c>
      <c r="Q624" s="206"/>
      <c r="R624" s="206"/>
      <c r="S624" s="206"/>
      <c r="T624" s="206"/>
      <c r="U624" s="206"/>
      <c r="V624" s="206">
        <f>MEDIAN(E624:N624)</f>
        <v>0.1689438328873257</v>
      </c>
    </row>
    <row r="625" spans="4:22">
      <c r="D625" s="231" t="s">
        <v>479</v>
      </c>
      <c r="E625" s="228">
        <f t="shared" ref="E625:N625" si="44">E598/E$616</f>
        <v>0.12523364485981309</v>
      </c>
      <c r="F625" s="228">
        <f t="shared" si="44"/>
        <v>0.13169213873890365</v>
      </c>
      <c r="G625" s="228">
        <f t="shared" si="44"/>
        <v>0.12978397686681409</v>
      </c>
      <c r="H625" s="228">
        <f t="shared" si="44"/>
        <v>0.12631749635154857</v>
      </c>
      <c r="I625" s="228">
        <f t="shared" si="44"/>
        <v>0.12945606694560668</v>
      </c>
      <c r="J625" s="228">
        <f t="shared" si="44"/>
        <v>0.15282365895862829</v>
      </c>
      <c r="K625" s="228">
        <f t="shared" si="44"/>
        <v>0.14895817940002956</v>
      </c>
      <c r="L625" s="228">
        <f t="shared" si="44"/>
        <v>0.15577753779697623</v>
      </c>
      <c r="M625" s="228">
        <f t="shared" si="44"/>
        <v>0.14665955302626119</v>
      </c>
      <c r="N625" s="228">
        <f t="shared" si="44"/>
        <v>0.14904436261616694</v>
      </c>
      <c r="O625" s="205"/>
      <c r="P625" s="205">
        <f>AVERAGE(E625:N625)</f>
        <v>0.13957466155607481</v>
      </c>
      <c r="Q625" s="205"/>
      <c r="R625" s="205"/>
      <c r="S625" s="205"/>
      <c r="T625" s="205"/>
      <c r="U625" s="205"/>
      <c r="V625" s="205">
        <f>MEDIAN(E625:N625)</f>
        <v>0.13917584588258242</v>
      </c>
    </row>
    <row r="626" spans="4:22">
      <c r="D626" s="231" t="s">
        <v>480</v>
      </c>
      <c r="E626" s="228">
        <f t="shared" ref="E626:N626" si="45">E599/E$616</f>
        <v>7.5700934579439249E-3</v>
      </c>
      <c r="F626" s="228">
        <f t="shared" si="45"/>
        <v>7.8704127390866654E-3</v>
      </c>
      <c r="G626" s="228">
        <f t="shared" si="45"/>
        <v>7.9945568974315352E-3</v>
      </c>
      <c r="H626" s="228">
        <f t="shared" si="45"/>
        <v>8.9184368412518235E-3</v>
      </c>
      <c r="I626" s="228">
        <f t="shared" si="45"/>
        <v>1.0209205020920502E-2</v>
      </c>
      <c r="J626" s="228">
        <f t="shared" si="45"/>
        <v>1.2741859367626238E-2</v>
      </c>
      <c r="K626" s="228">
        <f t="shared" si="45"/>
        <v>1.2487069602482637E-2</v>
      </c>
      <c r="L626" s="228">
        <f t="shared" si="45"/>
        <v>1.0866630669546436E-2</v>
      </c>
      <c r="M626" s="228">
        <f t="shared" si="45"/>
        <v>1.0314778587942379E-2</v>
      </c>
      <c r="N626" s="228">
        <f t="shared" si="45"/>
        <v>1.163130516102636E-2</v>
      </c>
      <c r="O626" s="205"/>
      <c r="P626" s="205">
        <f>AVERAGE(E626:N626)</f>
        <v>1.006043483452585E-2</v>
      </c>
      <c r="Q626" s="205"/>
      <c r="R626" s="205"/>
      <c r="S626" s="205"/>
      <c r="T626" s="205"/>
      <c r="U626" s="205"/>
      <c r="V626" s="205">
        <f>MEDIAN(E626:N626)</f>
        <v>1.026199180443144E-2</v>
      </c>
    </row>
    <row r="627" spans="4:22">
      <c r="D627" s="231" t="s">
        <v>481</v>
      </c>
      <c r="E627" s="228">
        <f t="shared" ref="E627:N627" si="46">E600/E$616</f>
        <v>1.0560747663551402E-2</v>
      </c>
      <c r="F627" s="228">
        <f t="shared" si="46"/>
        <v>9.7007412830603101E-3</v>
      </c>
      <c r="G627" s="228">
        <f t="shared" si="46"/>
        <v>8.1646538526960362E-3</v>
      </c>
      <c r="H627" s="228">
        <f t="shared" si="46"/>
        <v>6.9725960758877902E-3</v>
      </c>
      <c r="I627" s="228">
        <f t="shared" si="46"/>
        <v>6.1924686192468617E-3</v>
      </c>
      <c r="J627" s="228">
        <f t="shared" si="46"/>
        <v>1.2427245556079911E-2</v>
      </c>
      <c r="K627" s="228">
        <f t="shared" si="46"/>
        <v>1.241318161666913E-2</v>
      </c>
      <c r="L627" s="228">
        <f t="shared" si="46"/>
        <v>1.2553995680345572E-2</v>
      </c>
      <c r="M627" s="228">
        <f t="shared" si="46"/>
        <v>9.0698915169838169E-3</v>
      </c>
      <c r="N627" s="228">
        <f t="shared" si="46"/>
        <v>1.0286983458998188E-2</v>
      </c>
      <c r="O627" s="205"/>
      <c r="P627" s="205">
        <f>AVERAGE(E627:N627)</f>
        <v>9.8342505323519014E-3</v>
      </c>
      <c r="Q627" s="205"/>
      <c r="R627" s="205"/>
      <c r="S627" s="205"/>
      <c r="T627" s="205"/>
      <c r="U627" s="205"/>
      <c r="V627" s="205">
        <f>MEDIAN(E627:N627)</f>
        <v>9.9938623710292482E-3</v>
      </c>
    </row>
    <row r="628" spans="4:22">
      <c r="D628" s="231" t="s">
        <v>482</v>
      </c>
      <c r="E628" s="228">
        <f t="shared" ref="E628:N628" si="47">E601/E$616</f>
        <v>1.3644859813084113E-2</v>
      </c>
      <c r="F628" s="228">
        <f t="shared" si="47"/>
        <v>1.0249839846252402E-2</v>
      </c>
      <c r="G628" s="228">
        <f t="shared" si="47"/>
        <v>1.2246980779044054E-2</v>
      </c>
      <c r="H628" s="228">
        <f t="shared" si="47"/>
        <v>9.8102805253770069E-3</v>
      </c>
      <c r="I628" s="228">
        <f t="shared" si="47"/>
        <v>6.4435146443514646E-3</v>
      </c>
      <c r="J628" s="228">
        <f t="shared" si="47"/>
        <v>7.4720780242252633E-3</v>
      </c>
      <c r="K628" s="228">
        <f t="shared" si="47"/>
        <v>1.418649327619329E-2</v>
      </c>
      <c r="L628" s="228">
        <f t="shared" si="47"/>
        <v>1.3431425485961122E-2</v>
      </c>
      <c r="M628" s="228">
        <f t="shared" si="47"/>
        <v>1.2330310036161005E-2</v>
      </c>
      <c r="N628" s="228">
        <f t="shared" si="47"/>
        <v>8.8842129873166163E-3</v>
      </c>
      <c r="O628" s="205"/>
      <c r="P628" s="205">
        <f>AVERAGE(E628:N628)</f>
        <v>1.0869999541796632E-2</v>
      </c>
      <c r="Q628" s="205"/>
      <c r="R628" s="205"/>
      <c r="S628" s="205"/>
      <c r="T628" s="205"/>
      <c r="U628" s="205"/>
      <c r="V628" s="205">
        <f>MEDIAN(E628:N628)</f>
        <v>1.1248410312648227E-2</v>
      </c>
    </row>
    <row r="629" spans="4:22">
      <c r="E629" s="111"/>
      <c r="F629" s="111"/>
      <c r="G629" s="111"/>
      <c r="H629" s="111"/>
      <c r="I629" s="111"/>
      <c r="J629" s="111"/>
      <c r="K629" s="111"/>
      <c r="L629" s="111"/>
      <c r="M629" s="111"/>
      <c r="N629" s="111"/>
      <c r="O629" s="14"/>
      <c r="P629" s="14"/>
      <c r="Q629" s="14"/>
      <c r="R629" s="14"/>
      <c r="S629" s="14"/>
      <c r="T629" s="14"/>
      <c r="U629" s="14"/>
      <c r="V629" s="14"/>
    </row>
    <row r="630" spans="4:22">
      <c r="D630" s="229" t="s">
        <v>488</v>
      </c>
      <c r="E630" s="237">
        <f t="shared" ref="E630:N630" si="48">E603/E$616</f>
        <v>0.48392523364485979</v>
      </c>
      <c r="F630" s="237">
        <f t="shared" si="48"/>
        <v>0.4628900887709344</v>
      </c>
      <c r="G630" s="237">
        <f t="shared" si="48"/>
        <v>0.48477632250382718</v>
      </c>
      <c r="H630" s="237">
        <f t="shared" si="48"/>
        <v>0.50316199124371652</v>
      </c>
      <c r="I630" s="237">
        <f t="shared" si="48"/>
        <v>0.52050209205020925</v>
      </c>
      <c r="J630" s="237">
        <f t="shared" si="48"/>
        <v>0.51101148340412139</v>
      </c>
      <c r="K630" s="237">
        <f t="shared" si="48"/>
        <v>0.48899069011378749</v>
      </c>
      <c r="L630" s="237">
        <f t="shared" si="48"/>
        <v>0.46429535637149028</v>
      </c>
      <c r="M630" s="237">
        <f t="shared" si="48"/>
        <v>0.491848953702057</v>
      </c>
      <c r="N630" s="237">
        <f t="shared" si="48"/>
        <v>0.46677187445204277</v>
      </c>
      <c r="O630" s="14"/>
      <c r="P630" s="226">
        <f>AVERAGE(E630:N630)</f>
        <v>0.48781740862570466</v>
      </c>
      <c r="Q630" s="226"/>
      <c r="R630" s="226"/>
      <c r="S630" s="226"/>
      <c r="T630" s="226"/>
      <c r="U630" s="226"/>
      <c r="V630" s="226">
        <f>MEDIAN(E630:N630)</f>
        <v>0.48688350630880733</v>
      </c>
    </row>
    <row r="631" spans="4:22">
      <c r="D631" s="238" t="s">
        <v>489</v>
      </c>
      <c r="E631" s="239">
        <f t="shared" ref="E631:N631" si="49">E604/E$616</f>
        <v>0.34168224299065419</v>
      </c>
      <c r="F631" s="239">
        <f t="shared" si="49"/>
        <v>0.32415118513773222</v>
      </c>
      <c r="G631" s="239">
        <f t="shared" si="49"/>
        <v>0.35320632760673581</v>
      </c>
      <c r="H631" s="239">
        <f t="shared" si="49"/>
        <v>0.37352035025133778</v>
      </c>
      <c r="I631" s="239">
        <f t="shared" si="49"/>
        <v>0.39439330543933054</v>
      </c>
      <c r="J631" s="239">
        <f t="shared" si="49"/>
        <v>0.37391851502280948</v>
      </c>
      <c r="K631" s="239">
        <f t="shared" si="49"/>
        <v>0.35052460469927588</v>
      </c>
      <c r="L631" s="239">
        <f t="shared" si="49"/>
        <v>0.3311960043196544</v>
      </c>
      <c r="M631" s="239">
        <f t="shared" si="49"/>
        <v>0.37820854822455391</v>
      </c>
      <c r="N631" s="239">
        <f t="shared" si="49"/>
        <v>0.35232918347068792</v>
      </c>
      <c r="O631" s="32"/>
      <c r="P631" s="32">
        <f>AVERAGE(E631:N631)</f>
        <v>0.35731302671627724</v>
      </c>
      <c r="Q631" s="32"/>
      <c r="R631" s="32"/>
      <c r="S631" s="32"/>
      <c r="T631" s="32"/>
      <c r="U631" s="32"/>
      <c r="V631" s="32">
        <f>MEDIAN(E631:N631)</f>
        <v>0.35276775553871187</v>
      </c>
    </row>
    <row r="632" spans="4:22">
      <c r="D632" s="238" t="s">
        <v>490</v>
      </c>
      <c r="E632" s="239">
        <f t="shared" ref="E632:N632" si="50">E605/E$616</f>
        <v>0.14224299065420562</v>
      </c>
      <c r="F632" s="239">
        <f t="shared" si="50"/>
        <v>0.13873890363320215</v>
      </c>
      <c r="G632" s="239">
        <f t="shared" si="50"/>
        <v>0.13156999489709134</v>
      </c>
      <c r="H632" s="239">
        <f t="shared" si="50"/>
        <v>0.12964164099237879</v>
      </c>
      <c r="I632" s="239">
        <f t="shared" si="50"/>
        <v>0.12610878661087865</v>
      </c>
      <c r="J632" s="239">
        <f t="shared" si="50"/>
        <v>0.13709296838131194</v>
      </c>
      <c r="K632" s="239">
        <f t="shared" si="50"/>
        <v>0.13846608541451161</v>
      </c>
      <c r="L632" s="239">
        <f t="shared" si="50"/>
        <v>0.13309935205183585</v>
      </c>
      <c r="M632" s="239">
        <f t="shared" si="50"/>
        <v>0.11364040547750311</v>
      </c>
      <c r="N632" s="239">
        <f t="shared" si="50"/>
        <v>0.11444269098135484</v>
      </c>
      <c r="O632" s="32"/>
      <c r="P632" s="32">
        <f>AVERAGE(E632:N632)</f>
        <v>0.13050438190942737</v>
      </c>
      <c r="Q632" s="32"/>
      <c r="R632" s="32"/>
      <c r="S632" s="32"/>
      <c r="T632" s="32"/>
      <c r="U632" s="32"/>
      <c r="V632" s="32">
        <f>MEDIAN(E632:N632)</f>
        <v>0.13233467347446359</v>
      </c>
    </row>
    <row r="633" spans="4:22">
      <c r="E633" s="111"/>
      <c r="F633" s="111"/>
      <c r="G633" s="111"/>
      <c r="H633" s="111"/>
      <c r="I633" s="111"/>
      <c r="J633" s="111"/>
      <c r="K633" s="111"/>
      <c r="L633" s="111"/>
      <c r="M633" s="111"/>
      <c r="N633" s="111"/>
      <c r="O633" s="14"/>
      <c r="P633" s="14"/>
      <c r="Q633" s="14"/>
      <c r="R633" s="14"/>
      <c r="S633" s="14"/>
      <c r="T633" s="14"/>
      <c r="U633" s="14"/>
      <c r="V633" s="14"/>
    </row>
    <row r="634" spans="4:22">
      <c r="D634" s="229" t="s">
        <v>211</v>
      </c>
      <c r="E634" s="237">
        <f t="shared" ref="E634:N634" si="51">E607/E$616</f>
        <v>0.35906542056074764</v>
      </c>
      <c r="F634" s="237">
        <f t="shared" si="51"/>
        <v>0.37759677862176261</v>
      </c>
      <c r="G634" s="237">
        <f t="shared" si="51"/>
        <v>0.35703350910018711</v>
      </c>
      <c r="H634" s="237">
        <f t="shared" si="51"/>
        <v>0.34481919896221824</v>
      </c>
      <c r="I634" s="237">
        <f t="shared" si="51"/>
        <v>0.32719665271966525</v>
      </c>
      <c r="J634" s="237">
        <f t="shared" si="51"/>
        <v>0.30352367468931885</v>
      </c>
      <c r="K634" s="237">
        <f t="shared" si="51"/>
        <v>0.32296438599083788</v>
      </c>
      <c r="L634" s="237">
        <f t="shared" si="51"/>
        <v>0.34307505399568033</v>
      </c>
      <c r="M634" s="237">
        <f t="shared" si="51"/>
        <v>0.32977651313059458</v>
      </c>
      <c r="N634" s="237">
        <f t="shared" si="51"/>
        <v>0.35338126132444914</v>
      </c>
      <c r="O634" s="14"/>
      <c r="P634" s="226">
        <f t="shared" ref="P634:P643" si="52">AVERAGE(E634:N634)</f>
        <v>0.34184324490954615</v>
      </c>
      <c r="Q634" s="226"/>
      <c r="R634" s="226"/>
      <c r="S634" s="226"/>
      <c r="T634" s="226"/>
      <c r="U634" s="226"/>
      <c r="V634" s="226">
        <f t="shared" ref="V634:V643" si="53">MEDIAN(E634:N634)</f>
        <v>0.34394712647894932</v>
      </c>
    </row>
    <row r="635" spans="4:22">
      <c r="D635" s="234" t="s">
        <v>491</v>
      </c>
      <c r="E635" s="228">
        <f t="shared" ref="E635:N635" si="54">E608/E$616</f>
        <v>2.2056074766355141E-2</v>
      </c>
      <c r="F635" s="228">
        <f t="shared" si="54"/>
        <v>1.7662670449345656E-2</v>
      </c>
      <c r="G635" s="228">
        <f t="shared" si="54"/>
        <v>2.6279979588365369E-2</v>
      </c>
      <c r="H635" s="228">
        <f t="shared" si="54"/>
        <v>2.2782552294470571E-2</v>
      </c>
      <c r="I635" s="228">
        <f t="shared" si="54"/>
        <v>2.5020920502092051E-2</v>
      </c>
      <c r="J635" s="228">
        <f t="shared" si="54"/>
        <v>2.3045461695768443E-2</v>
      </c>
      <c r="K635" s="228">
        <f t="shared" si="54"/>
        <v>1.913698832569824E-2</v>
      </c>
      <c r="L635" s="228">
        <f t="shared" si="54"/>
        <v>1.376889848812095E-2</v>
      </c>
      <c r="M635" s="228">
        <f t="shared" si="54"/>
        <v>1.2389590372873318E-2</v>
      </c>
      <c r="N635" s="228">
        <f t="shared" si="54"/>
        <v>1.1865100239639955E-2</v>
      </c>
      <c r="O635" s="14"/>
      <c r="P635" s="14">
        <f t="shared" si="52"/>
        <v>1.9400823672272971E-2</v>
      </c>
      <c r="Q635" s="14"/>
      <c r="R635" s="14"/>
      <c r="S635" s="14"/>
      <c r="T635" s="14"/>
      <c r="U635" s="14"/>
      <c r="V635" s="14">
        <f t="shared" si="53"/>
        <v>2.059653154602669E-2</v>
      </c>
    </row>
    <row r="636" spans="4:22">
      <c r="D636" s="234" t="s">
        <v>492</v>
      </c>
      <c r="E636" s="228">
        <f t="shared" ref="E636:N636" si="55">E609/E$616</f>
        <v>1.2149532710280374E-2</v>
      </c>
      <c r="F636" s="228">
        <f t="shared" si="55"/>
        <v>1.1988651963027364E-2</v>
      </c>
      <c r="G636" s="228">
        <f t="shared" si="55"/>
        <v>1.0205817315870046E-2</v>
      </c>
      <c r="H636" s="228">
        <f t="shared" si="55"/>
        <v>1.1593967893627372E-2</v>
      </c>
      <c r="I636" s="228">
        <f t="shared" si="55"/>
        <v>1.3054393305439331E-2</v>
      </c>
      <c r="J636" s="228">
        <f t="shared" si="55"/>
        <v>1.282051282051282E-2</v>
      </c>
      <c r="K636" s="228">
        <f t="shared" si="55"/>
        <v>1.5442589035022906E-2</v>
      </c>
      <c r="L636" s="228">
        <f t="shared" si="55"/>
        <v>1.5051295896328294E-2</v>
      </c>
      <c r="M636" s="228">
        <f t="shared" si="55"/>
        <v>1.3456636433694944E-2</v>
      </c>
      <c r="N636" s="228">
        <f t="shared" si="55"/>
        <v>1.4261499795429306E-2</v>
      </c>
      <c r="O636" s="14"/>
      <c r="P636" s="14">
        <f t="shared" si="52"/>
        <v>1.3002489716923277E-2</v>
      </c>
      <c r="Q636" s="14"/>
      <c r="R636" s="14"/>
      <c r="S636" s="14"/>
      <c r="T636" s="14"/>
      <c r="U636" s="14"/>
      <c r="V636" s="14">
        <f t="shared" si="53"/>
        <v>1.2937453062976076E-2</v>
      </c>
    </row>
    <row r="637" spans="4:22">
      <c r="D637" s="234" t="s">
        <v>483</v>
      </c>
      <c r="E637" s="228">
        <f t="shared" ref="E637:N637" si="56">E610/E$616</f>
        <v>2.8878504672897196E-2</v>
      </c>
      <c r="F637" s="228">
        <f t="shared" si="56"/>
        <v>2.699734602361124E-2</v>
      </c>
      <c r="G637" s="228">
        <f t="shared" si="56"/>
        <v>2.5089300901513862E-2</v>
      </c>
      <c r="H637" s="228">
        <f t="shared" si="56"/>
        <v>2.4971623155505107E-2</v>
      </c>
      <c r="I637" s="228">
        <f t="shared" si="56"/>
        <v>9.2050209205020925E-3</v>
      </c>
      <c r="J637" s="228">
        <f t="shared" si="56"/>
        <v>2.6663520528551202E-2</v>
      </c>
      <c r="K637" s="228">
        <f t="shared" si="56"/>
        <v>2.3496379488695138E-2</v>
      </c>
      <c r="L637" s="228">
        <f t="shared" si="56"/>
        <v>2.591792656587473E-2</v>
      </c>
      <c r="M637" s="228">
        <f t="shared" si="56"/>
        <v>2.6439030173691386E-2</v>
      </c>
      <c r="N637" s="228">
        <f t="shared" si="56"/>
        <v>2.4957624642001287E-2</v>
      </c>
      <c r="O637" s="14"/>
      <c r="P637" s="14">
        <f t="shared" si="52"/>
        <v>2.4261627707284326E-2</v>
      </c>
      <c r="Q637" s="14"/>
      <c r="R637" s="14"/>
      <c r="S637" s="14"/>
      <c r="T637" s="14"/>
      <c r="U637" s="14"/>
      <c r="V637" s="14">
        <f t="shared" si="53"/>
        <v>2.5503613733694294E-2</v>
      </c>
    </row>
    <row r="638" spans="4:22">
      <c r="D638" s="231" t="s">
        <v>484</v>
      </c>
      <c r="E638" s="228">
        <f t="shared" ref="E638:N638" si="57">E611/E$616</f>
        <v>3.570093457943925E-2</v>
      </c>
      <c r="F638" s="228">
        <f t="shared" si="57"/>
        <v>3.5050791617095269E-2</v>
      </c>
      <c r="G638" s="228">
        <f t="shared" si="57"/>
        <v>3.2403469977887393E-2</v>
      </c>
      <c r="H638" s="228">
        <f t="shared" si="57"/>
        <v>2.8457921193449004E-2</v>
      </c>
      <c r="I638" s="228">
        <f t="shared" si="57"/>
        <v>9.9581589958159002E-3</v>
      </c>
      <c r="J638" s="228">
        <f t="shared" si="57"/>
        <v>8.1799591002044997E-3</v>
      </c>
      <c r="K638" s="228">
        <f t="shared" si="57"/>
        <v>6.0588148367075514E-3</v>
      </c>
      <c r="L638" s="228">
        <f t="shared" si="57"/>
        <v>5.3320734341252701E-3</v>
      </c>
      <c r="M638" s="228">
        <f t="shared" si="57"/>
        <v>4.8017072736973145E-3</v>
      </c>
      <c r="N638" s="228">
        <f t="shared" si="57"/>
        <v>3.0977847916301361E-3</v>
      </c>
      <c r="O638" s="205"/>
      <c r="P638" s="205">
        <f t="shared" si="52"/>
        <v>1.6904161580005159E-2</v>
      </c>
      <c r="Q638" s="205"/>
      <c r="R638" s="205"/>
      <c r="S638" s="205"/>
      <c r="T638" s="205"/>
      <c r="U638" s="205"/>
      <c r="V638" s="205">
        <f t="shared" si="53"/>
        <v>9.0690590480102008E-3</v>
      </c>
    </row>
    <row r="639" spans="4:22">
      <c r="D639" s="231" t="s">
        <v>485</v>
      </c>
      <c r="E639" s="228">
        <f t="shared" ref="E639:N639" si="58">E612/E$616</f>
        <v>0</v>
      </c>
      <c r="F639" s="228">
        <f t="shared" si="58"/>
        <v>3.459320948110186E-2</v>
      </c>
      <c r="G639" s="228">
        <f t="shared" si="58"/>
        <v>3.0447354992345636E-2</v>
      </c>
      <c r="H639" s="228">
        <f t="shared" si="58"/>
        <v>3.1052375547267714E-2</v>
      </c>
      <c r="I639" s="228">
        <f t="shared" si="58"/>
        <v>3.2384937238493727E-2</v>
      </c>
      <c r="J639" s="228">
        <f t="shared" si="58"/>
        <v>3.5394053798961773E-2</v>
      </c>
      <c r="K639" s="228">
        <f t="shared" si="58"/>
        <v>3.6943992906753362E-2</v>
      </c>
      <c r="L639" s="228">
        <f t="shared" si="58"/>
        <v>3.8809395248380132E-2</v>
      </c>
      <c r="M639" s="228">
        <f t="shared" si="58"/>
        <v>4.6475783982453021E-2</v>
      </c>
      <c r="N639" s="228">
        <f t="shared" si="58"/>
        <v>4.9623005435735577E-2</v>
      </c>
      <c r="O639" s="205"/>
      <c r="P639" s="205">
        <f t="shared" si="52"/>
        <v>3.3572410863149278E-2</v>
      </c>
      <c r="Q639" s="205"/>
      <c r="R639" s="205"/>
      <c r="S639" s="205"/>
      <c r="T639" s="205"/>
      <c r="U639" s="205"/>
      <c r="V639" s="205">
        <f t="shared" si="53"/>
        <v>3.4993631640031816E-2</v>
      </c>
    </row>
    <row r="640" spans="4:22">
      <c r="D640" s="231" t="s">
        <v>486</v>
      </c>
      <c r="E640" s="228">
        <f t="shared" ref="E640:N640" si="59">E613/E$616</f>
        <v>1.6915887850467291E-2</v>
      </c>
      <c r="F640" s="228">
        <f t="shared" si="59"/>
        <v>1.6381440468564108E-2</v>
      </c>
      <c r="G640" s="228">
        <f t="shared" si="59"/>
        <v>1.3777853376424561E-2</v>
      </c>
      <c r="H640" s="228">
        <f t="shared" si="59"/>
        <v>1.3458731960434572E-2</v>
      </c>
      <c r="I640" s="228">
        <f t="shared" si="59"/>
        <v>1.3807531380753139E-2</v>
      </c>
      <c r="J640" s="228">
        <f t="shared" si="59"/>
        <v>7.3147711184521E-3</v>
      </c>
      <c r="K640" s="228">
        <f t="shared" si="59"/>
        <v>8.275454411112753E-3</v>
      </c>
      <c r="L640" s="228">
        <f t="shared" si="59"/>
        <v>1.6806155507559394E-2</v>
      </c>
      <c r="M640" s="228">
        <f t="shared" si="59"/>
        <v>1.6717054952872134E-2</v>
      </c>
      <c r="N640" s="228">
        <f t="shared" si="59"/>
        <v>1.3910807177508913E-2</v>
      </c>
      <c r="O640" s="205"/>
      <c r="P640" s="205">
        <f t="shared" si="52"/>
        <v>1.3736568820414897E-2</v>
      </c>
      <c r="Q640" s="205"/>
      <c r="R640" s="205"/>
      <c r="S640" s="205"/>
      <c r="T640" s="205"/>
      <c r="U640" s="205"/>
      <c r="V640" s="205">
        <f t="shared" si="53"/>
        <v>1.3859169279131025E-2</v>
      </c>
    </row>
    <row r="641" spans="3:22">
      <c r="D641" s="231" t="s">
        <v>487</v>
      </c>
      <c r="E641" s="228">
        <f t="shared" ref="E641:N641" si="60">E614/E$616</f>
        <v>3.7383177570093456E-4</v>
      </c>
      <c r="F641" s="228">
        <f t="shared" si="60"/>
        <v>3.6606570879472864E-4</v>
      </c>
      <c r="G641" s="228">
        <f t="shared" si="60"/>
        <v>3.4019391052900151E-4</v>
      </c>
      <c r="H641" s="228">
        <f t="shared" si="60"/>
        <v>3.2430679422733907E-4</v>
      </c>
      <c r="I641" s="228">
        <f t="shared" si="60"/>
        <v>3.3472803347280337E-4</v>
      </c>
      <c r="J641" s="228">
        <f t="shared" si="60"/>
        <v>3.9326726443290861E-4</v>
      </c>
      <c r="K641" s="228">
        <f t="shared" si="60"/>
        <v>3.6943992906753362E-4</v>
      </c>
      <c r="L641" s="228">
        <f t="shared" si="60"/>
        <v>3.3747300215982719E-4</v>
      </c>
      <c r="M641" s="228">
        <f t="shared" si="60"/>
        <v>3.4678996976702826E-2</v>
      </c>
      <c r="N641" s="228">
        <f t="shared" si="60"/>
        <v>3.7699456426442221E-2</v>
      </c>
      <c r="O641" s="205"/>
      <c r="P641" s="205">
        <f t="shared" si="52"/>
        <v>7.5217759821530113E-3</v>
      </c>
      <c r="Q641" s="205"/>
      <c r="R641" s="205"/>
      <c r="S641" s="205"/>
      <c r="T641" s="205"/>
      <c r="U641" s="205"/>
      <c r="V641" s="205">
        <f t="shared" si="53"/>
        <v>3.6775281893113113E-4</v>
      </c>
    </row>
    <row r="642" spans="3:22">
      <c r="D642" s="238" t="s">
        <v>493</v>
      </c>
      <c r="E642" s="239">
        <f t="shared" ref="E642:N642" si="61">E615/E$616</f>
        <v>0.24299065420560748</v>
      </c>
      <c r="F642" s="239">
        <f t="shared" si="61"/>
        <v>0.23455660291022237</v>
      </c>
      <c r="G642" s="239">
        <f t="shared" si="61"/>
        <v>0.21848953903725124</v>
      </c>
      <c r="H642" s="239">
        <f t="shared" si="61"/>
        <v>0.21217772012323657</v>
      </c>
      <c r="I642" s="239">
        <f t="shared" si="61"/>
        <v>0.22343096234309623</v>
      </c>
      <c r="J642" s="239">
        <f t="shared" si="61"/>
        <v>0.18971212836243512</v>
      </c>
      <c r="K642" s="239">
        <f t="shared" si="61"/>
        <v>0.21324072705778041</v>
      </c>
      <c r="L642" s="239">
        <f t="shared" si="61"/>
        <v>0.22705183585313174</v>
      </c>
      <c r="M642" s="239">
        <f t="shared" si="61"/>
        <v>0.17481771296460963</v>
      </c>
      <c r="N642" s="239">
        <f t="shared" si="61"/>
        <v>0.19796598281606173</v>
      </c>
      <c r="O642" s="32"/>
      <c r="P642" s="32">
        <f t="shared" si="52"/>
        <v>0.21344338656734324</v>
      </c>
      <c r="Q642" s="32"/>
      <c r="R642" s="32"/>
      <c r="S642" s="32"/>
      <c r="T642" s="32"/>
      <c r="U642" s="32"/>
      <c r="V642" s="32">
        <f t="shared" si="53"/>
        <v>0.21586513304751581</v>
      </c>
    </row>
    <row r="643" spans="3:22">
      <c r="D643" s="221" t="s">
        <v>1</v>
      </c>
      <c r="E643" s="227">
        <f t="shared" ref="E643:N643" si="62">SUM(E634+E630+E624)</f>
        <v>0.99999999999999989</v>
      </c>
      <c r="F643" s="227">
        <f t="shared" si="62"/>
        <v>1</v>
      </c>
      <c r="G643" s="227">
        <f t="shared" si="62"/>
        <v>1</v>
      </c>
      <c r="H643" s="227">
        <f t="shared" si="62"/>
        <v>1</v>
      </c>
      <c r="I643" s="227">
        <f t="shared" si="62"/>
        <v>1</v>
      </c>
      <c r="J643" s="227">
        <f t="shared" si="62"/>
        <v>1</v>
      </c>
      <c r="K643" s="227">
        <f t="shared" si="62"/>
        <v>1</v>
      </c>
      <c r="L643" s="227">
        <f t="shared" si="62"/>
        <v>1</v>
      </c>
      <c r="M643" s="227">
        <f t="shared" si="62"/>
        <v>1</v>
      </c>
      <c r="N643" s="227">
        <f t="shared" si="62"/>
        <v>1</v>
      </c>
      <c r="O643" s="14"/>
      <c r="P643" s="226">
        <f t="shared" si="52"/>
        <v>1</v>
      </c>
      <c r="Q643" s="226"/>
      <c r="R643" s="226"/>
      <c r="S643" s="226"/>
      <c r="T643" s="226"/>
      <c r="U643" s="226"/>
      <c r="V643" s="226">
        <f t="shared" si="53"/>
        <v>1</v>
      </c>
    </row>
    <row r="645" spans="3:22">
      <c r="C645" t="s">
        <v>27</v>
      </c>
      <c r="D645" s="240" t="s">
        <v>495</v>
      </c>
      <c r="E645" s="241"/>
      <c r="F645" s="241"/>
      <c r="G645" s="241"/>
      <c r="H645" s="241"/>
      <c r="I645" s="241"/>
      <c r="J645" s="241"/>
      <c r="K645" s="241"/>
      <c r="L645" s="241"/>
      <c r="M645" s="241"/>
      <c r="N645" s="241"/>
    </row>
    <row r="647" spans="3:22">
      <c r="D647" s="219" t="s">
        <v>496</v>
      </c>
      <c r="E647" s="220">
        <v>42430</v>
      </c>
      <c r="F647" s="220">
        <v>42795</v>
      </c>
      <c r="G647" s="220">
        <v>43160</v>
      </c>
      <c r="H647" s="220">
        <v>43525</v>
      </c>
      <c r="I647" s="220">
        <v>43891</v>
      </c>
      <c r="J647" s="220">
        <v>44256</v>
      </c>
      <c r="K647" s="220">
        <v>44621</v>
      </c>
      <c r="L647" s="220">
        <v>44986</v>
      </c>
      <c r="M647" s="220">
        <v>45352</v>
      </c>
      <c r="N647" s="220">
        <v>45717</v>
      </c>
      <c r="P647" s="157" t="s">
        <v>444</v>
      </c>
      <c r="Q647" s="157"/>
      <c r="R647" s="157"/>
      <c r="S647" s="157"/>
      <c r="T647" s="157"/>
      <c r="U647" s="157"/>
      <c r="V647" s="157" t="s">
        <v>445</v>
      </c>
    </row>
    <row r="649" spans="3:22">
      <c r="D649" s="231" t="s">
        <v>497</v>
      </c>
      <c r="E649" s="223">
        <f>E597</f>
        <v>1680</v>
      </c>
      <c r="F649" s="223">
        <f t="shared" ref="F649:N649" si="63">F597</f>
        <v>1743</v>
      </c>
      <c r="G649" s="223">
        <f t="shared" si="63"/>
        <v>1860</v>
      </c>
      <c r="H649" s="223">
        <f t="shared" si="63"/>
        <v>1875</v>
      </c>
      <c r="I649" s="223">
        <f t="shared" si="63"/>
        <v>1820</v>
      </c>
      <c r="J649" s="223">
        <f t="shared" si="63"/>
        <v>2358</v>
      </c>
      <c r="K649" s="223">
        <f t="shared" si="63"/>
        <v>2545</v>
      </c>
      <c r="L649" s="223">
        <f t="shared" si="63"/>
        <v>2854</v>
      </c>
      <c r="M649" s="223">
        <f t="shared" si="63"/>
        <v>3009</v>
      </c>
      <c r="N649" s="223">
        <f t="shared" si="63"/>
        <v>3077</v>
      </c>
      <c r="P649" s="223">
        <f>AVERAGE(E649:N649)</f>
        <v>2282.1</v>
      </c>
      <c r="Q649" s="223"/>
      <c r="R649" s="223"/>
      <c r="S649" s="223"/>
      <c r="T649" s="223"/>
      <c r="U649" s="223"/>
      <c r="V649" s="223">
        <f>MEDIAN(E649:N649)</f>
        <v>2116.5</v>
      </c>
    </row>
    <row r="650" spans="3:22">
      <c r="D650" t="s">
        <v>499</v>
      </c>
      <c r="E650" s="51">
        <f>E649/E595</f>
        <v>5.2196607220530662E-2</v>
      </c>
      <c r="F650" s="51">
        <f t="shared" ref="F650:N650" si="64">F649/F595</f>
        <v>5.2560159218382488E-2</v>
      </c>
      <c r="G650" s="51">
        <f t="shared" si="64"/>
        <v>5.2328034885356589E-2</v>
      </c>
      <c r="H650" s="51">
        <f t="shared" si="64"/>
        <v>4.7697786822691428E-2</v>
      </c>
      <c r="I650" s="51">
        <f t="shared" si="64"/>
        <v>4.574818389764472E-2</v>
      </c>
      <c r="J650" s="51">
        <f t="shared" si="64"/>
        <v>5.0140341923960191E-2</v>
      </c>
      <c r="K650" s="51">
        <f t="shared" si="64"/>
        <v>4.8526103039316627E-2</v>
      </c>
      <c r="L650" s="51">
        <f t="shared" si="64"/>
        <v>4.7111257840871577E-2</v>
      </c>
      <c r="M650" s="51">
        <f t="shared" si="64"/>
        <v>4.8613803799922452E-2</v>
      </c>
      <c r="N650" s="51">
        <f t="shared" si="64"/>
        <v>4.8747643415028276E-2</v>
      </c>
      <c r="P650" s="51">
        <f t="shared" ref="P650:P656" si="65">AVERAGE(E650:N650)</f>
        <v>4.9366992206370502E-2</v>
      </c>
      <c r="Q650" s="51"/>
      <c r="R650" s="51"/>
      <c r="S650" s="51"/>
      <c r="T650" s="51"/>
      <c r="U650" s="51"/>
      <c r="V650" s="51">
        <f t="shared" ref="V650:V656" si="66">MEDIAN(E650:N650)</f>
        <v>4.8680723607475364E-2</v>
      </c>
    </row>
    <row r="651" spans="3:22">
      <c r="P651" s="223"/>
      <c r="Q651" s="223"/>
      <c r="R651" s="223"/>
      <c r="S651" s="223"/>
      <c r="T651" s="223"/>
      <c r="U651" s="223"/>
      <c r="V651" s="223"/>
    </row>
    <row r="652" spans="3:22">
      <c r="D652" t="s">
        <v>500</v>
      </c>
      <c r="E652" s="223">
        <f>E603</f>
        <v>5178</v>
      </c>
      <c r="F652" s="223">
        <f t="shared" ref="F652:N652" si="67">F603</f>
        <v>5058</v>
      </c>
      <c r="G652" s="223">
        <f t="shared" si="67"/>
        <v>5700</v>
      </c>
      <c r="H652" s="223">
        <f t="shared" si="67"/>
        <v>6206</v>
      </c>
      <c r="I652" s="223">
        <f t="shared" si="67"/>
        <v>6220</v>
      </c>
      <c r="J652" s="223">
        <f t="shared" si="67"/>
        <v>6497</v>
      </c>
      <c r="K652" s="223">
        <f t="shared" si="67"/>
        <v>6618</v>
      </c>
      <c r="L652" s="223">
        <f t="shared" si="67"/>
        <v>6879</v>
      </c>
      <c r="M652" s="223">
        <f t="shared" si="67"/>
        <v>8297</v>
      </c>
      <c r="N652" s="223">
        <f t="shared" si="67"/>
        <v>7986</v>
      </c>
      <c r="P652" s="223">
        <f t="shared" si="65"/>
        <v>6463.9</v>
      </c>
      <c r="Q652" s="223"/>
      <c r="R652" s="223"/>
      <c r="S652" s="223"/>
      <c r="T652" s="223"/>
      <c r="U652" s="223"/>
      <c r="V652" s="223">
        <f t="shared" si="66"/>
        <v>6358.5</v>
      </c>
    </row>
    <row r="653" spans="3:22">
      <c r="D653" t="s">
        <v>501</v>
      </c>
      <c r="E653" s="51">
        <f>E652/E595</f>
        <v>0.16087740011184987</v>
      </c>
      <c r="F653" s="51">
        <f t="shared" ref="F653:N653" si="68">F652/F595</f>
        <v>0.15252397322236294</v>
      </c>
      <c r="G653" s="51">
        <f t="shared" si="68"/>
        <v>0.16036010690673794</v>
      </c>
      <c r="H653" s="51">
        <f t="shared" si="68"/>
        <v>0.15787331467819893</v>
      </c>
      <c r="I653" s="51">
        <f t="shared" si="68"/>
        <v>0.15634818892491767</v>
      </c>
      <c r="J653" s="51">
        <f t="shared" si="68"/>
        <v>0.1381517393893</v>
      </c>
      <c r="K653" s="51">
        <f t="shared" si="68"/>
        <v>0.12618693513327994</v>
      </c>
      <c r="L653" s="51">
        <f t="shared" si="68"/>
        <v>0.11355232750082535</v>
      </c>
      <c r="M653" s="51">
        <f t="shared" si="68"/>
        <v>0.13404743440610056</v>
      </c>
      <c r="N653" s="51">
        <f t="shared" si="68"/>
        <v>0.12651890812883193</v>
      </c>
      <c r="P653" s="51">
        <f t="shared" si="65"/>
        <v>0.14264403284024052</v>
      </c>
      <c r="Q653" s="51"/>
      <c r="R653" s="51"/>
      <c r="S653" s="51"/>
      <c r="T653" s="51"/>
      <c r="U653" s="51"/>
      <c r="V653" s="51">
        <f t="shared" si="66"/>
        <v>0.14533785630583146</v>
      </c>
    </row>
    <row r="654" spans="3:22">
      <c r="P654" s="223"/>
      <c r="Q654" s="223"/>
      <c r="R654" s="223"/>
      <c r="S654" s="223"/>
      <c r="T654" s="223"/>
      <c r="U654" s="223"/>
      <c r="V654" s="223"/>
    </row>
    <row r="655" spans="3:22">
      <c r="D655" t="s">
        <v>211</v>
      </c>
      <c r="E655" s="223">
        <f>E607</f>
        <v>3842</v>
      </c>
      <c r="F655" s="223">
        <f t="shared" ref="F655:N655" si="69">F607</f>
        <v>4126</v>
      </c>
      <c r="G655" s="223">
        <f t="shared" si="69"/>
        <v>4198</v>
      </c>
      <c r="H655" s="223">
        <f t="shared" si="69"/>
        <v>4253</v>
      </c>
      <c r="I655" s="223">
        <f t="shared" si="69"/>
        <v>3910</v>
      </c>
      <c r="J655" s="223">
        <f t="shared" si="69"/>
        <v>3859</v>
      </c>
      <c r="K655" s="223">
        <f t="shared" si="69"/>
        <v>4371</v>
      </c>
      <c r="L655" s="223">
        <f t="shared" si="69"/>
        <v>5083</v>
      </c>
      <c r="M655" s="223">
        <f t="shared" si="69"/>
        <v>5563</v>
      </c>
      <c r="N655" s="223">
        <f t="shared" si="69"/>
        <v>6046</v>
      </c>
      <c r="P655" s="223">
        <f t="shared" si="65"/>
        <v>4525.1000000000004</v>
      </c>
      <c r="Q655" s="223"/>
      <c r="R655" s="223"/>
      <c r="S655" s="223"/>
      <c r="T655" s="223"/>
      <c r="U655" s="223"/>
      <c r="V655" s="223">
        <f t="shared" si="66"/>
        <v>4225.5</v>
      </c>
    </row>
    <row r="656" spans="3:22">
      <c r="D656" t="s">
        <v>502</v>
      </c>
      <c r="E656" s="51">
        <f>E655/E595</f>
        <v>0.11936866960790406</v>
      </c>
      <c r="F656" s="51">
        <f t="shared" ref="F656:N656" si="70">F655/F595</f>
        <v>0.1244195163138532</v>
      </c>
      <c r="G656" s="51">
        <f t="shared" si="70"/>
        <v>0.11810381206920804</v>
      </c>
      <c r="H656" s="51">
        <f t="shared" si="70"/>
        <v>0.10819129992368354</v>
      </c>
      <c r="I656" s="51">
        <f t="shared" si="70"/>
        <v>9.8283186285599372E-2</v>
      </c>
      <c r="J656" s="51">
        <f t="shared" si="70"/>
        <v>8.205749766096794E-2</v>
      </c>
      <c r="K656" s="51">
        <f t="shared" si="70"/>
        <v>8.3342866948861685E-2</v>
      </c>
      <c r="L656" s="51">
        <f t="shared" si="70"/>
        <v>8.390557939914163E-2</v>
      </c>
      <c r="M656" s="51">
        <f t="shared" si="70"/>
        <v>8.9876567144888203E-2</v>
      </c>
      <c r="N656" s="51">
        <f t="shared" si="70"/>
        <v>9.5784287321176789E-2</v>
      </c>
      <c r="P656" s="51">
        <f t="shared" si="65"/>
        <v>0.10033332826752846</v>
      </c>
      <c r="Q656" s="51"/>
      <c r="R656" s="51"/>
      <c r="S656" s="51"/>
      <c r="T656" s="51"/>
      <c r="U656" s="51"/>
      <c r="V656" s="51">
        <f t="shared" si="66"/>
        <v>9.7033736803388088E-2</v>
      </c>
    </row>
    <row r="670" spans="1:23">
      <c r="A670" t="s">
        <v>27</v>
      </c>
      <c r="D670" s="157" t="s">
        <v>97</v>
      </c>
      <c r="E670" s="21"/>
      <c r="F670" s="21"/>
      <c r="G670" s="21"/>
      <c r="H670" s="21"/>
      <c r="I670" s="21"/>
      <c r="J670" s="21"/>
      <c r="K670" s="21"/>
    </row>
    <row r="672" spans="1:23" ht="15.6">
      <c r="C672" t="s">
        <v>27</v>
      </c>
      <c r="D672" s="157" t="s">
        <v>308</v>
      </c>
      <c r="E672" s="138">
        <v>2016</v>
      </c>
      <c r="F672" s="138">
        <f t="shared" ref="F672:N672" si="71">E672+1</f>
        <v>2017</v>
      </c>
      <c r="G672" s="138">
        <f t="shared" si="71"/>
        <v>2018</v>
      </c>
      <c r="H672" s="138">
        <f t="shared" si="71"/>
        <v>2019</v>
      </c>
      <c r="I672" s="138">
        <f t="shared" si="71"/>
        <v>2020</v>
      </c>
      <c r="J672" s="138">
        <f t="shared" si="71"/>
        <v>2021</v>
      </c>
      <c r="K672" s="138">
        <f t="shared" si="71"/>
        <v>2022</v>
      </c>
      <c r="L672" s="138">
        <f t="shared" si="71"/>
        <v>2023</v>
      </c>
      <c r="M672" s="138">
        <f t="shared" si="71"/>
        <v>2024</v>
      </c>
      <c r="N672" s="138">
        <f t="shared" si="71"/>
        <v>2025</v>
      </c>
      <c r="P672" s="138" t="s">
        <v>60</v>
      </c>
      <c r="Q672" s="138"/>
      <c r="R672" s="138"/>
      <c r="S672" s="138"/>
      <c r="T672" s="138"/>
      <c r="U672" s="138"/>
      <c r="V672" s="138" t="s">
        <v>59</v>
      </c>
      <c r="W672" s="138" t="s">
        <v>535</v>
      </c>
    </row>
    <row r="674" spans="3:23">
      <c r="D674" s="234" t="s">
        <v>181</v>
      </c>
      <c r="E674" s="235">
        <v>2726</v>
      </c>
      <c r="F674" s="235">
        <v>2541</v>
      </c>
      <c r="G674" s="235">
        <v>2513</v>
      </c>
      <c r="H674" s="235">
        <v>2574</v>
      </c>
      <c r="I674" s="235">
        <v>2767</v>
      </c>
      <c r="J674" s="235">
        <v>3579</v>
      </c>
      <c r="K674" s="235">
        <v>4096</v>
      </c>
      <c r="L674" s="235">
        <v>4251</v>
      </c>
      <c r="M674" s="235">
        <v>4022</v>
      </c>
      <c r="N674" s="235">
        <v>4415</v>
      </c>
      <c r="P674" s="44">
        <f>_xlfn.RRI(3,K674,N674)</f>
        <v>2.5314076863095725E-2</v>
      </c>
      <c r="Q674" s="44"/>
      <c r="R674" s="44"/>
      <c r="S674" s="44"/>
      <c r="T674" s="44"/>
      <c r="U674" s="44"/>
      <c r="V674" s="44">
        <f>_xlfn.RRI(5,I674,N674)</f>
        <v>9.7954415898302338E-2</v>
      </c>
      <c r="W674" s="44">
        <f>_xlfn.RRI(7,G674,N674)</f>
        <v>8.383358073871916E-2</v>
      </c>
    </row>
    <row r="675" spans="3:23">
      <c r="D675" s="231" t="s">
        <v>524</v>
      </c>
      <c r="E675" s="232">
        <v>2560</v>
      </c>
      <c r="F675" s="232">
        <v>3788</v>
      </c>
      <c r="G675" s="232">
        <v>2871</v>
      </c>
      <c r="H675" s="232">
        <v>2714</v>
      </c>
      <c r="I675" s="232">
        <v>1253</v>
      </c>
      <c r="J675" s="232">
        <v>2707</v>
      </c>
      <c r="K675" s="232">
        <v>3519</v>
      </c>
      <c r="L675" s="232">
        <v>2811</v>
      </c>
      <c r="M675" s="232">
        <v>4558</v>
      </c>
      <c r="N675" s="232">
        <v>3751</v>
      </c>
      <c r="P675" s="44">
        <f t="shared" ref="P675:P681" si="72">_xlfn.RRI(3,K675,N675)</f>
        <v>2.1509945009329456E-2</v>
      </c>
      <c r="Q675" s="44"/>
      <c r="R675" s="44"/>
      <c r="S675" s="44"/>
      <c r="T675" s="44"/>
      <c r="U675" s="44"/>
      <c r="V675" s="44">
        <f t="shared" ref="V675:V681" si="73">_xlfn.RRI(5,I675,N675)</f>
        <v>0.24520024835746557</v>
      </c>
      <c r="W675" s="44">
        <f t="shared" ref="W675:W681" si="74">_xlfn.RRI(7,G675,N675)</f>
        <v>3.8933370345339835E-2</v>
      </c>
    </row>
    <row r="676" spans="3:23">
      <c r="D676" s="231" t="s">
        <v>182</v>
      </c>
      <c r="E676" s="232">
        <v>1264</v>
      </c>
      <c r="F676" s="232">
        <v>1085</v>
      </c>
      <c r="G676" s="232">
        <v>1310</v>
      </c>
      <c r="H676" s="232">
        <v>1816</v>
      </c>
      <c r="I676" s="232">
        <v>1149</v>
      </c>
      <c r="J676" s="232">
        <v>1758</v>
      </c>
      <c r="K676" s="232">
        <v>2236</v>
      </c>
      <c r="L676" s="232">
        <v>3079</v>
      </c>
      <c r="M676" s="232">
        <v>2997</v>
      </c>
      <c r="N676" s="232">
        <v>3819</v>
      </c>
      <c r="P676" s="44">
        <f t="shared" si="72"/>
        <v>0.19534321216904726</v>
      </c>
      <c r="Q676" s="44"/>
      <c r="R676" s="44"/>
      <c r="S676" s="44"/>
      <c r="T676" s="44"/>
      <c r="U676" s="44"/>
      <c r="V676" s="44">
        <f t="shared" si="73"/>
        <v>0.27152799364619562</v>
      </c>
      <c r="W676" s="44">
        <f t="shared" si="74"/>
        <v>0.16515210266002489</v>
      </c>
    </row>
    <row r="677" spans="3:23">
      <c r="D677" s="231" t="s">
        <v>525</v>
      </c>
      <c r="E677" s="232">
        <v>3009</v>
      </c>
      <c r="F677" s="232">
        <v>1828</v>
      </c>
      <c r="G677" s="232">
        <v>3485</v>
      </c>
      <c r="H677" s="232">
        <v>3757</v>
      </c>
      <c r="I677" s="232">
        <v>5113</v>
      </c>
      <c r="J677" s="232">
        <v>4471</v>
      </c>
      <c r="K677" s="232">
        <v>3846</v>
      </c>
      <c r="L677" s="232">
        <v>4678</v>
      </c>
      <c r="M677" s="232">
        <v>7559</v>
      </c>
      <c r="N677" s="232">
        <v>7554</v>
      </c>
      <c r="P677" s="44">
        <f t="shared" si="72"/>
        <v>0.252340907197945</v>
      </c>
      <c r="Q677" s="44"/>
      <c r="R677" s="44"/>
      <c r="S677" s="44"/>
      <c r="T677" s="44"/>
      <c r="U677" s="44"/>
      <c r="V677" s="44">
        <f t="shared" si="73"/>
        <v>8.1185561987654253E-2</v>
      </c>
      <c r="W677" s="44">
        <f t="shared" si="74"/>
        <v>0.11685376865645947</v>
      </c>
    </row>
    <row r="678" spans="3:23">
      <c r="D678" s="231" t="s">
        <v>526</v>
      </c>
      <c r="E678" s="233">
        <v>541</v>
      </c>
      <c r="F678" s="233">
        <v>590</v>
      </c>
      <c r="G678" s="233">
        <v>651</v>
      </c>
      <c r="H678" s="233">
        <v>470</v>
      </c>
      <c r="I678" s="232">
        <v>1219</v>
      </c>
      <c r="J678" s="233">
        <v>647</v>
      </c>
      <c r="K678" s="233">
        <v>910</v>
      </c>
      <c r="L678" s="233">
        <v>844</v>
      </c>
      <c r="M678" s="233">
        <v>821</v>
      </c>
      <c r="N678" s="232">
        <v>1046</v>
      </c>
      <c r="P678" s="44">
        <f t="shared" si="72"/>
        <v>4.7522670474785977E-2</v>
      </c>
      <c r="Q678" s="44"/>
      <c r="R678" s="44"/>
      <c r="S678" s="44"/>
      <c r="T678" s="44"/>
      <c r="U678" s="44"/>
      <c r="V678" s="44">
        <f t="shared" si="73"/>
        <v>-3.0147709554383395E-2</v>
      </c>
      <c r="W678" s="44">
        <f t="shared" si="74"/>
        <v>7.0093011973333397E-2</v>
      </c>
    </row>
    <row r="679" spans="3:23">
      <c r="D679" s="231" t="s">
        <v>17</v>
      </c>
      <c r="E679" s="233">
        <v>223</v>
      </c>
      <c r="F679" s="233">
        <v>293</v>
      </c>
      <c r="G679" s="233">
        <v>814</v>
      </c>
      <c r="H679" s="233">
        <v>579</v>
      </c>
      <c r="I679" s="233">
        <v>802</v>
      </c>
      <c r="J679" s="232">
        <v>1038</v>
      </c>
      <c r="K679" s="233">
        <v>902</v>
      </c>
      <c r="L679" s="232">
        <v>1323</v>
      </c>
      <c r="M679" s="232">
        <v>1355</v>
      </c>
      <c r="N679" s="232">
        <v>1443</v>
      </c>
      <c r="P679" s="44">
        <f t="shared" si="72"/>
        <v>0.1695530643756924</v>
      </c>
      <c r="Q679" s="44"/>
      <c r="R679" s="44"/>
      <c r="S679" s="44"/>
      <c r="T679" s="44"/>
      <c r="U679" s="44"/>
      <c r="V679" s="44">
        <f t="shared" si="73"/>
        <v>0.12465260248955978</v>
      </c>
      <c r="W679" s="44">
        <f t="shared" si="74"/>
        <v>8.5226212571125615E-2</v>
      </c>
    </row>
    <row r="680" spans="3:23">
      <c r="P680" s="91"/>
      <c r="Q680" s="91"/>
      <c r="R680" s="91"/>
      <c r="S680" s="91"/>
      <c r="T680" s="91"/>
      <c r="U680" s="91"/>
      <c r="V680" s="91"/>
      <c r="W680" s="91"/>
    </row>
    <row r="681" spans="3:23" ht="15" thickBot="1">
      <c r="D681" s="262" t="s">
        <v>97</v>
      </c>
      <c r="E681" s="263">
        <f t="shared" ref="E681:N681" si="75">SUM(E674:E679)</f>
        <v>10323</v>
      </c>
      <c r="F681" s="263">
        <f t="shared" si="75"/>
        <v>10125</v>
      </c>
      <c r="G681" s="263">
        <f t="shared" si="75"/>
        <v>11644</v>
      </c>
      <c r="H681" s="263">
        <f t="shared" si="75"/>
        <v>11910</v>
      </c>
      <c r="I681" s="263">
        <f t="shared" si="75"/>
        <v>12303</v>
      </c>
      <c r="J681" s="263">
        <f t="shared" si="75"/>
        <v>14200</v>
      </c>
      <c r="K681" s="263">
        <f t="shared" si="75"/>
        <v>15509</v>
      </c>
      <c r="L681" s="263">
        <f t="shared" si="75"/>
        <v>16986</v>
      </c>
      <c r="M681" s="263">
        <f t="shared" si="75"/>
        <v>21312</v>
      </c>
      <c r="N681" s="263">
        <f t="shared" si="75"/>
        <v>22028</v>
      </c>
      <c r="P681" s="54">
        <f t="shared" si="72"/>
        <v>0.12407966310393559</v>
      </c>
      <c r="Q681" s="54"/>
      <c r="R681" s="54"/>
      <c r="S681" s="54"/>
      <c r="T681" s="54"/>
      <c r="U681" s="54"/>
      <c r="V681" s="54">
        <f t="shared" si="73"/>
        <v>0.12355104695655195</v>
      </c>
      <c r="W681" s="54">
        <f t="shared" si="74"/>
        <v>9.5350894622980409E-2</v>
      </c>
    </row>
    <row r="683" spans="3:23">
      <c r="D683" s="20" t="s">
        <v>12</v>
      </c>
      <c r="E683" s="222">
        <v>14626</v>
      </c>
      <c r="F683" s="222">
        <v>15536</v>
      </c>
      <c r="G683" s="222">
        <v>17560</v>
      </c>
      <c r="H683" s="222">
        <v>18256</v>
      </c>
      <c r="I683" s="222">
        <v>19869</v>
      </c>
      <c r="J683" s="222">
        <v>68740</v>
      </c>
      <c r="K683" s="222">
        <v>70506</v>
      </c>
      <c r="L683" s="222">
        <v>73077</v>
      </c>
      <c r="M683" s="222">
        <v>78489</v>
      </c>
      <c r="N683" s="222">
        <v>79863</v>
      </c>
    </row>
    <row r="685" spans="3:23">
      <c r="D685" s="20" t="s">
        <v>528</v>
      </c>
      <c r="E685" s="226">
        <f>E681/E683</f>
        <v>0.70579789416108296</v>
      </c>
      <c r="F685" s="226">
        <f t="shared" ref="F685:N685" si="76">F681/F683</f>
        <v>0.65171215242018543</v>
      </c>
      <c r="G685" s="226">
        <f t="shared" si="76"/>
        <v>0.66309794988610482</v>
      </c>
      <c r="H685" s="226">
        <f t="shared" si="76"/>
        <v>0.65238825591586325</v>
      </c>
      <c r="I685" s="226">
        <f t="shared" si="76"/>
        <v>0.61920579797674768</v>
      </c>
      <c r="J685" s="226">
        <f t="shared" si="76"/>
        <v>0.20657550189118418</v>
      </c>
      <c r="K685" s="226">
        <f t="shared" si="76"/>
        <v>0.21996709499900718</v>
      </c>
      <c r="L685" s="226">
        <f t="shared" si="76"/>
        <v>0.23243975532657335</v>
      </c>
      <c r="M685" s="226">
        <f t="shared" si="76"/>
        <v>0.27152849443871113</v>
      </c>
      <c r="N685" s="226">
        <f t="shared" si="76"/>
        <v>0.27582234576712622</v>
      </c>
    </row>
    <row r="688" spans="3:23" ht="15.6">
      <c r="C688" t="s">
        <v>27</v>
      </c>
      <c r="D688" s="157" t="s">
        <v>527</v>
      </c>
      <c r="E688" s="138">
        <v>2016</v>
      </c>
      <c r="F688" s="138">
        <f t="shared" ref="F688:N688" si="77">E688+1</f>
        <v>2017</v>
      </c>
      <c r="G688" s="138">
        <f t="shared" si="77"/>
        <v>2018</v>
      </c>
      <c r="H688" s="138">
        <f t="shared" si="77"/>
        <v>2019</v>
      </c>
      <c r="I688" s="138">
        <f t="shared" si="77"/>
        <v>2020</v>
      </c>
      <c r="J688" s="138">
        <f t="shared" si="77"/>
        <v>2021</v>
      </c>
      <c r="K688" s="138">
        <f t="shared" si="77"/>
        <v>2022</v>
      </c>
      <c r="L688" s="138">
        <f t="shared" si="77"/>
        <v>2023</v>
      </c>
      <c r="M688" s="138">
        <f t="shared" si="77"/>
        <v>2024</v>
      </c>
      <c r="N688" s="138">
        <f t="shared" si="77"/>
        <v>2025</v>
      </c>
      <c r="P688" s="138" t="s">
        <v>444</v>
      </c>
      <c r="Q688" s="138"/>
      <c r="R688" s="138"/>
      <c r="S688" s="138"/>
      <c r="T688" s="138"/>
      <c r="U688" s="138"/>
      <c r="V688" s="138" t="s">
        <v>445</v>
      </c>
    </row>
    <row r="690" spans="2:22">
      <c r="D690" s="234" t="s">
        <v>181</v>
      </c>
      <c r="E690" s="264">
        <f>E674/E$681</f>
        <v>0.26407052213503829</v>
      </c>
      <c r="F690" s="264">
        <f t="shared" ref="F690:N690" si="78">F674/F$681</f>
        <v>0.25096296296296294</v>
      </c>
      <c r="G690" s="264">
        <f t="shared" si="78"/>
        <v>0.21581930608038474</v>
      </c>
      <c r="H690" s="264">
        <f t="shared" si="78"/>
        <v>0.21612090680100757</v>
      </c>
      <c r="I690" s="264">
        <f t="shared" si="78"/>
        <v>0.22490449483865724</v>
      </c>
      <c r="J690" s="264">
        <f t="shared" si="78"/>
        <v>0.25204225352112675</v>
      </c>
      <c r="K690" s="264">
        <f t="shared" si="78"/>
        <v>0.26410471339222386</v>
      </c>
      <c r="L690" s="264">
        <f t="shared" si="78"/>
        <v>0.2502649240551042</v>
      </c>
      <c r="M690" s="264">
        <f t="shared" si="78"/>
        <v>0.18871996996996998</v>
      </c>
      <c r="N690" s="264">
        <f t="shared" si="78"/>
        <v>0.20042672961685129</v>
      </c>
      <c r="P690" s="281">
        <f>AVERAGE(E690:N690)</f>
        <v>0.23274367833733267</v>
      </c>
      <c r="Q690" s="281"/>
      <c r="R690" s="281"/>
      <c r="S690" s="281"/>
      <c r="T690" s="281"/>
      <c r="U690" s="281"/>
      <c r="V690" s="281">
        <f>MEDIAN(E690:N690)</f>
        <v>0.2375847094468807</v>
      </c>
    </row>
    <row r="691" spans="2:22">
      <c r="D691" s="231" t="s">
        <v>524</v>
      </c>
      <c r="E691" s="264">
        <f t="shared" ref="E691:N691" si="79">E675/E$681</f>
        <v>0.24798992540928025</v>
      </c>
      <c r="F691" s="264">
        <f t="shared" si="79"/>
        <v>0.37412345679012343</v>
      </c>
      <c r="G691" s="264">
        <f t="shared" si="79"/>
        <v>0.24656475437993816</v>
      </c>
      <c r="H691" s="264">
        <f t="shared" si="79"/>
        <v>0.22787573467674224</v>
      </c>
      <c r="I691" s="264">
        <f t="shared" si="79"/>
        <v>0.10184507843615379</v>
      </c>
      <c r="J691" s="264">
        <f t="shared" si="79"/>
        <v>0.1906338028169014</v>
      </c>
      <c r="K691" s="264">
        <f t="shared" si="79"/>
        <v>0.22690050938164935</v>
      </c>
      <c r="L691" s="264">
        <f t="shared" si="79"/>
        <v>0.16548922642175909</v>
      </c>
      <c r="M691" s="264">
        <f t="shared" si="79"/>
        <v>0.21387012012012013</v>
      </c>
      <c r="N691" s="264">
        <f t="shared" si="79"/>
        <v>0.17028327583076086</v>
      </c>
      <c r="P691" s="281">
        <f t="shared" ref="P691:P695" si="80">AVERAGE(E691:N691)</f>
        <v>0.21655758842634287</v>
      </c>
      <c r="Q691" s="281"/>
      <c r="R691" s="281"/>
      <c r="S691" s="281"/>
      <c r="T691" s="281"/>
      <c r="U691" s="281"/>
      <c r="V691" s="281">
        <f t="shared" ref="V691:V695" si="81">MEDIAN(E691:N691)</f>
        <v>0.22038531475088474</v>
      </c>
    </row>
    <row r="692" spans="2:22">
      <c r="D692" s="231" t="s">
        <v>182</v>
      </c>
      <c r="E692" s="264">
        <f t="shared" ref="E692:N692" si="82">E676/E$681</f>
        <v>0.12244502567083212</v>
      </c>
      <c r="F692" s="264">
        <f t="shared" si="82"/>
        <v>0.10716049382716049</v>
      </c>
      <c r="G692" s="264">
        <f t="shared" si="82"/>
        <v>0.11250429405702508</v>
      </c>
      <c r="H692" s="264">
        <f t="shared" si="82"/>
        <v>0.1524769101595298</v>
      </c>
      <c r="I692" s="264">
        <f t="shared" si="82"/>
        <v>9.3391855644964647E-2</v>
      </c>
      <c r="J692" s="264">
        <f t="shared" si="82"/>
        <v>0.12380281690140844</v>
      </c>
      <c r="K692" s="264">
        <f t="shared" si="82"/>
        <v>0.14417435037720033</v>
      </c>
      <c r="L692" s="264">
        <f t="shared" si="82"/>
        <v>0.18126692570352054</v>
      </c>
      <c r="M692" s="264">
        <f t="shared" si="82"/>
        <v>0.140625</v>
      </c>
      <c r="N692" s="264">
        <f t="shared" si="82"/>
        <v>0.17337025603777012</v>
      </c>
      <c r="P692" s="281">
        <f t="shared" si="80"/>
        <v>0.13512179283794115</v>
      </c>
      <c r="Q692" s="281"/>
      <c r="R692" s="281"/>
      <c r="S692" s="281"/>
      <c r="T692" s="281"/>
      <c r="U692" s="281"/>
      <c r="V692" s="281">
        <f t="shared" si="81"/>
        <v>0.13221390845070422</v>
      </c>
    </row>
    <row r="693" spans="2:22">
      <c r="D693" s="231" t="s">
        <v>525</v>
      </c>
      <c r="E693" s="264">
        <f t="shared" ref="E693:N693" si="83">E677/E$681</f>
        <v>0.29148503342051729</v>
      </c>
      <c r="F693" s="264">
        <f t="shared" si="83"/>
        <v>0.18054320987654321</v>
      </c>
      <c r="G693" s="264">
        <f t="shared" si="83"/>
        <v>0.29929577464788731</v>
      </c>
      <c r="H693" s="264">
        <f t="shared" si="83"/>
        <v>0.31544920235096557</v>
      </c>
      <c r="I693" s="264">
        <f t="shared" si="83"/>
        <v>0.41558969357067382</v>
      </c>
      <c r="J693" s="264">
        <f t="shared" si="83"/>
        <v>0.31485915492957744</v>
      </c>
      <c r="K693" s="264">
        <f t="shared" si="83"/>
        <v>0.247985040943968</v>
      </c>
      <c r="L693" s="264">
        <f t="shared" si="83"/>
        <v>0.27540327328388087</v>
      </c>
      <c r="M693" s="264">
        <f t="shared" si="83"/>
        <v>0.35468280780780781</v>
      </c>
      <c r="N693" s="264">
        <f t="shared" si="83"/>
        <v>0.34292718358452878</v>
      </c>
      <c r="P693" s="281">
        <f t="shared" si="80"/>
        <v>0.303822037441635</v>
      </c>
      <c r="Q693" s="281"/>
      <c r="R693" s="281"/>
      <c r="S693" s="281"/>
      <c r="T693" s="281"/>
      <c r="U693" s="281"/>
      <c r="V693" s="281">
        <f t="shared" si="81"/>
        <v>0.30707746478873238</v>
      </c>
    </row>
    <row r="694" spans="2:22">
      <c r="D694" s="231" t="s">
        <v>526</v>
      </c>
      <c r="E694" s="264">
        <f t="shared" ref="E694:N694" si="84">E678/E$681</f>
        <v>5.240724595563305E-2</v>
      </c>
      <c r="F694" s="264">
        <f t="shared" si="84"/>
        <v>5.8271604938271604E-2</v>
      </c>
      <c r="G694" s="264">
        <f t="shared" si="84"/>
        <v>5.5908622466506352E-2</v>
      </c>
      <c r="H694" s="264">
        <f t="shared" si="84"/>
        <v>3.9462636439966413E-2</v>
      </c>
      <c r="I694" s="264">
        <f t="shared" si="84"/>
        <v>9.9081524831341944E-2</v>
      </c>
      <c r="J694" s="264">
        <f t="shared" si="84"/>
        <v>4.5563380281690144E-2</v>
      </c>
      <c r="K694" s="264">
        <f t="shared" si="84"/>
        <v>5.8675607711651298E-2</v>
      </c>
      <c r="L694" s="264">
        <f t="shared" si="84"/>
        <v>4.9687978335099491E-2</v>
      </c>
      <c r="M694" s="264">
        <f t="shared" si="84"/>
        <v>3.8522897897897895E-2</v>
      </c>
      <c r="N694" s="264">
        <f t="shared" si="84"/>
        <v>4.7485019066642452E-2</v>
      </c>
      <c r="P694" s="281">
        <f t="shared" si="80"/>
        <v>5.4506651792470072E-2</v>
      </c>
      <c r="Q694" s="281"/>
      <c r="R694" s="281"/>
      <c r="S694" s="281"/>
      <c r="T694" s="281"/>
      <c r="U694" s="281"/>
      <c r="V694" s="281">
        <f t="shared" si="81"/>
        <v>5.1047612145366267E-2</v>
      </c>
    </row>
    <row r="695" spans="2:22">
      <c r="D695" s="231" t="s">
        <v>17</v>
      </c>
      <c r="E695" s="264">
        <f t="shared" ref="E695:N695" si="85">E679/E$681</f>
        <v>2.1602247408699021E-2</v>
      </c>
      <c r="F695" s="264">
        <f t="shared" si="85"/>
        <v>2.8938271604938271E-2</v>
      </c>
      <c r="G695" s="264">
        <f t="shared" si="85"/>
        <v>6.9907248368258332E-2</v>
      </c>
      <c r="H695" s="264">
        <f t="shared" si="85"/>
        <v>4.8614609571788411E-2</v>
      </c>
      <c r="I695" s="264">
        <f t="shared" si="85"/>
        <v>6.5187352678208563E-2</v>
      </c>
      <c r="J695" s="264">
        <f t="shared" si="85"/>
        <v>7.309859154929578E-2</v>
      </c>
      <c r="K695" s="264">
        <f t="shared" si="85"/>
        <v>5.8159778193307109E-2</v>
      </c>
      <c r="L695" s="264">
        <f t="shared" si="85"/>
        <v>7.7887672200635819E-2</v>
      </c>
      <c r="M695" s="264">
        <f t="shared" si="85"/>
        <v>6.3579204204204209E-2</v>
      </c>
      <c r="N695" s="264">
        <f t="shared" si="85"/>
        <v>6.5507535863446528E-2</v>
      </c>
      <c r="P695" s="281">
        <f t="shared" si="80"/>
        <v>5.7248251164278195E-2</v>
      </c>
      <c r="Q695" s="281"/>
      <c r="R695" s="281"/>
      <c r="S695" s="281"/>
      <c r="T695" s="281"/>
      <c r="U695" s="281"/>
      <c r="V695" s="281">
        <f t="shared" si="81"/>
        <v>6.4383278441206393E-2</v>
      </c>
    </row>
    <row r="697" spans="2:22" ht="15" thickBot="1">
      <c r="D697" s="262" t="s">
        <v>16</v>
      </c>
      <c r="E697" s="265">
        <f t="shared" ref="E697:N697" si="86">SUM(E690:E695)</f>
        <v>1</v>
      </c>
      <c r="F697" s="265">
        <f t="shared" si="86"/>
        <v>1</v>
      </c>
      <c r="G697" s="265">
        <f t="shared" si="86"/>
        <v>1</v>
      </c>
      <c r="H697" s="265">
        <f t="shared" si="86"/>
        <v>1</v>
      </c>
      <c r="I697" s="265">
        <f t="shared" si="86"/>
        <v>1</v>
      </c>
      <c r="J697" s="265">
        <f t="shared" si="86"/>
        <v>0.99999999999999989</v>
      </c>
      <c r="K697" s="265">
        <f t="shared" si="86"/>
        <v>0.99999999999999989</v>
      </c>
      <c r="L697" s="265">
        <f t="shared" si="86"/>
        <v>1</v>
      </c>
      <c r="M697" s="265">
        <f t="shared" si="86"/>
        <v>1</v>
      </c>
      <c r="N697" s="265">
        <f t="shared" si="86"/>
        <v>1</v>
      </c>
    </row>
    <row r="699" spans="2:22">
      <c r="D699" s="20"/>
      <c r="E699" s="226"/>
      <c r="F699" s="226"/>
      <c r="G699" s="226"/>
      <c r="H699" s="226"/>
      <c r="I699" s="226"/>
      <c r="J699" s="226"/>
      <c r="K699" s="226"/>
      <c r="L699" s="226"/>
      <c r="M699" s="226"/>
      <c r="N699" s="226"/>
    </row>
    <row r="700" spans="2:22">
      <c r="B700" t="s">
        <v>27</v>
      </c>
      <c r="D700" s="157" t="s">
        <v>181</v>
      </c>
      <c r="E700" s="157"/>
      <c r="F700" s="157"/>
      <c r="G700" s="157"/>
      <c r="H700" s="157"/>
      <c r="I700" s="157"/>
      <c r="J700" s="157"/>
      <c r="K700" s="157"/>
      <c r="L700" s="157"/>
      <c r="M700" s="157"/>
      <c r="N700" s="157"/>
    </row>
    <row r="702" spans="2:22" ht="15.6">
      <c r="D702" s="157" t="s">
        <v>308</v>
      </c>
      <c r="E702" s="138">
        <v>2016</v>
      </c>
      <c r="F702" s="138">
        <f t="shared" ref="F702:N702" si="87">E702+1</f>
        <v>2017</v>
      </c>
      <c r="G702" s="138">
        <f t="shared" si="87"/>
        <v>2018</v>
      </c>
      <c r="H702" s="138">
        <f t="shared" si="87"/>
        <v>2019</v>
      </c>
      <c r="I702" s="138">
        <f t="shared" si="87"/>
        <v>2020</v>
      </c>
      <c r="J702" s="138">
        <f t="shared" si="87"/>
        <v>2021</v>
      </c>
      <c r="K702" s="138">
        <f t="shared" si="87"/>
        <v>2022</v>
      </c>
      <c r="L702" s="138">
        <f t="shared" si="87"/>
        <v>2023</v>
      </c>
      <c r="M702" s="138">
        <f t="shared" si="87"/>
        <v>2024</v>
      </c>
      <c r="N702" s="138">
        <f t="shared" si="87"/>
        <v>2025</v>
      </c>
    </row>
    <row r="703" spans="2:22">
      <c r="D703" t="s">
        <v>52</v>
      </c>
      <c r="E703" s="223">
        <f>E595</f>
        <v>32186</v>
      </c>
      <c r="F703" s="223">
        <f t="shared" ref="F703:N703" si="88">F595</f>
        <v>33162</v>
      </c>
      <c r="G703" s="223">
        <f t="shared" si="88"/>
        <v>35545</v>
      </c>
      <c r="H703" s="223">
        <f t="shared" si="88"/>
        <v>39310</v>
      </c>
      <c r="I703" s="223">
        <f t="shared" si="88"/>
        <v>39783</v>
      </c>
      <c r="J703" s="223">
        <f t="shared" si="88"/>
        <v>47028</v>
      </c>
      <c r="K703" s="223">
        <f t="shared" si="88"/>
        <v>52446</v>
      </c>
      <c r="L703" s="223">
        <f t="shared" si="88"/>
        <v>60580</v>
      </c>
      <c r="M703" s="223">
        <f t="shared" si="88"/>
        <v>61896</v>
      </c>
      <c r="N703" s="223">
        <f t="shared" si="88"/>
        <v>63121</v>
      </c>
    </row>
    <row r="704" spans="2:22">
      <c r="D704" s="154" t="s">
        <v>536</v>
      </c>
      <c r="E704" s="216"/>
      <c r="F704" s="217">
        <f>F703/E703-1</f>
        <v>3.03237432424035E-2</v>
      </c>
      <c r="G704" s="217">
        <f t="shared" ref="G704:N704" si="89">G703/F703-1</f>
        <v>7.1859357095470644E-2</v>
      </c>
      <c r="H704" s="217">
        <f t="shared" si="89"/>
        <v>0.1059220706147137</v>
      </c>
      <c r="I704" s="217">
        <f t="shared" si="89"/>
        <v>1.2032561689137689E-2</v>
      </c>
      <c r="J704" s="217">
        <f t="shared" si="89"/>
        <v>0.18211296282331646</v>
      </c>
      <c r="K704" s="217">
        <f t="shared" si="89"/>
        <v>0.11520796121459553</v>
      </c>
      <c r="L704" s="217">
        <f t="shared" si="89"/>
        <v>0.15509285741524614</v>
      </c>
      <c r="M704" s="217">
        <f t="shared" si="89"/>
        <v>2.1723341036645749E-2</v>
      </c>
      <c r="N704" s="217">
        <f t="shared" si="89"/>
        <v>1.9791262763344974E-2</v>
      </c>
    </row>
    <row r="706" spans="4:22">
      <c r="D706" s="234" t="s">
        <v>181</v>
      </c>
      <c r="E706" s="235">
        <f>E674</f>
        <v>2726</v>
      </c>
      <c r="F706" s="235">
        <f t="shared" ref="F706:N706" si="90">F674</f>
        <v>2541</v>
      </c>
      <c r="G706" s="235">
        <f t="shared" si="90"/>
        <v>2513</v>
      </c>
      <c r="H706" s="235">
        <f t="shared" si="90"/>
        <v>2574</v>
      </c>
      <c r="I706" s="235">
        <f>I674</f>
        <v>2767</v>
      </c>
      <c r="J706" s="235">
        <f t="shared" si="90"/>
        <v>3579</v>
      </c>
      <c r="K706" s="235">
        <f t="shared" si="90"/>
        <v>4096</v>
      </c>
      <c r="L706" s="235">
        <f t="shared" si="90"/>
        <v>4251</v>
      </c>
      <c r="M706" s="235">
        <f t="shared" si="90"/>
        <v>4022</v>
      </c>
      <c r="N706" s="235">
        <f t="shared" si="90"/>
        <v>4415</v>
      </c>
    </row>
    <row r="707" spans="4:22">
      <c r="D707" s="154" t="s">
        <v>537</v>
      </c>
      <c r="E707" s="216"/>
      <c r="F707" s="217">
        <f>F706/E706-1</f>
        <v>-6.7865003668378554E-2</v>
      </c>
      <c r="G707" s="217">
        <f t="shared" ref="G707" si="91">G706/F706-1</f>
        <v>-1.1019283746556474E-2</v>
      </c>
      <c r="H707" s="217">
        <f t="shared" ref="H707" si="92">H706/G706-1</f>
        <v>2.4273776362912836E-2</v>
      </c>
      <c r="I707" s="217">
        <f t="shared" ref="I707" si="93">I706/H706-1</f>
        <v>7.4980574980574977E-2</v>
      </c>
      <c r="J707" s="217">
        <f t="shared" ref="J707" si="94">J706/I706-1</f>
        <v>0.29345861944344054</v>
      </c>
      <c r="K707" s="217">
        <f t="shared" ref="K707" si="95">K706/J706-1</f>
        <v>0.14445375803297011</v>
      </c>
      <c r="L707" s="217">
        <f t="shared" ref="L707" si="96">L706/K706-1</f>
        <v>3.7841796875E-2</v>
      </c>
      <c r="M707" s="217">
        <f t="shared" ref="M707" si="97">M706/L706-1</f>
        <v>-5.3869677722888754E-2</v>
      </c>
      <c r="N707" s="217">
        <f t="shared" ref="N707" si="98">N706/M706-1</f>
        <v>9.7712580805569438E-2</v>
      </c>
    </row>
    <row r="709" spans="4:22">
      <c r="D709" s="20" t="s">
        <v>529</v>
      </c>
      <c r="E709" s="222">
        <f>(E706+2849)/2</f>
        <v>2787.5</v>
      </c>
      <c r="F709" s="222">
        <f>(F706+E706)/2</f>
        <v>2633.5</v>
      </c>
      <c r="G709" s="222">
        <f t="shared" ref="G709:N709" si="99">(G706+F706)/2</f>
        <v>2527</v>
      </c>
      <c r="H709" s="222">
        <f t="shared" si="99"/>
        <v>2543.5</v>
      </c>
      <c r="I709" s="222">
        <f t="shared" si="99"/>
        <v>2670.5</v>
      </c>
      <c r="J709" s="222">
        <f t="shared" si="99"/>
        <v>3173</v>
      </c>
      <c r="K709" s="222">
        <f t="shared" si="99"/>
        <v>3837.5</v>
      </c>
      <c r="L709" s="222">
        <f t="shared" si="99"/>
        <v>4173.5</v>
      </c>
      <c r="M709" s="222">
        <f t="shared" si="99"/>
        <v>4136.5</v>
      </c>
      <c r="N709" s="222">
        <f t="shared" si="99"/>
        <v>4218.5</v>
      </c>
    </row>
    <row r="711" spans="4:22">
      <c r="D711" s="20" t="s">
        <v>530</v>
      </c>
      <c r="E711" s="275">
        <f>E709/E703</f>
        <v>8.6605977754303107E-2</v>
      </c>
      <c r="F711" s="275">
        <f t="shared" ref="F711:N711" si="100">F709/F703</f>
        <v>7.9413183764549783E-2</v>
      </c>
      <c r="G711" s="275">
        <f t="shared" si="100"/>
        <v>7.1092980728653818E-2</v>
      </c>
      <c r="H711" s="275">
        <f t="shared" si="100"/>
        <v>6.470363775120834E-2</v>
      </c>
      <c r="I711" s="275">
        <f t="shared" si="100"/>
        <v>6.7126662142121013E-2</v>
      </c>
      <c r="J711" s="275">
        <f t="shared" si="100"/>
        <v>6.7470443140256867E-2</v>
      </c>
      <c r="K711" s="275">
        <f t="shared" si="100"/>
        <v>7.3170499180109067E-2</v>
      </c>
      <c r="L711" s="275">
        <f t="shared" si="100"/>
        <v>6.8892373720699895E-2</v>
      </c>
      <c r="M711" s="275">
        <f t="shared" si="100"/>
        <v>6.6829843608633838E-2</v>
      </c>
      <c r="N711" s="275">
        <f t="shared" si="100"/>
        <v>6.6831957668604738E-2</v>
      </c>
    </row>
    <row r="713" spans="4:22">
      <c r="D713" t="s">
        <v>79</v>
      </c>
      <c r="E713" s="261">
        <v>13267</v>
      </c>
      <c r="F713" s="261">
        <v>13750</v>
      </c>
      <c r="G713" s="261">
        <v>14161</v>
      </c>
      <c r="H713" s="261">
        <v>15857</v>
      </c>
      <c r="I713" s="261">
        <v>15589</v>
      </c>
      <c r="J713" s="261">
        <v>19736</v>
      </c>
      <c r="K713" s="261">
        <v>22849</v>
      </c>
      <c r="L713" s="261">
        <v>28352</v>
      </c>
      <c r="M713" s="261">
        <v>26811</v>
      </c>
      <c r="N713" s="261">
        <v>27191</v>
      </c>
      <c r="O713" s="260"/>
    </row>
    <row r="715" spans="4:22">
      <c r="D715" t="s">
        <v>531</v>
      </c>
      <c r="E715" s="276">
        <f>E703/E709</f>
        <v>11.546547085201794</v>
      </c>
      <c r="F715" s="276">
        <f t="shared" ref="F715:N715" si="101">F703/F709</f>
        <v>12.592367571672678</v>
      </c>
      <c r="G715" s="276">
        <f t="shared" si="101"/>
        <v>14.066086268302335</v>
      </c>
      <c r="H715" s="276">
        <f t="shared" si="101"/>
        <v>15.455081580499312</v>
      </c>
      <c r="I715" s="276">
        <f t="shared" si="101"/>
        <v>14.897210260250889</v>
      </c>
      <c r="J715" s="276">
        <f t="shared" si="101"/>
        <v>14.821304758903246</v>
      </c>
      <c r="K715" s="276">
        <f t="shared" si="101"/>
        <v>13.66671009771987</v>
      </c>
      <c r="L715" s="276">
        <f t="shared" si="101"/>
        <v>14.515394752605726</v>
      </c>
      <c r="M715" s="276">
        <f>M703/M709</f>
        <v>14.963374833796689</v>
      </c>
      <c r="N715" s="276">
        <f t="shared" si="101"/>
        <v>14.962901505274386</v>
      </c>
    </row>
    <row r="716" spans="4:22">
      <c r="D716" t="s">
        <v>532</v>
      </c>
      <c r="E716" s="276">
        <f>E713/E706</f>
        <v>4.8668378576669111</v>
      </c>
      <c r="F716" s="276">
        <f t="shared" ref="F716:N716" si="102">F713/F706</f>
        <v>5.4112554112554117</v>
      </c>
      <c r="G716" s="276">
        <f t="shared" si="102"/>
        <v>5.6350974930362119</v>
      </c>
      <c r="H716" s="276">
        <f t="shared" si="102"/>
        <v>6.1604506604506604</v>
      </c>
      <c r="I716" s="276">
        <f t="shared" si="102"/>
        <v>5.6338995301770867</v>
      </c>
      <c r="J716" s="276">
        <f t="shared" si="102"/>
        <v>5.5143894942721428</v>
      </c>
      <c r="K716" s="276">
        <f t="shared" si="102"/>
        <v>5.578369140625</v>
      </c>
      <c r="L716" s="276">
        <f t="shared" si="102"/>
        <v>6.669489531874853</v>
      </c>
      <c r="M716" s="276">
        <f t="shared" si="102"/>
        <v>6.6660865241173548</v>
      </c>
      <c r="N716" s="276">
        <f t="shared" si="102"/>
        <v>6.1587768969422427</v>
      </c>
    </row>
    <row r="718" spans="4:22">
      <c r="D718" t="s">
        <v>533</v>
      </c>
      <c r="E718" s="46">
        <f>365/E715</f>
        <v>31.611181880320636</v>
      </c>
      <c r="F718" s="46">
        <f t="shared" ref="F718:N718" si="103">365/F715</f>
        <v>28.985812074060672</v>
      </c>
      <c r="G718" s="46">
        <f t="shared" si="103"/>
        <v>25.948937965958642</v>
      </c>
      <c r="H718" s="46">
        <f t="shared" si="103"/>
        <v>23.616827779191045</v>
      </c>
      <c r="I718" s="46">
        <f t="shared" si="103"/>
        <v>24.50123168187417</v>
      </c>
      <c r="J718" s="46">
        <f t="shared" si="103"/>
        <v>24.626711746193759</v>
      </c>
      <c r="K718" s="46">
        <f t="shared" si="103"/>
        <v>26.70723220073981</v>
      </c>
      <c r="L718" s="46">
        <f t="shared" si="103"/>
        <v>25.145716408055463</v>
      </c>
      <c r="M718" s="46">
        <f t="shared" si="103"/>
        <v>24.39289291715135</v>
      </c>
      <c r="N718" s="46">
        <f t="shared" si="103"/>
        <v>24.393664549040732</v>
      </c>
    </row>
    <row r="719" spans="4:22">
      <c r="D719" t="s">
        <v>534</v>
      </c>
      <c r="E719" s="46">
        <f>365/E716</f>
        <v>74.997361875329773</v>
      </c>
      <c r="F719" s="46">
        <f t="shared" ref="F719:N719" si="104">365/F716</f>
        <v>67.451999999999998</v>
      </c>
      <c r="G719" s="46">
        <f t="shared" si="104"/>
        <v>64.772614928324273</v>
      </c>
      <c r="H719" s="46">
        <f>365/H716</f>
        <v>59.248912152361733</v>
      </c>
      <c r="I719" s="46">
        <f>365/I716</f>
        <v>64.786387837577777</v>
      </c>
      <c r="J719" s="46">
        <f t="shared" si="104"/>
        <v>66.190464126469394</v>
      </c>
      <c r="K719" s="46">
        <f t="shared" si="104"/>
        <v>65.431309904153352</v>
      </c>
      <c r="L719" s="46">
        <f t="shared" si="104"/>
        <v>54.72682703160271</v>
      </c>
      <c r="M719" s="46">
        <f t="shared" si="104"/>
        <v>54.754764835328778</v>
      </c>
      <c r="N719" s="46">
        <f t="shared" si="104"/>
        <v>59.265014159096758</v>
      </c>
      <c r="P719" s="46">
        <f>AVERAGE(E719:N719)</f>
        <v>63.162565685024447</v>
      </c>
      <c r="Q719" s="46"/>
      <c r="R719" s="46"/>
      <c r="S719" s="46"/>
      <c r="T719" s="46"/>
      <c r="U719" s="46"/>
      <c r="V719" s="46">
        <f>MEDIAN(E719:N719)</f>
        <v>64.779501382951025</v>
      </c>
    </row>
    <row r="721" spans="3:14" ht="15.6">
      <c r="C721" t="s">
        <v>27</v>
      </c>
      <c r="D721" s="157" t="s">
        <v>545</v>
      </c>
      <c r="E721" s="138">
        <v>2016</v>
      </c>
      <c r="F721" s="138">
        <f t="shared" ref="F721:N721" si="105">E721+1</f>
        <v>2017</v>
      </c>
      <c r="G721" s="138">
        <f t="shared" si="105"/>
        <v>2018</v>
      </c>
      <c r="H721" s="138">
        <f t="shared" si="105"/>
        <v>2019</v>
      </c>
      <c r="I721" s="138">
        <f t="shared" si="105"/>
        <v>2020</v>
      </c>
      <c r="J721" s="138">
        <f t="shared" si="105"/>
        <v>2021</v>
      </c>
      <c r="K721" s="138">
        <f t="shared" si="105"/>
        <v>2022</v>
      </c>
      <c r="L721" s="138">
        <f t="shared" si="105"/>
        <v>2023</v>
      </c>
      <c r="M721" s="138">
        <f t="shared" si="105"/>
        <v>2024</v>
      </c>
      <c r="N721" s="138">
        <f t="shared" si="105"/>
        <v>2025</v>
      </c>
    </row>
    <row r="722" spans="3:14" ht="4.95" customHeight="1"/>
    <row r="723" spans="3:14">
      <c r="D723" s="35" t="s">
        <v>538</v>
      </c>
      <c r="E723" s="277">
        <f>E719</f>
        <v>74.997361875329773</v>
      </c>
      <c r="F723" s="277">
        <f t="shared" ref="F723:N723" si="106">F719</f>
        <v>67.451999999999998</v>
      </c>
      <c r="G723" s="277">
        <f t="shared" si="106"/>
        <v>64.772614928324273</v>
      </c>
      <c r="H723" s="277">
        <f t="shared" si="106"/>
        <v>59.248912152361733</v>
      </c>
      <c r="I723" s="277">
        <f t="shared" si="106"/>
        <v>64.786387837577777</v>
      </c>
      <c r="J723" s="277">
        <f t="shared" si="106"/>
        <v>66.190464126469394</v>
      </c>
      <c r="K723" s="277">
        <f t="shared" si="106"/>
        <v>65.431309904153352</v>
      </c>
      <c r="L723" s="277">
        <f t="shared" si="106"/>
        <v>54.72682703160271</v>
      </c>
      <c r="M723" s="277">
        <f t="shared" si="106"/>
        <v>54.754764835328778</v>
      </c>
      <c r="N723" s="277">
        <f t="shared" si="106"/>
        <v>59.265014159096758</v>
      </c>
    </row>
    <row r="724" spans="3:14">
      <c r="D724" s="29" t="s">
        <v>539</v>
      </c>
      <c r="E724" s="29">
        <v>244</v>
      </c>
      <c r="F724" s="29">
        <v>185</v>
      </c>
      <c r="G724" s="29">
        <v>173</v>
      </c>
      <c r="H724" s="29">
        <v>165</v>
      </c>
      <c r="I724" s="29">
        <v>187</v>
      </c>
      <c r="J724" s="29">
        <v>189</v>
      </c>
      <c r="K724" s="29">
        <v>150</v>
      </c>
      <c r="L724" s="29">
        <v>148</v>
      </c>
      <c r="M724" s="29">
        <v>191</v>
      </c>
      <c r="N724" s="29">
        <v>178</v>
      </c>
    </row>
    <row r="725" spans="3:14">
      <c r="D725" s="29" t="s">
        <v>540</v>
      </c>
      <c r="E725" s="29">
        <v>110</v>
      </c>
      <c r="F725" s="29">
        <v>193</v>
      </c>
      <c r="G725" s="29">
        <v>190</v>
      </c>
      <c r="H725" s="29">
        <v>147</v>
      </c>
      <c r="I725" s="29">
        <v>157</v>
      </c>
      <c r="J725" s="29">
        <v>108</v>
      </c>
      <c r="K725" s="29">
        <v>106</v>
      </c>
      <c r="L725" s="29">
        <v>94</v>
      </c>
      <c r="M725" s="29">
        <v>116</v>
      </c>
      <c r="N725" s="29">
        <v>93</v>
      </c>
    </row>
    <row r="726" spans="3:14">
      <c r="D726" s="29" t="s">
        <v>541</v>
      </c>
      <c r="E726" s="29">
        <v>32</v>
      </c>
      <c r="F726" s="29">
        <v>43</v>
      </c>
      <c r="G726" s="29">
        <v>39</v>
      </c>
      <c r="H726" s="29">
        <v>43</v>
      </c>
      <c r="I726" s="29">
        <v>39</v>
      </c>
      <c r="J726" s="29">
        <v>52</v>
      </c>
      <c r="K726" s="29">
        <v>57</v>
      </c>
      <c r="L726" s="29">
        <v>45</v>
      </c>
      <c r="M726" s="29">
        <v>45</v>
      </c>
      <c r="N726" s="29">
        <v>43</v>
      </c>
    </row>
    <row r="728" spans="3:14">
      <c r="D728" s="278" t="s">
        <v>444</v>
      </c>
      <c r="E728" s="279">
        <f>AVERAGE(E723:E726)</f>
        <v>115.24934046883244</v>
      </c>
      <c r="F728" s="279">
        <f t="shared" ref="F728:N728" si="107">AVERAGE(F723:F726)</f>
        <v>122.113</v>
      </c>
      <c r="G728" s="279">
        <f t="shared" si="107"/>
        <v>116.69315373208107</v>
      </c>
      <c r="H728" s="279">
        <f t="shared" si="107"/>
        <v>103.56222803809044</v>
      </c>
      <c r="I728" s="279">
        <f t="shared" si="107"/>
        <v>111.94659695939444</v>
      </c>
      <c r="J728" s="279">
        <f t="shared" si="107"/>
        <v>103.79761603161735</v>
      </c>
      <c r="K728" s="279">
        <f t="shared" si="107"/>
        <v>94.607827476038338</v>
      </c>
      <c r="L728" s="279">
        <f t="shared" si="107"/>
        <v>85.431706757900685</v>
      </c>
      <c r="M728" s="279">
        <f t="shared" si="107"/>
        <v>101.6886912088322</v>
      </c>
      <c r="N728" s="279">
        <f t="shared" si="107"/>
        <v>93.316253539774181</v>
      </c>
    </row>
    <row r="729" spans="3:14">
      <c r="D729" s="278" t="s">
        <v>445</v>
      </c>
      <c r="E729" s="279">
        <f>MEDIAN(E723:E726)</f>
        <v>92.498680937664886</v>
      </c>
      <c r="F729" s="279">
        <f t="shared" ref="F729:N729" si="108">MEDIAN(F723:F726)</f>
        <v>126.226</v>
      </c>
      <c r="G729" s="279">
        <f t="shared" si="108"/>
        <v>118.88630746416214</v>
      </c>
      <c r="H729" s="279">
        <f t="shared" si="108"/>
        <v>103.12445607618088</v>
      </c>
      <c r="I729" s="279">
        <f t="shared" si="108"/>
        <v>110.89319391878888</v>
      </c>
      <c r="J729" s="279">
        <f t="shared" si="108"/>
        <v>87.095232063234704</v>
      </c>
      <c r="K729" s="279">
        <f t="shared" si="108"/>
        <v>85.715654952076676</v>
      </c>
      <c r="L729" s="279">
        <f t="shared" si="108"/>
        <v>74.363413515801355</v>
      </c>
      <c r="M729" s="279">
        <f t="shared" si="108"/>
        <v>85.377382417664393</v>
      </c>
      <c r="N729" s="279">
        <f t="shared" si="108"/>
        <v>76.132507079548375</v>
      </c>
    </row>
    <row r="732" spans="3:14" ht="15.6">
      <c r="C732" t="s">
        <v>27</v>
      </c>
      <c r="D732" s="157" t="s">
        <v>546</v>
      </c>
      <c r="E732" s="138">
        <v>2024</v>
      </c>
      <c r="F732" s="138">
        <f>E732+1</f>
        <v>2025</v>
      </c>
      <c r="G732" s="138">
        <f t="shared" ref="G732:I732" si="109">F732+1</f>
        <v>2026</v>
      </c>
      <c r="H732" s="138">
        <f t="shared" si="109"/>
        <v>2027</v>
      </c>
      <c r="I732" s="138">
        <f t="shared" si="109"/>
        <v>2028</v>
      </c>
    </row>
    <row r="733" spans="3:14">
      <c r="D733" t="s">
        <v>542</v>
      </c>
      <c r="E733">
        <v>24</v>
      </c>
      <c r="F733">
        <v>26</v>
      </c>
      <c r="G733">
        <v>23</v>
      </c>
      <c r="H733">
        <v>23</v>
      </c>
      <c r="I733">
        <v>23</v>
      </c>
    </row>
    <row r="734" spans="3:14">
      <c r="D734" t="s">
        <v>543</v>
      </c>
      <c r="E734">
        <v>24</v>
      </c>
      <c r="F734">
        <v>24</v>
      </c>
      <c r="G734">
        <v>24</v>
      </c>
      <c r="H734">
        <v>24</v>
      </c>
      <c r="I734">
        <v>24</v>
      </c>
      <c r="K734" s="20" t="s">
        <v>547</v>
      </c>
    </row>
    <row r="735" spans="3:14">
      <c r="D735" t="s">
        <v>544</v>
      </c>
      <c r="E735">
        <v>25</v>
      </c>
      <c r="F735">
        <v>24</v>
      </c>
      <c r="G735">
        <v>24</v>
      </c>
      <c r="H735">
        <v>24</v>
      </c>
      <c r="I735">
        <v>24</v>
      </c>
    </row>
    <row r="737" spans="3:9">
      <c r="D737" s="278" t="s">
        <v>444</v>
      </c>
      <c r="E737" s="279">
        <f>AVERAGE(E733:E735)</f>
        <v>24.333333333333332</v>
      </c>
      <c r="F737" s="279">
        <f t="shared" ref="F737:I737" si="110">AVERAGE(F733:F735)</f>
        <v>24.666666666666668</v>
      </c>
      <c r="G737" s="279">
        <f t="shared" si="110"/>
        <v>23.666666666666668</v>
      </c>
      <c r="H737" s="279">
        <f t="shared" si="110"/>
        <v>23.666666666666668</v>
      </c>
      <c r="I737" s="279">
        <f t="shared" si="110"/>
        <v>23.666666666666668</v>
      </c>
    </row>
    <row r="738" spans="3:9">
      <c r="D738" s="278" t="s">
        <v>445</v>
      </c>
      <c r="E738" s="279">
        <f>MEDIAN(E733:E735)</f>
        <v>24</v>
      </c>
      <c r="F738" s="279">
        <f t="shared" ref="F738:I738" si="111">MEDIAN(F733:F735)</f>
        <v>24</v>
      </c>
      <c r="G738" s="279">
        <f t="shared" si="111"/>
        <v>24</v>
      </c>
      <c r="H738" s="279">
        <f t="shared" si="111"/>
        <v>24</v>
      </c>
      <c r="I738" s="279">
        <f t="shared" si="111"/>
        <v>24</v>
      </c>
    </row>
    <row r="741" spans="3:9">
      <c r="C741" t="s">
        <v>27</v>
      </c>
      <c r="D741" s="157" t="s">
        <v>451</v>
      </c>
    </row>
    <row r="770" spans="2:14">
      <c r="B770" t="s">
        <v>27</v>
      </c>
      <c r="D770" s="157" t="s">
        <v>182</v>
      </c>
    </row>
    <row r="772" spans="2:14" ht="15.6">
      <c r="C772" t="s">
        <v>27</v>
      </c>
      <c r="D772" s="157" t="s">
        <v>308</v>
      </c>
      <c r="E772" s="138">
        <v>2016</v>
      </c>
      <c r="F772" s="138">
        <f t="shared" ref="F772" si="112">E772+1</f>
        <v>2017</v>
      </c>
      <c r="G772" s="138">
        <f t="shared" ref="G772" si="113">F772+1</f>
        <v>2018</v>
      </c>
      <c r="H772" s="138">
        <f t="shared" ref="H772" si="114">G772+1</f>
        <v>2019</v>
      </c>
      <c r="I772" s="138">
        <f t="shared" ref="I772" si="115">H772+1</f>
        <v>2020</v>
      </c>
      <c r="J772" s="138">
        <f t="shared" ref="J772" si="116">I772+1</f>
        <v>2021</v>
      </c>
      <c r="K772" s="138">
        <f t="shared" ref="K772" si="117">J772+1</f>
        <v>2022</v>
      </c>
      <c r="L772" s="138">
        <f t="shared" ref="L772" si="118">K772+1</f>
        <v>2023</v>
      </c>
      <c r="M772" s="138">
        <f t="shared" ref="M772" si="119">L772+1</f>
        <v>2024</v>
      </c>
      <c r="N772" s="138">
        <f t="shared" ref="N772" si="120">M772+1</f>
        <v>2025</v>
      </c>
    </row>
    <row r="773" spans="2:14">
      <c r="D773" t="s">
        <v>52</v>
      </c>
      <c r="E773" s="223">
        <f>E703</f>
        <v>32186</v>
      </c>
      <c r="F773" s="223">
        <f t="shared" ref="F773:N773" si="121">F703</f>
        <v>33162</v>
      </c>
      <c r="G773" s="223">
        <f t="shared" si="121"/>
        <v>35545</v>
      </c>
      <c r="H773" s="223">
        <f t="shared" si="121"/>
        <v>39310</v>
      </c>
      <c r="I773" s="223">
        <f t="shared" si="121"/>
        <v>39783</v>
      </c>
      <c r="J773" s="223">
        <f t="shared" si="121"/>
        <v>47028</v>
      </c>
      <c r="K773" s="223">
        <f t="shared" si="121"/>
        <v>52446</v>
      </c>
      <c r="L773" s="223">
        <f t="shared" si="121"/>
        <v>60580</v>
      </c>
      <c r="M773" s="223">
        <f t="shared" si="121"/>
        <v>61896</v>
      </c>
      <c r="N773" s="223">
        <f t="shared" si="121"/>
        <v>63121</v>
      </c>
    </row>
    <row r="774" spans="2:14">
      <c r="D774" s="154" t="s">
        <v>536</v>
      </c>
      <c r="E774" s="216"/>
      <c r="F774" s="217">
        <f>F773/E773-1</f>
        <v>3.03237432424035E-2</v>
      </c>
      <c r="G774" s="217">
        <f t="shared" ref="G774" si="122">G773/F773-1</f>
        <v>7.1859357095470644E-2</v>
      </c>
      <c r="H774" s="217">
        <f t="shared" ref="H774" si="123">H773/G773-1</f>
        <v>0.1059220706147137</v>
      </c>
      <c r="I774" s="217">
        <f t="shared" ref="I774" si="124">I773/H773-1</f>
        <v>1.2032561689137689E-2</v>
      </c>
      <c r="J774" s="217">
        <f t="shared" ref="J774" si="125">J773/I773-1</f>
        <v>0.18211296282331646</v>
      </c>
      <c r="K774" s="217">
        <f t="shared" ref="K774" si="126">K773/J773-1</f>
        <v>0.11520796121459553</v>
      </c>
      <c r="L774" s="217">
        <f t="shared" ref="L774" si="127">L773/K773-1</f>
        <v>0.15509285741524614</v>
      </c>
      <c r="M774" s="217">
        <f t="shared" ref="M774" si="128">M773/L773-1</f>
        <v>2.1723341036645749E-2</v>
      </c>
      <c r="N774" s="217">
        <f t="shared" ref="N774" si="129">N773/M773-1</f>
        <v>1.9791262763344974E-2</v>
      </c>
    </row>
    <row r="776" spans="2:14">
      <c r="D776" s="234" t="s">
        <v>182</v>
      </c>
      <c r="E776" s="235">
        <f>E676</f>
        <v>1264</v>
      </c>
      <c r="F776" s="235">
        <f t="shared" ref="F776:N776" si="130">F676</f>
        <v>1085</v>
      </c>
      <c r="G776" s="235">
        <f t="shared" si="130"/>
        <v>1310</v>
      </c>
      <c r="H776" s="235">
        <f t="shared" si="130"/>
        <v>1816</v>
      </c>
      <c r="I776" s="235">
        <f t="shared" si="130"/>
        <v>1149</v>
      </c>
      <c r="J776" s="235">
        <f t="shared" si="130"/>
        <v>1758</v>
      </c>
      <c r="K776" s="235">
        <f t="shared" si="130"/>
        <v>2236</v>
      </c>
      <c r="L776" s="235">
        <f t="shared" si="130"/>
        <v>3079</v>
      </c>
      <c r="M776" s="235">
        <f t="shared" si="130"/>
        <v>2997</v>
      </c>
      <c r="N776" s="235">
        <f t="shared" si="130"/>
        <v>3819</v>
      </c>
    </row>
    <row r="777" spans="2:14">
      <c r="D777" s="154" t="s">
        <v>550</v>
      </c>
      <c r="E777" s="216"/>
      <c r="F777" s="217">
        <f>F776/E776-1</f>
        <v>-0.14161392405063289</v>
      </c>
      <c r="G777" s="217">
        <f t="shared" ref="G777" si="131">G776/F776-1</f>
        <v>0.20737327188940102</v>
      </c>
      <c r="H777" s="217">
        <f t="shared" ref="H777" si="132">H776/G776-1</f>
        <v>0.38625954198473278</v>
      </c>
      <c r="I777" s="217">
        <f t="shared" ref="I777" si="133">I776/H776-1</f>
        <v>-0.36729074889867841</v>
      </c>
      <c r="J777" s="217">
        <f t="shared" ref="J777" si="134">J776/I776-1</f>
        <v>0.53002610966057451</v>
      </c>
      <c r="K777" s="217">
        <f t="shared" ref="K777" si="135">K776/J776-1</f>
        <v>0.27189988623435712</v>
      </c>
      <c r="L777" s="217">
        <f t="shared" ref="L777" si="136">L776/K776-1</f>
        <v>0.37701252236135963</v>
      </c>
      <c r="M777" s="217">
        <f t="shared" ref="M777" si="137">M776/L776-1</f>
        <v>-2.6632023384215664E-2</v>
      </c>
      <c r="N777" s="217">
        <f t="shared" ref="N777" si="138">N776/M776-1</f>
        <v>0.27427427427427431</v>
      </c>
    </row>
    <row r="779" spans="2:14">
      <c r="D779" s="20" t="s">
        <v>548</v>
      </c>
      <c r="E779" s="222">
        <f>(E776+1010)/2</f>
        <v>1137</v>
      </c>
      <c r="F779" s="222">
        <f>(F776+E776)/2</f>
        <v>1174.5</v>
      </c>
      <c r="G779" s="222">
        <f t="shared" ref="G779" si="139">(G776+F776)/2</f>
        <v>1197.5</v>
      </c>
      <c r="H779" s="222">
        <f t="shared" ref="H779" si="140">(H776+G776)/2</f>
        <v>1563</v>
      </c>
      <c r="I779" s="222">
        <f t="shared" ref="I779" si="141">(I776+H776)/2</f>
        <v>1482.5</v>
      </c>
      <c r="J779" s="222">
        <f t="shared" ref="J779" si="142">(J776+I776)/2</f>
        <v>1453.5</v>
      </c>
      <c r="K779" s="222">
        <f t="shared" ref="K779" si="143">(K776+J776)/2</f>
        <v>1997</v>
      </c>
      <c r="L779" s="222">
        <f t="shared" ref="L779" si="144">(L776+K776)/2</f>
        <v>2657.5</v>
      </c>
      <c r="M779" s="222">
        <f t="shared" ref="M779" si="145">(M776+L776)/2</f>
        <v>3038</v>
      </c>
      <c r="N779" s="222">
        <f t="shared" ref="N779" si="146">(N776+M776)/2</f>
        <v>3408</v>
      </c>
    </row>
    <row r="781" spans="2:14">
      <c r="D781" s="20" t="s">
        <v>549</v>
      </c>
      <c r="E781" s="275">
        <f>E779/E773</f>
        <v>3.5325918101037718E-2</v>
      </c>
      <c r="F781" s="275">
        <f t="shared" ref="F781:N781" si="147">F779/F773</f>
        <v>3.5417043604125203E-2</v>
      </c>
      <c r="G781" s="275">
        <f t="shared" si="147"/>
        <v>3.3689689126459414E-2</v>
      </c>
      <c r="H781" s="275">
        <f t="shared" si="147"/>
        <v>3.9760875095395574E-2</v>
      </c>
      <c r="I781" s="275">
        <f t="shared" si="147"/>
        <v>3.7264660784757306E-2</v>
      </c>
      <c r="J781" s="275">
        <f t="shared" si="147"/>
        <v>3.0907119163051798E-2</v>
      </c>
      <c r="K781" s="275">
        <f t="shared" si="147"/>
        <v>3.8077260420241774E-2</v>
      </c>
      <c r="L781" s="275">
        <f t="shared" si="147"/>
        <v>4.3867613073621657E-2</v>
      </c>
      <c r="M781" s="275">
        <f t="shared" si="147"/>
        <v>4.9082331653095515E-2</v>
      </c>
      <c r="N781" s="275">
        <f t="shared" si="147"/>
        <v>5.3991540057983872E-2</v>
      </c>
    </row>
    <row r="783" spans="2:14">
      <c r="D783" t="s">
        <v>79</v>
      </c>
      <c r="E783" s="261">
        <v>13267</v>
      </c>
      <c r="F783" s="261">
        <v>13750</v>
      </c>
      <c r="G783" s="261">
        <v>14161</v>
      </c>
      <c r="H783" s="261">
        <f>-' Income Statement'!C20</f>
        <v>18474</v>
      </c>
      <c r="I783" s="261">
        <f>-' Income Statement'!D20</f>
        <v>18259</v>
      </c>
      <c r="J783" s="261">
        <f>-' Income Statement'!E20</f>
        <v>22148</v>
      </c>
      <c r="K783" s="261">
        <f>-' Income Statement'!F20</f>
        <v>25735</v>
      </c>
      <c r="L783" s="261">
        <f>-' Income Statement'!G20</f>
        <v>31716</v>
      </c>
      <c r="M783" s="261">
        <f>-' Income Statement'!H20</f>
        <v>29760</v>
      </c>
      <c r="N783" s="261">
        <f>-' Income Statement'!I20</f>
        <v>30578</v>
      </c>
    </row>
    <row r="785" spans="3:14">
      <c r="D785" t="s">
        <v>551</v>
      </c>
      <c r="E785" s="276">
        <f>E773/E776</f>
        <v>25.463607594936708</v>
      </c>
      <c r="F785" s="276">
        <f t="shared" ref="F785:N785" si="148">F773/F776</f>
        <v>30.56405529953917</v>
      </c>
      <c r="G785" s="276">
        <f t="shared" si="148"/>
        <v>27.133587786259543</v>
      </c>
      <c r="H785" s="276">
        <f t="shared" si="148"/>
        <v>21.646475770925111</v>
      </c>
      <c r="I785" s="276">
        <f t="shared" si="148"/>
        <v>34.624020887728463</v>
      </c>
      <c r="J785" s="276">
        <f t="shared" si="148"/>
        <v>26.750853242320819</v>
      </c>
      <c r="K785" s="276">
        <f t="shared" si="148"/>
        <v>23.455277280858677</v>
      </c>
      <c r="L785" s="276">
        <f t="shared" si="148"/>
        <v>19.67521922702176</v>
      </c>
      <c r="M785" s="276">
        <f t="shared" si="148"/>
        <v>20.652652652652652</v>
      </c>
      <c r="N785" s="276">
        <f t="shared" si="148"/>
        <v>16.52814873003404</v>
      </c>
    </row>
    <row r="787" spans="3:14">
      <c r="D787" t="s">
        <v>78</v>
      </c>
      <c r="E787" s="46">
        <f t="shared" ref="E787:N787" si="149">365/E785</f>
        <v>14.334182563847637</v>
      </c>
      <c r="F787" s="46">
        <f t="shared" si="149"/>
        <v>11.942132561365419</v>
      </c>
      <c r="G787" s="46">
        <f t="shared" si="149"/>
        <v>13.4519623013082</v>
      </c>
      <c r="H787" s="46">
        <f t="shared" si="149"/>
        <v>16.861867209361485</v>
      </c>
      <c r="I787" s="46">
        <f t="shared" si="149"/>
        <v>10.541814342809742</v>
      </c>
      <c r="J787" s="46">
        <f t="shared" si="149"/>
        <v>13.644424598111764</v>
      </c>
      <c r="K787" s="46">
        <f t="shared" si="149"/>
        <v>15.561529954619989</v>
      </c>
      <c r="L787" s="46">
        <f t="shared" si="149"/>
        <v>18.551254539451964</v>
      </c>
      <c r="M787" s="46">
        <f t="shared" si="149"/>
        <v>17.673274525009695</v>
      </c>
      <c r="N787" s="46">
        <f t="shared" si="149"/>
        <v>22.08353796676225</v>
      </c>
    </row>
    <row r="790" spans="3:14" ht="15.6">
      <c r="C790" t="s">
        <v>27</v>
      </c>
      <c r="D790" s="157" t="s">
        <v>553</v>
      </c>
      <c r="E790" s="138">
        <v>2016</v>
      </c>
      <c r="F790" s="138">
        <f t="shared" ref="F790" si="150">E790+1</f>
        <v>2017</v>
      </c>
      <c r="G790" s="138">
        <f t="shared" ref="G790" si="151">F790+1</f>
        <v>2018</v>
      </c>
      <c r="H790" s="138">
        <f t="shared" ref="H790" si="152">G790+1</f>
        <v>2019</v>
      </c>
      <c r="I790" s="138">
        <f t="shared" ref="I790" si="153">H790+1</f>
        <v>2020</v>
      </c>
      <c r="J790" s="138">
        <f t="shared" ref="J790" si="154">I790+1</f>
        <v>2021</v>
      </c>
      <c r="K790" s="138">
        <f t="shared" ref="K790" si="155">J790+1</f>
        <v>2022</v>
      </c>
      <c r="L790" s="138">
        <f t="shared" ref="L790" si="156">K790+1</f>
        <v>2023</v>
      </c>
      <c r="M790" s="138">
        <f t="shared" ref="M790" si="157">L790+1</f>
        <v>2024</v>
      </c>
      <c r="N790" s="138">
        <f t="shared" ref="N790" si="158">M790+1</f>
        <v>2025</v>
      </c>
    </row>
    <row r="791" spans="3:14">
      <c r="D791" s="35" t="s">
        <v>538</v>
      </c>
      <c r="E791" s="277">
        <f t="shared" ref="E791:N791" si="159">E787</f>
        <v>14.334182563847637</v>
      </c>
      <c r="F791" s="277">
        <f t="shared" si="159"/>
        <v>11.942132561365419</v>
      </c>
      <c r="G791" s="277">
        <f t="shared" si="159"/>
        <v>13.4519623013082</v>
      </c>
      <c r="H791" s="277">
        <f t="shared" si="159"/>
        <v>16.861867209361485</v>
      </c>
      <c r="I791" s="277">
        <f t="shared" si="159"/>
        <v>10.541814342809742</v>
      </c>
      <c r="J791" s="277">
        <f t="shared" si="159"/>
        <v>13.644424598111764</v>
      </c>
      <c r="K791" s="277">
        <f t="shared" si="159"/>
        <v>15.561529954619989</v>
      </c>
      <c r="L791" s="277">
        <f t="shared" si="159"/>
        <v>18.551254539451964</v>
      </c>
      <c r="M791" s="277">
        <f t="shared" si="159"/>
        <v>17.673274525009695</v>
      </c>
      <c r="N791" s="277">
        <f t="shared" si="159"/>
        <v>22.08353796676225</v>
      </c>
    </row>
    <row r="792" spans="3:14">
      <c r="D792" s="29" t="s">
        <v>539</v>
      </c>
      <c r="E792" s="29">
        <v>18</v>
      </c>
      <c r="F792" s="29">
        <v>21</v>
      </c>
      <c r="G792" s="29">
        <v>23</v>
      </c>
      <c r="H792" s="29">
        <v>30</v>
      </c>
      <c r="I792" s="29">
        <v>19</v>
      </c>
      <c r="J792" s="29">
        <v>19</v>
      </c>
      <c r="K792" s="29">
        <v>15</v>
      </c>
      <c r="L792" s="29">
        <v>15</v>
      </c>
      <c r="M792" s="29">
        <v>22</v>
      </c>
      <c r="N792" s="29">
        <v>23</v>
      </c>
    </row>
    <row r="793" spans="3:14">
      <c r="D793" s="29" t="s">
        <v>540</v>
      </c>
      <c r="E793" s="29">
        <v>15</v>
      </c>
      <c r="F793" s="29">
        <v>15</v>
      </c>
      <c r="G793" s="29">
        <v>20</v>
      </c>
      <c r="H793" s="29">
        <v>26</v>
      </c>
      <c r="I793" s="29">
        <v>27</v>
      </c>
      <c r="J793" s="29">
        <v>18</v>
      </c>
      <c r="K793" s="29">
        <v>25</v>
      </c>
      <c r="L793" s="29">
        <v>38</v>
      </c>
      <c r="M793" s="29">
        <v>40</v>
      </c>
      <c r="N793" s="29">
        <v>43</v>
      </c>
    </row>
    <row r="794" spans="3:14">
      <c r="D794" s="29" t="s">
        <v>541</v>
      </c>
      <c r="E794" s="29">
        <v>7</v>
      </c>
      <c r="F794" s="29">
        <v>7</v>
      </c>
      <c r="G794" s="29">
        <v>11</v>
      </c>
      <c r="H794" s="29">
        <v>13</v>
      </c>
      <c r="I794" s="29">
        <v>10</v>
      </c>
      <c r="J794" s="29">
        <v>7</v>
      </c>
      <c r="K794" s="29">
        <v>9</v>
      </c>
      <c r="L794" s="29">
        <v>7</v>
      </c>
      <c r="M794" s="29">
        <v>9</v>
      </c>
      <c r="N794" s="29">
        <v>9</v>
      </c>
    </row>
    <row r="796" spans="3:14">
      <c r="D796" s="278" t="s">
        <v>444</v>
      </c>
      <c r="E796" s="279">
        <f>AVERAGE(E791:E794)</f>
        <v>13.583545640961908</v>
      </c>
      <c r="F796" s="279">
        <f t="shared" ref="F796:N796" si="160">AVERAGE(F791:F794)</f>
        <v>13.735533140341355</v>
      </c>
      <c r="G796" s="279">
        <f t="shared" si="160"/>
        <v>16.86299057532705</v>
      </c>
      <c r="H796" s="279">
        <f t="shared" si="160"/>
        <v>21.465466802340373</v>
      </c>
      <c r="I796" s="279">
        <f t="shared" si="160"/>
        <v>16.635453585702436</v>
      </c>
      <c r="J796" s="279">
        <f t="shared" si="160"/>
        <v>14.41110614952794</v>
      </c>
      <c r="K796" s="279">
        <f t="shared" si="160"/>
        <v>16.140382488654996</v>
      </c>
      <c r="L796" s="279">
        <f t="shared" si="160"/>
        <v>19.63781363486299</v>
      </c>
      <c r="M796" s="279">
        <f t="shared" si="160"/>
        <v>22.168318631252426</v>
      </c>
      <c r="N796" s="279">
        <f t="shared" si="160"/>
        <v>24.270884491690563</v>
      </c>
    </row>
    <row r="797" spans="3:14">
      <c r="D797" s="278" t="s">
        <v>445</v>
      </c>
      <c r="E797" s="279">
        <f>MEDIAN(E791:E794)</f>
        <v>14.667091281923819</v>
      </c>
      <c r="F797" s="279">
        <f t="shared" ref="F797:N797" si="161">MEDIAN(F791:F794)</f>
        <v>13.47106628068271</v>
      </c>
      <c r="G797" s="279">
        <f t="shared" si="161"/>
        <v>16.7259811506541</v>
      </c>
      <c r="H797" s="279">
        <f t="shared" si="161"/>
        <v>21.430933604680742</v>
      </c>
      <c r="I797" s="279">
        <f t="shared" si="161"/>
        <v>14.770907171404872</v>
      </c>
      <c r="J797" s="279">
        <f t="shared" si="161"/>
        <v>15.822212299055881</v>
      </c>
      <c r="K797" s="279">
        <f t="shared" si="161"/>
        <v>15.280764977309994</v>
      </c>
      <c r="L797" s="279">
        <f t="shared" si="161"/>
        <v>16.77562726972598</v>
      </c>
      <c r="M797" s="279">
        <f t="shared" si="161"/>
        <v>19.836637262504848</v>
      </c>
      <c r="N797" s="279">
        <f t="shared" si="161"/>
        <v>22.541768983381125</v>
      </c>
    </row>
    <row r="801" spans="3:9" ht="15.6">
      <c r="C801" t="s">
        <v>27</v>
      </c>
      <c r="D801" s="157" t="s">
        <v>552</v>
      </c>
      <c r="E801" s="138">
        <v>2024</v>
      </c>
      <c r="F801" s="138">
        <f>E801+1</f>
        <v>2025</v>
      </c>
      <c r="G801" s="138">
        <f t="shared" ref="G801" si="162">F801+1</f>
        <v>2026</v>
      </c>
      <c r="H801" s="138">
        <f t="shared" ref="H801" si="163">G801+1</f>
        <v>2027</v>
      </c>
      <c r="I801" s="138">
        <f t="shared" ref="I801" si="164">H801+1</f>
        <v>2028</v>
      </c>
    </row>
    <row r="802" spans="3:9">
      <c r="D802" t="s">
        <v>542</v>
      </c>
      <c r="E802">
        <v>18</v>
      </c>
      <c r="F802">
        <v>22</v>
      </c>
      <c r="G802">
        <v>18</v>
      </c>
      <c r="H802">
        <v>16</v>
      </c>
      <c r="I802">
        <v>16</v>
      </c>
    </row>
    <row r="803" spans="3:9">
      <c r="D803" t="s">
        <v>543</v>
      </c>
      <c r="E803">
        <v>18</v>
      </c>
      <c r="F803">
        <v>15</v>
      </c>
      <c r="G803">
        <v>15</v>
      </c>
      <c r="H803">
        <v>15</v>
      </c>
      <c r="I803">
        <v>15</v>
      </c>
    </row>
    <row r="804" spans="3:9">
      <c r="D804" t="s">
        <v>544</v>
      </c>
      <c r="F804">
        <v>20.8</v>
      </c>
      <c r="G804">
        <v>20.8</v>
      </c>
      <c r="H804">
        <v>20.8</v>
      </c>
      <c r="I804">
        <v>20.8</v>
      </c>
    </row>
    <row r="806" spans="3:9">
      <c r="D806" s="278" t="s">
        <v>444</v>
      </c>
      <c r="E806" s="279">
        <f>AVERAGE(E802:E804)</f>
        <v>18</v>
      </c>
      <c r="F806" s="279">
        <f t="shared" ref="F806:I806" si="165">AVERAGE(F802:F804)</f>
        <v>19.266666666666666</v>
      </c>
      <c r="G806" s="279">
        <f t="shared" si="165"/>
        <v>17.933333333333334</v>
      </c>
      <c r="H806" s="279">
        <f t="shared" si="165"/>
        <v>17.266666666666666</v>
      </c>
      <c r="I806" s="279">
        <f t="shared" si="165"/>
        <v>17.266666666666666</v>
      </c>
    </row>
    <row r="807" spans="3:9">
      <c r="D807" s="278" t="s">
        <v>445</v>
      </c>
      <c r="E807" s="279">
        <f>MEDIAN(E802:E804)</f>
        <v>18</v>
      </c>
      <c r="F807" s="279">
        <f t="shared" ref="F807:I807" si="166">MEDIAN(F802:F804)</f>
        <v>20.8</v>
      </c>
      <c r="G807" s="282">
        <f t="shared" si="166"/>
        <v>18</v>
      </c>
      <c r="H807" s="282">
        <f t="shared" si="166"/>
        <v>16</v>
      </c>
      <c r="I807" s="282">
        <f t="shared" si="166"/>
        <v>16</v>
      </c>
    </row>
    <row r="811" spans="3:9">
      <c r="C811" t="s">
        <v>27</v>
      </c>
      <c r="D811" s="157" t="s">
        <v>554</v>
      </c>
    </row>
    <row r="830" spans="5:11">
      <c r="E830">
        <v>2933</v>
      </c>
      <c r="F830">
        <v>240</v>
      </c>
      <c r="G830">
        <v>71</v>
      </c>
      <c r="H830">
        <v>182</v>
      </c>
      <c r="I830">
        <v>16</v>
      </c>
      <c r="J830">
        <v>62</v>
      </c>
      <c r="K830">
        <v>3504</v>
      </c>
    </row>
    <row r="831" spans="5:11">
      <c r="E831" s="51">
        <f t="shared" ref="E831:J831" si="167">E830/$K$830</f>
        <v>0.8370433789954338</v>
      </c>
      <c r="F831" s="51">
        <f t="shared" si="167"/>
        <v>6.8493150684931503E-2</v>
      </c>
      <c r="G831" s="51">
        <f t="shared" si="167"/>
        <v>2.026255707762557E-2</v>
      </c>
      <c r="H831" s="51">
        <f t="shared" si="167"/>
        <v>5.194063926940639E-2</v>
      </c>
      <c r="I831" s="51">
        <f t="shared" si="167"/>
        <v>4.5662100456621002E-3</v>
      </c>
      <c r="J831" s="51">
        <f t="shared" si="167"/>
        <v>1.7694063926940638E-2</v>
      </c>
      <c r="K831" s="14"/>
    </row>
    <row r="835" spans="3:4">
      <c r="C835" t="s">
        <v>27</v>
      </c>
      <c r="D835" s="157" t="s">
        <v>451</v>
      </c>
    </row>
    <row r="873" spans="1:22">
      <c r="A873" t="s">
        <v>27</v>
      </c>
      <c r="D873" s="157" t="s">
        <v>17</v>
      </c>
      <c r="E873" s="21"/>
      <c r="F873" s="21"/>
      <c r="G873" s="21"/>
      <c r="H873" s="21"/>
      <c r="I873" s="21"/>
      <c r="J873" s="21"/>
      <c r="K873" s="21"/>
      <c r="L873" s="21"/>
      <c r="M873" s="21"/>
      <c r="N873" s="21"/>
    </row>
    <row r="875" spans="1:22" ht="15.6">
      <c r="D875" s="157" t="s">
        <v>308</v>
      </c>
      <c r="E875" s="138">
        <v>2016</v>
      </c>
      <c r="F875" s="138">
        <f t="shared" ref="F875" si="168">E875+1</f>
        <v>2017</v>
      </c>
      <c r="G875" s="138">
        <f t="shared" ref="G875" si="169">F875+1</f>
        <v>2018</v>
      </c>
      <c r="H875" s="138">
        <f t="shared" ref="H875" si="170">G875+1</f>
        <v>2019</v>
      </c>
      <c r="I875" s="138">
        <f t="shared" ref="I875" si="171">H875+1</f>
        <v>2020</v>
      </c>
      <c r="J875" s="138">
        <f t="shared" ref="J875" si="172">I875+1</f>
        <v>2021</v>
      </c>
      <c r="K875" s="138">
        <f t="shared" ref="K875" si="173">J875+1</f>
        <v>2022</v>
      </c>
      <c r="L875" s="138">
        <f t="shared" ref="L875" si="174">K875+1</f>
        <v>2023</v>
      </c>
      <c r="M875" s="138">
        <f t="shared" ref="M875" si="175">L875+1</f>
        <v>2024</v>
      </c>
      <c r="N875" s="138">
        <f t="shared" ref="N875" si="176">M875+1</f>
        <v>2025</v>
      </c>
      <c r="P875" s="138" t="s">
        <v>444</v>
      </c>
      <c r="Q875" s="138"/>
      <c r="R875" s="138"/>
      <c r="S875" s="138"/>
      <c r="T875" s="138"/>
      <c r="U875" s="138"/>
      <c r="V875" s="138" t="s">
        <v>445</v>
      </c>
    </row>
    <row r="876" spans="1:22">
      <c r="D876" t="s">
        <v>17</v>
      </c>
      <c r="E876">
        <v>525</v>
      </c>
      <c r="F876">
        <v>598</v>
      </c>
      <c r="G876">
        <v>656</v>
      </c>
      <c r="H876">
        <v>468</v>
      </c>
      <c r="I876">
        <v>601</v>
      </c>
      <c r="J876">
        <v>497</v>
      </c>
      <c r="K876">
        <v>688</v>
      </c>
      <c r="L876">
        <v>745</v>
      </c>
      <c r="M876">
        <v>713</v>
      </c>
      <c r="N876">
        <v>955</v>
      </c>
    </row>
    <row r="877" spans="1:22">
      <c r="D877" s="118" t="s">
        <v>180</v>
      </c>
      <c r="H877" s="223">
        <f>'Balance Sheet'!C56</f>
        <v>2714</v>
      </c>
      <c r="I877" s="223">
        <f>'Balance Sheet'!D56</f>
        <v>1253</v>
      </c>
      <c r="J877" s="223">
        <f>'Balance Sheet'!E56</f>
        <v>2707</v>
      </c>
      <c r="K877" s="223">
        <f>'Balance Sheet'!F56</f>
        <v>3519</v>
      </c>
      <c r="L877" s="223">
        <f>'Balance Sheet'!G56</f>
        <v>2811</v>
      </c>
      <c r="M877" s="223">
        <f>'Balance Sheet'!H56</f>
        <v>4558</v>
      </c>
      <c r="N877" s="223">
        <f>'Balance Sheet'!I56</f>
        <v>3751</v>
      </c>
    </row>
    <row r="878" spans="1:22">
      <c r="D878" s="118" t="s">
        <v>190</v>
      </c>
      <c r="H878" s="223">
        <f>'Balance Sheet'!C60</f>
        <v>4</v>
      </c>
      <c r="I878" s="223">
        <f>'Balance Sheet'!D60</f>
        <v>0</v>
      </c>
      <c r="J878" s="223">
        <f>'Balance Sheet'!E60</f>
        <v>0</v>
      </c>
      <c r="K878" s="223">
        <f>'Balance Sheet'!F60</f>
        <v>35</v>
      </c>
      <c r="L878" s="223">
        <f>'Balance Sheet'!G60</f>
        <v>36</v>
      </c>
      <c r="M878" s="223">
        <f>'Balance Sheet'!H60</f>
        <v>38</v>
      </c>
      <c r="N878" s="223">
        <f>'Balance Sheet'!I60</f>
        <v>46</v>
      </c>
    </row>
    <row r="879" spans="1:22">
      <c r="D879" s="118" t="s">
        <v>191</v>
      </c>
      <c r="H879" s="223">
        <f>'Balance Sheet'!C61</f>
        <v>605</v>
      </c>
      <c r="I879" s="223">
        <f>'Balance Sheet'!D61</f>
        <v>1420</v>
      </c>
      <c r="J879" s="223">
        <f>'Balance Sheet'!E61</f>
        <v>1188</v>
      </c>
      <c r="K879" s="223">
        <f>'Balance Sheet'!F61</f>
        <v>1089</v>
      </c>
      <c r="L879" s="223">
        <f>'Balance Sheet'!G61</f>
        <v>1386</v>
      </c>
      <c r="M879" s="223">
        <f>'Balance Sheet'!H61</f>
        <v>1425</v>
      </c>
      <c r="N879" s="223">
        <f>'Balance Sheet'!I61</f>
        <v>1488</v>
      </c>
    </row>
    <row r="881" spans="4:22">
      <c r="D881" t="s">
        <v>12</v>
      </c>
      <c r="E881" s="223">
        <f t="shared" ref="E881:N881" si="177">E683</f>
        <v>14626</v>
      </c>
      <c r="F881" s="223">
        <f t="shared" si="177"/>
        <v>15536</v>
      </c>
      <c r="G881" s="223">
        <f t="shared" si="177"/>
        <v>17560</v>
      </c>
      <c r="H881" s="223">
        <f t="shared" si="177"/>
        <v>18256</v>
      </c>
      <c r="I881" s="223">
        <f t="shared" si="177"/>
        <v>19869</v>
      </c>
      <c r="J881" s="223">
        <f t="shared" si="177"/>
        <v>68740</v>
      </c>
      <c r="K881" s="223">
        <f t="shared" si="177"/>
        <v>70506</v>
      </c>
      <c r="L881" s="223">
        <f t="shared" si="177"/>
        <v>73077</v>
      </c>
      <c r="M881" s="223">
        <f t="shared" si="177"/>
        <v>78489</v>
      </c>
      <c r="N881" s="223">
        <f t="shared" si="177"/>
        <v>79863</v>
      </c>
    </row>
    <row r="882" spans="4:22">
      <c r="D882" t="s">
        <v>205</v>
      </c>
      <c r="E882" s="223">
        <f t="shared" ref="E882:N882" si="178">E773</f>
        <v>32186</v>
      </c>
      <c r="F882" s="223">
        <f t="shared" si="178"/>
        <v>33162</v>
      </c>
      <c r="G882" s="223">
        <f t="shared" si="178"/>
        <v>35545</v>
      </c>
      <c r="H882" s="223">
        <f t="shared" si="178"/>
        <v>39310</v>
      </c>
      <c r="I882" s="223">
        <f t="shared" si="178"/>
        <v>39783</v>
      </c>
      <c r="J882" s="223">
        <f t="shared" si="178"/>
        <v>47028</v>
      </c>
      <c r="K882" s="223">
        <f t="shared" si="178"/>
        <v>52446</v>
      </c>
      <c r="L882" s="223">
        <f t="shared" si="178"/>
        <v>60580</v>
      </c>
      <c r="M882" s="223">
        <f t="shared" si="178"/>
        <v>61896</v>
      </c>
      <c r="N882" s="223">
        <f t="shared" si="178"/>
        <v>63121</v>
      </c>
    </row>
    <row r="884" spans="4:22">
      <c r="D884" s="309" t="s">
        <v>581</v>
      </c>
      <c r="E884" s="254">
        <f>E$876/E$881</f>
        <v>3.5894981539723779E-2</v>
      </c>
      <c r="F884" s="254">
        <f t="shared" ref="F884:N884" si="179">F$876/F$881</f>
        <v>3.8491246138002061E-2</v>
      </c>
      <c r="G884" s="254">
        <f t="shared" si="179"/>
        <v>3.735763097949886E-2</v>
      </c>
      <c r="H884" s="254">
        <f t="shared" si="179"/>
        <v>2.563540753724803E-2</v>
      </c>
      <c r="I884" s="254">
        <f>I$876/I$881</f>
        <v>3.0248125220192261E-2</v>
      </c>
      <c r="J884" s="254">
        <f t="shared" si="179"/>
        <v>7.2301425661914463E-3</v>
      </c>
      <c r="K884" s="254">
        <f t="shared" si="179"/>
        <v>9.7580347771820831E-3</v>
      </c>
      <c r="L884" s="254">
        <f t="shared" si="179"/>
        <v>1.0194726110814621E-2</v>
      </c>
      <c r="M884" s="254">
        <f t="shared" si="179"/>
        <v>9.084075475544344E-3</v>
      </c>
      <c r="N884" s="254">
        <f t="shared" si="179"/>
        <v>1.1957978037389029E-2</v>
      </c>
      <c r="P884" s="310">
        <f>AVERAGE(E884:N884)</f>
        <v>2.1585234838178653E-2</v>
      </c>
      <c r="Q884" s="310"/>
      <c r="R884" s="310"/>
      <c r="S884" s="310"/>
      <c r="T884" s="310"/>
      <c r="U884" s="310"/>
      <c r="V884" s="310">
        <f>MEDIAN(E884:N884)</f>
        <v>1.879669278731853E-2</v>
      </c>
    </row>
    <row r="885" spans="4:22">
      <c r="D885" s="309" t="s">
        <v>663</v>
      </c>
      <c r="E885" s="254">
        <f>E$876/E$882</f>
        <v>1.6311439756415833E-2</v>
      </c>
      <c r="F885" s="254">
        <f t="shared" ref="F885:N885" si="180">F$876/F$882</f>
        <v>1.8032688016404317E-2</v>
      </c>
      <c r="G885" s="254">
        <f t="shared" si="180"/>
        <v>1.8455478970319312E-2</v>
      </c>
      <c r="H885" s="254">
        <f t="shared" si="180"/>
        <v>1.190536759094378E-2</v>
      </c>
      <c r="I885" s="254">
        <f>I$876/I$882</f>
        <v>1.5106955232134329E-2</v>
      </c>
      <c r="J885" s="254">
        <f t="shared" si="180"/>
        <v>1.0568172152760057E-2</v>
      </c>
      <c r="K885" s="254">
        <f t="shared" si="180"/>
        <v>1.3118254967013691E-2</v>
      </c>
      <c r="L885" s="254">
        <f t="shared" si="180"/>
        <v>1.2297788048861009E-2</v>
      </c>
      <c r="M885" s="254">
        <f t="shared" si="180"/>
        <v>1.1519322734910171E-2</v>
      </c>
      <c r="N885" s="254">
        <f t="shared" si="180"/>
        <v>1.5129671583149823E-2</v>
      </c>
      <c r="P885" s="312">
        <f>AVERAGE(E885:N885)</f>
        <v>1.4244513905291231E-2</v>
      </c>
      <c r="Q885" s="312"/>
      <c r="R885" s="312"/>
      <c r="S885" s="312"/>
      <c r="T885" s="312"/>
      <c r="U885" s="312"/>
      <c r="V885" s="312">
        <f>MEDIAN(E885:N885)</f>
        <v>1.4112605099574009E-2</v>
      </c>
    </row>
    <row r="887" spans="4:22">
      <c r="D887" s="309" t="s">
        <v>665</v>
      </c>
      <c r="E887" s="254"/>
      <c r="F887" s="254"/>
      <c r="G887" s="254"/>
      <c r="H887" s="254">
        <f>H$877/H$881</f>
        <v>0.14866345311130588</v>
      </c>
      <c r="I887" s="254">
        <f t="shared" ref="I887:N887" si="181">I$877/I$881</f>
        <v>6.3063063063063057E-2</v>
      </c>
      <c r="J887" s="254">
        <f t="shared" si="181"/>
        <v>3.9380273494326448E-2</v>
      </c>
      <c r="K887" s="254">
        <f t="shared" si="181"/>
        <v>4.9910645902476382E-2</v>
      </c>
      <c r="L887" s="254">
        <f t="shared" si="181"/>
        <v>3.8466275298657579E-2</v>
      </c>
      <c r="M887" s="254">
        <f t="shared" si="181"/>
        <v>5.8071831721642521E-2</v>
      </c>
      <c r="N887" s="254">
        <f t="shared" si="181"/>
        <v>4.6967932584551043E-2</v>
      </c>
      <c r="P887" s="310">
        <f>AVERAGE(E887:N887)</f>
        <v>6.3503353596574705E-2</v>
      </c>
      <c r="Q887" s="310"/>
      <c r="R887" s="310"/>
      <c r="S887" s="310"/>
      <c r="T887" s="310"/>
      <c r="U887" s="310"/>
      <c r="V887" s="310">
        <f>MEDIAN(E887:N887)</f>
        <v>4.9910645902476382E-2</v>
      </c>
    </row>
    <row r="888" spans="4:22">
      <c r="D888" s="309" t="s">
        <v>664</v>
      </c>
      <c r="E888" s="254"/>
      <c r="F888" s="254"/>
      <c r="G888" s="254"/>
      <c r="H888" s="254">
        <f>H$877/H$882</f>
        <v>6.9040956499618417E-2</v>
      </c>
      <c r="I888" s="254">
        <f t="shared" ref="I888:N888" si="182">I$877/I$882</f>
        <v>3.1495865067993865E-2</v>
      </c>
      <c r="J888" s="254">
        <f t="shared" si="182"/>
        <v>5.7561452751552264E-2</v>
      </c>
      <c r="K888" s="254">
        <f t="shared" si="182"/>
        <v>6.7097586088548225E-2</v>
      </c>
      <c r="L888" s="254">
        <f t="shared" si="182"/>
        <v>4.6401452624628588E-2</v>
      </c>
      <c r="M888" s="254">
        <f t="shared" si="182"/>
        <v>7.3639653612511305E-2</v>
      </c>
      <c r="N888" s="254">
        <f t="shared" si="182"/>
        <v>5.9425547757481663E-2</v>
      </c>
      <c r="P888" s="312">
        <f>AVERAGE(E888:N888)</f>
        <v>5.7808930628904902E-2</v>
      </c>
      <c r="Q888" s="312"/>
      <c r="R888" s="312"/>
      <c r="S888" s="312"/>
      <c r="T888" s="312"/>
      <c r="U888" s="312"/>
      <c r="V888" s="312">
        <f>MEDIAN(E888:N888)</f>
        <v>5.9425547757481663E-2</v>
      </c>
    </row>
    <row r="890" spans="4:22">
      <c r="D890" s="309" t="s">
        <v>666</v>
      </c>
      <c r="E890" s="254"/>
      <c r="F890" s="254"/>
      <c r="G890" s="254"/>
      <c r="H890" s="254">
        <f>H$878/H$881</f>
        <v>2.1910604732690623E-4</v>
      </c>
      <c r="I890" s="254">
        <f t="shared" ref="I890:N890" si="183">I$878/I$881</f>
        <v>0</v>
      </c>
      <c r="J890" s="254">
        <f t="shared" si="183"/>
        <v>0</v>
      </c>
      <c r="K890" s="254">
        <f t="shared" si="183"/>
        <v>4.9641165290897232E-4</v>
      </c>
      <c r="L890" s="254">
        <f t="shared" si="183"/>
        <v>4.926310603883575E-4</v>
      </c>
      <c r="M890" s="254">
        <f t="shared" si="183"/>
        <v>4.8414427499394818E-4</v>
      </c>
      <c r="N890" s="254">
        <f t="shared" si="183"/>
        <v>5.7598637667004749E-4</v>
      </c>
      <c r="P890" s="310">
        <f>AVERAGE(E890:N890)</f>
        <v>3.2403991604117594E-4</v>
      </c>
      <c r="Q890" s="310"/>
      <c r="R890" s="310"/>
      <c r="S890" s="310"/>
      <c r="T890" s="310"/>
      <c r="U890" s="310"/>
      <c r="V890" s="310">
        <f>MEDIAN(E890:N890)</f>
        <v>4.8414427499394818E-4</v>
      </c>
    </row>
    <row r="891" spans="4:22">
      <c r="D891" s="309" t="s">
        <v>667</v>
      </c>
      <c r="E891" s="254"/>
      <c r="F891" s="254"/>
      <c r="G891" s="254"/>
      <c r="H891" s="254">
        <f>H$878/H$882</f>
        <v>1.0175527855507505E-4</v>
      </c>
      <c r="I891" s="254">
        <f t="shared" ref="I891:N891" si="184">I$878/I$882</f>
        <v>0</v>
      </c>
      <c r="J891" s="254">
        <f t="shared" si="184"/>
        <v>0</v>
      </c>
      <c r="K891" s="254">
        <f t="shared" si="184"/>
        <v>6.6735308698470804E-4</v>
      </c>
      <c r="L891" s="254">
        <f t="shared" si="184"/>
        <v>5.9425552987784746E-4</v>
      </c>
      <c r="M891" s="254">
        <f t="shared" si="184"/>
        <v>6.1393304898539483E-4</v>
      </c>
      <c r="N891" s="254">
        <f t="shared" si="184"/>
        <v>7.2875905007842084E-4</v>
      </c>
      <c r="P891" s="312">
        <f>AVERAGE(E891:N891)</f>
        <v>3.8657942778306376E-4</v>
      </c>
      <c r="Q891" s="312"/>
      <c r="R891" s="312"/>
      <c r="S891" s="312"/>
      <c r="T891" s="312"/>
      <c r="U891" s="312"/>
      <c r="V891" s="312">
        <f>MEDIAN(E891:N891)</f>
        <v>5.9425552987784746E-4</v>
      </c>
    </row>
    <row r="893" spans="4:22">
      <c r="D893" s="309" t="s">
        <v>669</v>
      </c>
      <c r="E893" s="254"/>
      <c r="F893" s="254"/>
      <c r="G893" s="254"/>
      <c r="H893" s="254">
        <f>H$879/H$881</f>
        <v>3.3139789658194564E-2</v>
      </c>
      <c r="I893" s="254">
        <f t="shared" ref="I893:N893" si="185">I$879/I$881</f>
        <v>7.1468116160853593E-2</v>
      </c>
      <c r="J893" s="254">
        <f t="shared" si="185"/>
        <v>1.7282513820192028E-2</v>
      </c>
      <c r="K893" s="254">
        <f t="shared" si="185"/>
        <v>1.5445494000510596E-2</v>
      </c>
      <c r="L893" s="254">
        <f t="shared" si="185"/>
        <v>1.8966295824951764E-2</v>
      </c>
      <c r="M893" s="254">
        <f t="shared" si="185"/>
        <v>1.8155410312273058E-2</v>
      </c>
      <c r="N893" s="254">
        <f t="shared" si="185"/>
        <v>1.8631907140978926E-2</v>
      </c>
      <c r="P893" s="310">
        <f>AVERAGE(E893:N893)</f>
        <v>2.7584218131136363E-2</v>
      </c>
      <c r="Q893" s="310"/>
      <c r="R893" s="310"/>
      <c r="S893" s="310"/>
      <c r="T893" s="310"/>
      <c r="U893" s="310"/>
      <c r="V893" s="310">
        <f>MEDIAN(E893:N893)</f>
        <v>1.8631907140978926E-2</v>
      </c>
    </row>
    <row r="894" spans="4:22">
      <c r="D894" s="309" t="s">
        <v>668</v>
      </c>
      <c r="E894" s="254"/>
      <c r="F894" s="254"/>
      <c r="G894" s="254"/>
      <c r="H894" s="254">
        <f>H$879/H$882</f>
        <v>1.5390485881455101E-2</v>
      </c>
      <c r="I894" s="254">
        <f t="shared" ref="I894:N894" si="186">I$879/I$882</f>
        <v>3.5693637986074452E-2</v>
      </c>
      <c r="J894" s="254">
        <f t="shared" si="186"/>
        <v>2.5261546312834907E-2</v>
      </c>
      <c r="K894" s="254">
        <f t="shared" si="186"/>
        <v>2.0764214620752775E-2</v>
      </c>
      <c r="L894" s="254">
        <f t="shared" si="186"/>
        <v>2.2878837900297128E-2</v>
      </c>
      <c r="M894" s="254">
        <f t="shared" si="186"/>
        <v>2.3022489336952306E-2</v>
      </c>
      <c r="N894" s="254">
        <f t="shared" si="186"/>
        <v>2.3573771011232394E-2</v>
      </c>
      <c r="P894" s="312">
        <f>AVERAGE(E894:N894)</f>
        <v>2.3797854721371293E-2</v>
      </c>
      <c r="Q894" s="312"/>
      <c r="R894" s="312"/>
      <c r="S894" s="312"/>
      <c r="T894" s="312"/>
      <c r="U894" s="312"/>
      <c r="V894" s="312">
        <f>MEDIAN(E894:N894)</f>
        <v>2.3022489336952306E-2</v>
      </c>
    </row>
    <row r="899" spans="1:22">
      <c r="A899" t="s">
        <v>27</v>
      </c>
      <c r="D899" s="157" t="s">
        <v>582</v>
      </c>
      <c r="E899" s="21"/>
      <c r="F899" s="21"/>
      <c r="G899" s="21"/>
      <c r="H899" s="21"/>
      <c r="I899" s="21"/>
      <c r="J899" s="21"/>
      <c r="K899" s="21"/>
      <c r="L899" s="21"/>
      <c r="M899" s="21"/>
      <c r="N899" s="21"/>
    </row>
    <row r="901" spans="1:22" ht="15.6">
      <c r="C901" t="s">
        <v>27</v>
      </c>
      <c r="D901" s="157" t="s">
        <v>308</v>
      </c>
      <c r="E901" s="138">
        <v>2016</v>
      </c>
      <c r="F901" s="138">
        <f t="shared" ref="F901" si="187">E901+1</f>
        <v>2017</v>
      </c>
      <c r="G901" s="138">
        <f t="shared" ref="G901" si="188">F901+1</f>
        <v>2018</v>
      </c>
      <c r="H901" s="138">
        <f>G901+1</f>
        <v>2019</v>
      </c>
      <c r="I901" s="138">
        <f t="shared" ref="I901" si="189">H901+1</f>
        <v>2020</v>
      </c>
      <c r="J901" s="138">
        <f t="shared" ref="J901" si="190">I901+1</f>
        <v>2021</v>
      </c>
      <c r="K901" s="138">
        <f t="shared" ref="K901" si="191">J901+1</f>
        <v>2022</v>
      </c>
      <c r="L901" s="138">
        <f t="shared" ref="L901" si="192">K901+1</f>
        <v>2023</v>
      </c>
      <c r="M901" s="138">
        <f t="shared" ref="M901" si="193">L901+1</f>
        <v>2024</v>
      </c>
      <c r="N901" s="138">
        <f t="shared" ref="N901" si="194">M901+1</f>
        <v>2025</v>
      </c>
      <c r="P901" s="138" t="s">
        <v>444</v>
      </c>
      <c r="Q901" s="138"/>
      <c r="R901" s="138"/>
      <c r="S901" s="138"/>
      <c r="T901" s="138"/>
      <c r="U901" s="138"/>
      <c r="V901" s="138" t="s">
        <v>445</v>
      </c>
    </row>
    <row r="902" spans="1:22">
      <c r="D902" s="231" t="s">
        <v>555</v>
      </c>
      <c r="E902" s="232">
        <f>E931</f>
        <v>3777</v>
      </c>
      <c r="F902" s="232">
        <f t="shared" ref="F902:N902" si="195">F931</f>
        <v>5352</v>
      </c>
      <c r="G902" s="232">
        <f t="shared" si="195"/>
        <v>5644</v>
      </c>
      <c r="H902" s="232">
        <f t="shared" si="195"/>
        <v>6378</v>
      </c>
      <c r="I902" s="232">
        <f t="shared" si="195"/>
        <v>7979</v>
      </c>
      <c r="J902" s="232">
        <f t="shared" si="195"/>
        <v>54843</v>
      </c>
      <c r="K902" s="232">
        <f t="shared" si="195"/>
        <v>55497</v>
      </c>
      <c r="L902" s="232">
        <f t="shared" si="195"/>
        <v>58037</v>
      </c>
      <c r="M902" s="232">
        <f t="shared" si="195"/>
        <v>59721</v>
      </c>
      <c r="N902" s="232">
        <f t="shared" si="195"/>
        <v>61034</v>
      </c>
    </row>
    <row r="903" spans="1:22">
      <c r="D903" s="283" t="s">
        <v>556</v>
      </c>
      <c r="E903" s="232">
        <v>337</v>
      </c>
      <c r="F903" s="233">
        <v>752</v>
      </c>
      <c r="G903" s="232">
        <v>1224</v>
      </c>
      <c r="H903" s="232">
        <v>1744</v>
      </c>
      <c r="I903" s="232">
        <v>2500</v>
      </c>
      <c r="J903" s="232">
        <v>3481</v>
      </c>
      <c r="K903" s="232">
        <v>4105</v>
      </c>
      <c r="L903" s="232">
        <v>4886</v>
      </c>
      <c r="M903" s="232">
        <v>5707</v>
      </c>
      <c r="N903" s="232">
        <v>6430</v>
      </c>
      <c r="O903" s="223"/>
      <c r="V903" s="223"/>
    </row>
    <row r="904" spans="1:22" ht="15" thickBot="1">
      <c r="D904" s="53" t="s">
        <v>557</v>
      </c>
      <c r="E904" s="284">
        <f>E902-E903</f>
        <v>3440</v>
      </c>
      <c r="F904" s="284">
        <f t="shared" ref="F904:M904" si="196">F902-F903</f>
        <v>4600</v>
      </c>
      <c r="G904" s="284">
        <f t="shared" si="196"/>
        <v>4420</v>
      </c>
      <c r="H904" s="284">
        <f t="shared" si="196"/>
        <v>4634</v>
      </c>
      <c r="I904" s="284">
        <f t="shared" si="196"/>
        <v>5479</v>
      </c>
      <c r="J904" s="284">
        <f t="shared" si="196"/>
        <v>51362</v>
      </c>
      <c r="K904" s="284">
        <f t="shared" si="196"/>
        <v>51392</v>
      </c>
      <c r="L904" s="284">
        <f t="shared" si="196"/>
        <v>53151</v>
      </c>
      <c r="M904" s="284">
        <f t="shared" si="196"/>
        <v>54014</v>
      </c>
      <c r="N904" s="284">
        <v>54335</v>
      </c>
    </row>
    <row r="906" spans="1:22">
      <c r="D906" s="20" t="s">
        <v>12</v>
      </c>
      <c r="E906" s="261">
        <v>14794</v>
      </c>
      <c r="F906" s="261">
        <v>15706</v>
      </c>
      <c r="G906" s="261">
        <v>17862</v>
      </c>
      <c r="H906" s="261">
        <f>'Balance Sheet'!C65</f>
        <v>18629</v>
      </c>
      <c r="I906" s="261">
        <f>'Balance Sheet'!D65</f>
        <v>20153</v>
      </c>
      <c r="J906" s="261">
        <f>'Balance Sheet'!E65</f>
        <v>68757</v>
      </c>
      <c r="K906" s="261">
        <f>'Balance Sheet'!F65</f>
        <v>70517</v>
      </c>
      <c r="L906" s="261">
        <f>'Balance Sheet'!G65</f>
        <v>73087</v>
      </c>
      <c r="M906" s="261">
        <f>'Balance Sheet'!H65</f>
        <v>78499</v>
      </c>
      <c r="N906" s="261">
        <f>'Balance Sheet'!I65</f>
        <v>79880</v>
      </c>
    </row>
    <row r="907" spans="1:22">
      <c r="D907" s="20"/>
      <c r="E907" s="261"/>
      <c r="F907" s="261"/>
      <c r="G907" s="261"/>
      <c r="H907" s="261"/>
      <c r="I907" s="261"/>
      <c r="J907" s="261"/>
      <c r="K907" s="261"/>
      <c r="L907" s="261"/>
      <c r="M907" s="261"/>
      <c r="N907" s="261"/>
    </row>
    <row r="908" spans="1:22">
      <c r="D908" s="285" t="s">
        <v>558</v>
      </c>
      <c r="E908" s="286">
        <f>E904/E906</f>
        <v>0.23252670001351899</v>
      </c>
      <c r="F908" s="286">
        <f t="shared" ref="F908:N908" si="197">F904/F906</f>
        <v>0.29288170126066471</v>
      </c>
      <c r="G908" s="286">
        <f t="shared" si="197"/>
        <v>0.24745269286754004</v>
      </c>
      <c r="H908" s="286">
        <f t="shared" si="197"/>
        <v>0.2487519458908154</v>
      </c>
      <c r="I908" s="286">
        <f t="shared" si="197"/>
        <v>0.27187019302337123</v>
      </c>
      <c r="J908" s="286">
        <f t="shared" si="197"/>
        <v>0.74700757741029999</v>
      </c>
      <c r="K908" s="286">
        <f t="shared" si="197"/>
        <v>0.72878880270005819</v>
      </c>
      <c r="L908" s="286">
        <f t="shared" si="197"/>
        <v>0.72722919260607222</v>
      </c>
      <c r="M908" s="286">
        <f t="shared" si="197"/>
        <v>0.688085198537561</v>
      </c>
      <c r="N908" s="286">
        <f t="shared" si="197"/>
        <v>0.68020781171757638</v>
      </c>
      <c r="P908" s="293">
        <f>AVERAGE(E908:N908)</f>
        <v>0.48648018160274775</v>
      </c>
      <c r="Q908" s="293"/>
      <c r="R908" s="293"/>
      <c r="S908" s="293"/>
      <c r="T908" s="293"/>
      <c r="U908" s="293"/>
      <c r="V908" s="293">
        <f>MEDIAN(E908:N908)</f>
        <v>0.48654475648912054</v>
      </c>
    </row>
    <row r="910" spans="1:22">
      <c r="D910" s="20" t="s">
        <v>205</v>
      </c>
      <c r="E910" s="261">
        <f t="shared" ref="E910:N910" si="198">E773</f>
        <v>32186</v>
      </c>
      <c r="F910" s="261">
        <f t="shared" si="198"/>
        <v>33162</v>
      </c>
      <c r="G910" s="261">
        <f t="shared" si="198"/>
        <v>35545</v>
      </c>
      <c r="H910" s="261">
        <f t="shared" si="198"/>
        <v>39310</v>
      </c>
      <c r="I910" s="261">
        <f t="shared" si="198"/>
        <v>39783</v>
      </c>
      <c r="J910" s="261">
        <f t="shared" si="198"/>
        <v>47028</v>
      </c>
      <c r="K910" s="261">
        <f t="shared" si="198"/>
        <v>52446</v>
      </c>
      <c r="L910" s="261">
        <f t="shared" si="198"/>
        <v>60580</v>
      </c>
      <c r="M910" s="261">
        <f t="shared" si="198"/>
        <v>61896</v>
      </c>
      <c r="N910" s="261">
        <f t="shared" si="198"/>
        <v>63121</v>
      </c>
    </row>
    <row r="912" spans="1:22">
      <c r="D912" s="285" t="s">
        <v>559</v>
      </c>
      <c r="E912" s="286">
        <f t="shared" ref="E912:N912" si="199">E904/E910</f>
        <v>0.1068787671658485</v>
      </c>
      <c r="F912" s="286">
        <f t="shared" si="199"/>
        <v>0.13871298474157168</v>
      </c>
      <c r="G912" s="286">
        <f t="shared" si="199"/>
        <v>0.12434941623294415</v>
      </c>
      <c r="H912" s="286">
        <f t="shared" si="199"/>
        <v>0.11788349020605444</v>
      </c>
      <c r="I912" s="286">
        <f t="shared" si="199"/>
        <v>0.13772214262373375</v>
      </c>
      <c r="J912" s="286">
        <f t="shared" si="199"/>
        <v>1.0921578634005273</v>
      </c>
      <c r="K912" s="286">
        <f t="shared" si="199"/>
        <v>0.97990313846623189</v>
      </c>
      <c r="L912" s="286">
        <f t="shared" si="199"/>
        <v>0.87736876857048529</v>
      </c>
      <c r="M912" s="286">
        <f t="shared" si="199"/>
        <v>0.87265736073413469</v>
      </c>
      <c r="N912" s="286">
        <f t="shared" si="199"/>
        <v>0.86080702143502164</v>
      </c>
      <c r="P912" s="293">
        <f>AVERAGE(E912:N912)</f>
        <v>0.53084409535765542</v>
      </c>
      <c r="Q912" s="293"/>
      <c r="R912" s="293"/>
      <c r="S912" s="293"/>
      <c r="T912" s="293"/>
      <c r="U912" s="293"/>
      <c r="V912" s="293">
        <f>MEDIAN(E912:N912)</f>
        <v>0.49976000308829666</v>
      </c>
    </row>
    <row r="913" spans="3:22" s="296" customFormat="1">
      <c r="D913" s="297"/>
      <c r="E913" s="298"/>
      <c r="F913" s="298"/>
      <c r="G913" s="298"/>
      <c r="H913" s="298"/>
      <c r="I913" s="298"/>
      <c r="J913" s="298"/>
      <c r="K913" s="298"/>
      <c r="L913" s="298"/>
      <c r="M913" s="298"/>
      <c r="N913" s="298"/>
    </row>
    <row r="914" spans="3:22">
      <c r="D914" t="s">
        <v>574</v>
      </c>
      <c r="F914" s="14">
        <f t="shared" ref="F914:N914" si="200">F902/E902-1</f>
        <v>0.41699761715647332</v>
      </c>
      <c r="G914" s="14">
        <f t="shared" si="200"/>
        <v>5.4559043348280989E-2</v>
      </c>
      <c r="H914" s="14">
        <f t="shared" si="200"/>
        <v>0.13004961020552797</v>
      </c>
      <c r="I914" s="14">
        <f t="shared" si="200"/>
        <v>0.25101912825337092</v>
      </c>
      <c r="J914" s="14">
        <f t="shared" si="200"/>
        <v>5.8734177215189876</v>
      </c>
      <c r="K914" s="14">
        <f t="shared" si="200"/>
        <v>1.1924949401017404E-2</v>
      </c>
      <c r="L914" s="14">
        <f t="shared" si="200"/>
        <v>4.5768239724669701E-2</v>
      </c>
      <c r="M914" s="14">
        <f t="shared" si="200"/>
        <v>2.901597256922317E-2</v>
      </c>
      <c r="N914" s="14">
        <f t="shared" si="200"/>
        <v>2.1985566216238928E-2</v>
      </c>
    </row>
    <row r="915" spans="3:22">
      <c r="D915" t="s">
        <v>568</v>
      </c>
      <c r="E915" s="232"/>
      <c r="F915" s="232">
        <f>F902-E902</f>
        <v>1575</v>
      </c>
      <c r="G915" s="232">
        <f t="shared" ref="G915:N915" si="201">G902-F902</f>
        <v>292</v>
      </c>
      <c r="H915" s="232">
        <f t="shared" si="201"/>
        <v>734</v>
      </c>
      <c r="I915" s="232">
        <f t="shared" si="201"/>
        <v>1601</v>
      </c>
      <c r="J915" s="232">
        <f t="shared" si="201"/>
        <v>46864</v>
      </c>
      <c r="K915" s="232">
        <f t="shared" si="201"/>
        <v>654</v>
      </c>
      <c r="L915" s="232">
        <f t="shared" si="201"/>
        <v>2540</v>
      </c>
      <c r="M915" s="232">
        <f t="shared" si="201"/>
        <v>1684</v>
      </c>
      <c r="N915" s="232">
        <f t="shared" si="201"/>
        <v>1313</v>
      </c>
    </row>
    <row r="916" spans="3:22">
      <c r="D916" t="s">
        <v>569</v>
      </c>
      <c r="F916" s="223">
        <f>F910-E910</f>
        <v>976</v>
      </c>
      <c r="G916" s="223">
        <f t="shared" ref="G916:N916" si="202">G910-F910</f>
        <v>2383</v>
      </c>
      <c r="H916" s="223">
        <f t="shared" si="202"/>
        <v>3765</v>
      </c>
      <c r="I916" s="223">
        <f t="shared" si="202"/>
        <v>473</v>
      </c>
      <c r="J916" s="223">
        <f t="shared" si="202"/>
        <v>7245</v>
      </c>
      <c r="K916" s="223">
        <f t="shared" si="202"/>
        <v>5418</v>
      </c>
      <c r="L916" s="223">
        <f t="shared" si="202"/>
        <v>8134</v>
      </c>
      <c r="M916" s="223">
        <f t="shared" si="202"/>
        <v>1316</v>
      </c>
      <c r="N916" s="223">
        <f t="shared" si="202"/>
        <v>1225</v>
      </c>
    </row>
    <row r="917" spans="3:22">
      <c r="D917" s="20"/>
      <c r="F917" s="224"/>
      <c r="G917" s="224"/>
      <c r="H917" s="224"/>
      <c r="I917" s="224"/>
      <c r="J917" s="224"/>
      <c r="K917" s="224"/>
      <c r="L917" s="224"/>
      <c r="M917" s="224"/>
      <c r="N917" s="224"/>
    </row>
    <row r="918" spans="3:22">
      <c r="D918" s="285" t="s">
        <v>570</v>
      </c>
      <c r="E918" s="285"/>
      <c r="F918" s="299">
        <f>F916/F915*-1</f>
        <v>-0.61968253968253972</v>
      </c>
      <c r="G918" s="299">
        <f t="shared" ref="G918:N918" si="203">G916/G915</f>
        <v>8.1609589041095898</v>
      </c>
      <c r="H918" s="299">
        <f t="shared" si="203"/>
        <v>5.1294277929155312</v>
      </c>
      <c r="I918" s="299">
        <f t="shared" si="203"/>
        <v>0.29544034978138661</v>
      </c>
      <c r="J918" s="299">
        <f t="shared" si="203"/>
        <v>0.15459627859337657</v>
      </c>
      <c r="K918" s="299">
        <f t="shared" si="203"/>
        <v>8.2844036697247709</v>
      </c>
      <c r="L918" s="299">
        <f t="shared" si="203"/>
        <v>3.2023622047244094</v>
      </c>
      <c r="M918" s="299">
        <f t="shared" si="203"/>
        <v>0.78147268408551074</v>
      </c>
      <c r="N918" s="299">
        <f t="shared" si="203"/>
        <v>0.93297791317593293</v>
      </c>
      <c r="P918" s="299">
        <f>AVERAGE(F918:N918)</f>
        <v>2.9246619174919966</v>
      </c>
      <c r="Q918" s="299"/>
      <c r="R918" s="299"/>
      <c r="S918" s="299"/>
      <c r="T918" s="299"/>
      <c r="U918" s="299"/>
      <c r="V918" s="299">
        <f>MEDIAN(F918:N918)</f>
        <v>0.93297791317593293</v>
      </c>
    </row>
    <row r="919" spans="3:22">
      <c r="D919" s="285" t="s">
        <v>575</v>
      </c>
      <c r="E919" s="300">
        <f t="shared" ref="E919:N919" si="204">E910/E906</f>
        <v>2.1756117344869543</v>
      </c>
      <c r="F919" s="300">
        <f t="shared" si="204"/>
        <v>2.1114223863491661</v>
      </c>
      <c r="G919" s="300">
        <f t="shared" si="204"/>
        <v>1.989978725786586</v>
      </c>
      <c r="H919" s="300">
        <f t="shared" si="204"/>
        <v>2.1101508400880347</v>
      </c>
      <c r="I919" s="300">
        <f t="shared" si="204"/>
        <v>1.974048528755024</v>
      </c>
      <c r="J919" s="300">
        <f t="shared" si="204"/>
        <v>0.68397399537501635</v>
      </c>
      <c r="K919" s="300">
        <f t="shared" si="204"/>
        <v>0.74373555312903272</v>
      </c>
      <c r="L919" s="300">
        <f t="shared" si="204"/>
        <v>0.82887517615991901</v>
      </c>
      <c r="M919" s="300">
        <f t="shared" si="204"/>
        <v>0.78849412094421589</v>
      </c>
      <c r="N919" s="300">
        <f t="shared" si="204"/>
        <v>0.79019779669504253</v>
      </c>
      <c r="P919" s="299">
        <f>AVERAGE(F919:N919)</f>
        <v>1.3356530136980043</v>
      </c>
      <c r="Q919" s="299"/>
      <c r="R919" s="299"/>
      <c r="S919" s="299"/>
      <c r="T919" s="299"/>
      <c r="U919" s="299"/>
      <c r="V919" s="299">
        <f>MEDIAN(F919:N919)</f>
        <v>0.82887517615991901</v>
      </c>
    </row>
    <row r="921" spans="3:22" ht="15.6">
      <c r="C921" t="s">
        <v>27</v>
      </c>
      <c r="D921" s="157" t="s">
        <v>560</v>
      </c>
      <c r="E921" s="138">
        <v>2016</v>
      </c>
      <c r="F921" s="138">
        <f t="shared" ref="F921" si="205">E921+1</f>
        <v>2017</v>
      </c>
      <c r="G921" s="138">
        <f t="shared" ref="G921" si="206">F921+1</f>
        <v>2018</v>
      </c>
      <c r="H921" s="138">
        <f t="shared" ref="H921" si="207">G921+1</f>
        <v>2019</v>
      </c>
      <c r="I921" s="138">
        <f t="shared" ref="I921" si="208">H921+1</f>
        <v>2020</v>
      </c>
      <c r="J921" s="138">
        <f t="shared" ref="J921" si="209">I921+1</f>
        <v>2021</v>
      </c>
      <c r="K921" s="138">
        <f t="shared" ref="K921" si="210">J921+1</f>
        <v>2022</v>
      </c>
      <c r="L921" s="138">
        <f t="shared" ref="L921" si="211">K921+1</f>
        <v>2023</v>
      </c>
      <c r="M921" s="138">
        <f t="shared" ref="M921" si="212">L921+1</f>
        <v>2024</v>
      </c>
      <c r="N921" s="138">
        <f t="shared" ref="N921" si="213">M921+1</f>
        <v>2025</v>
      </c>
    </row>
    <row r="922" spans="3:22">
      <c r="D922" s="288" t="s">
        <v>561</v>
      </c>
      <c r="E922" s="289">
        <v>60</v>
      </c>
      <c r="F922" s="289">
        <v>60</v>
      </c>
      <c r="G922" s="289">
        <v>60</v>
      </c>
      <c r="H922" s="289">
        <v>59</v>
      </c>
      <c r="I922" s="289">
        <v>59</v>
      </c>
      <c r="J922" s="289">
        <v>477</v>
      </c>
      <c r="K922" s="289">
        <v>477</v>
      </c>
      <c r="L922" s="289">
        <v>476</v>
      </c>
      <c r="M922" s="289">
        <v>476</v>
      </c>
      <c r="N922" s="289">
        <v>465</v>
      </c>
      <c r="O922" s="287"/>
    </row>
    <row r="923" spans="3:22">
      <c r="D923" s="288" t="s">
        <v>562</v>
      </c>
      <c r="E923" s="289">
        <v>931</v>
      </c>
      <c r="F923" s="290">
        <v>1210</v>
      </c>
      <c r="G923" s="290">
        <v>1343</v>
      </c>
      <c r="H923" s="290">
        <v>1527</v>
      </c>
      <c r="I923" s="290">
        <v>1633</v>
      </c>
      <c r="J923" s="290">
        <v>2048</v>
      </c>
      <c r="K923" s="290">
        <v>2119</v>
      </c>
      <c r="L923" s="290">
        <v>2480</v>
      </c>
      <c r="M923" s="290">
        <v>2772</v>
      </c>
      <c r="N923" s="290">
        <v>2886</v>
      </c>
      <c r="O923" s="287"/>
    </row>
    <row r="924" spans="3:22">
      <c r="D924" s="288" t="s">
        <v>563</v>
      </c>
      <c r="E924" s="290">
        <v>2370</v>
      </c>
      <c r="F924" s="290">
        <v>3270</v>
      </c>
      <c r="G924" s="290">
        <v>3691</v>
      </c>
      <c r="H924" s="290">
        <v>4092</v>
      </c>
      <c r="I924" s="290">
        <v>4291</v>
      </c>
      <c r="J924" s="290">
        <v>5040</v>
      </c>
      <c r="K924" s="290">
        <v>5473</v>
      </c>
      <c r="L924" s="290">
        <v>6361</v>
      </c>
      <c r="M924" s="290">
        <v>7380</v>
      </c>
      <c r="N924" s="290">
        <v>8234</v>
      </c>
      <c r="O924" s="287"/>
    </row>
    <row r="925" spans="3:22">
      <c r="D925" s="288" t="s">
        <v>565</v>
      </c>
      <c r="E925" s="290">
        <v>61</v>
      </c>
      <c r="F925" s="290">
        <v>66</v>
      </c>
      <c r="G925" s="290">
        <v>76</v>
      </c>
      <c r="H925" s="290">
        <v>88</v>
      </c>
      <c r="I925" s="290">
        <v>154</v>
      </c>
      <c r="J925" s="290">
        <v>156</v>
      </c>
      <c r="K925" s="290">
        <v>152</v>
      </c>
      <c r="L925" s="290">
        <v>161</v>
      </c>
      <c r="M925" s="290">
        <v>165</v>
      </c>
      <c r="N925" s="290">
        <v>174</v>
      </c>
      <c r="O925" s="287"/>
    </row>
    <row r="926" spans="3:22">
      <c r="D926" s="288" t="s">
        <v>564</v>
      </c>
      <c r="E926" s="290">
        <v>41</v>
      </c>
      <c r="F926" s="290">
        <v>62</v>
      </c>
      <c r="G926" s="290">
        <v>74</v>
      </c>
      <c r="H926" s="290">
        <v>95</v>
      </c>
      <c r="I926" s="290">
        <v>139</v>
      </c>
      <c r="J926" s="290">
        <v>175</v>
      </c>
      <c r="K926" s="290">
        <v>181</v>
      </c>
      <c r="L926" s="290">
        <v>185</v>
      </c>
      <c r="M926" s="290">
        <v>206</v>
      </c>
      <c r="N926" s="290">
        <v>245</v>
      </c>
      <c r="O926" s="287"/>
    </row>
    <row r="927" spans="3:22">
      <c r="D927" s="288" t="s">
        <v>722</v>
      </c>
      <c r="E927" s="290">
        <v>0</v>
      </c>
      <c r="F927" s="290">
        <v>0</v>
      </c>
      <c r="G927" s="290">
        <v>0</v>
      </c>
      <c r="H927" s="290">
        <v>27</v>
      </c>
      <c r="I927" s="290">
        <v>1121</v>
      </c>
      <c r="J927" s="290">
        <v>1611</v>
      </c>
      <c r="K927" s="290">
        <v>1762</v>
      </c>
      <c r="L927" s="290">
        <v>2241</v>
      </c>
      <c r="M927" s="290">
        <v>2580</v>
      </c>
      <c r="N927" s="290">
        <v>2878</v>
      </c>
      <c r="O927" s="287"/>
    </row>
    <row r="928" spans="3:22">
      <c r="D928" s="288" t="s">
        <v>15</v>
      </c>
      <c r="E928" s="290">
        <v>12</v>
      </c>
      <c r="F928" s="290">
        <v>12</v>
      </c>
      <c r="G928" s="290">
        <v>0</v>
      </c>
      <c r="H928" s="290">
        <v>36</v>
      </c>
      <c r="I928" s="290">
        <v>117</v>
      </c>
      <c r="J928" s="290">
        <v>17316</v>
      </c>
      <c r="K928" s="290">
        <v>17316</v>
      </c>
      <c r="L928" s="290">
        <v>17466</v>
      </c>
      <c r="M928" s="290">
        <v>17466</v>
      </c>
      <c r="N928" s="290">
        <v>17466</v>
      </c>
      <c r="O928" s="287"/>
    </row>
    <row r="929" spans="3:21">
      <c r="D929" s="288" t="s">
        <v>595</v>
      </c>
      <c r="E929" s="290">
        <v>160</v>
      </c>
      <c r="F929" s="290">
        <v>471</v>
      </c>
      <c r="G929" s="290">
        <v>315</v>
      </c>
      <c r="H929" s="290">
        <v>329</v>
      </c>
      <c r="I929" s="290">
        <v>311</v>
      </c>
      <c r="J929" s="290">
        <v>27782</v>
      </c>
      <c r="K929" s="290">
        <v>27782</v>
      </c>
      <c r="L929" s="290">
        <v>28413</v>
      </c>
      <c r="M929" s="290">
        <v>28413</v>
      </c>
      <c r="N929" s="290">
        <v>28413</v>
      </c>
      <c r="O929" s="287"/>
    </row>
    <row r="930" spans="3:21">
      <c r="D930" s="288" t="s">
        <v>723</v>
      </c>
      <c r="E930" s="290">
        <v>142</v>
      </c>
      <c r="F930" s="290">
        <f>59+142</f>
        <v>201</v>
      </c>
      <c r="G930" s="290">
        <v>85</v>
      </c>
      <c r="H930" s="290">
        <v>125</v>
      </c>
      <c r="I930" s="290">
        <v>154</v>
      </c>
      <c r="J930" s="290">
        <v>238</v>
      </c>
      <c r="K930" s="290">
        <v>235</v>
      </c>
      <c r="L930" s="290">
        <v>254</v>
      </c>
      <c r="M930" s="290">
        <v>263</v>
      </c>
      <c r="N930" s="290">
        <v>273</v>
      </c>
      <c r="O930" s="287"/>
    </row>
    <row r="931" spans="3:21">
      <c r="D931" s="291" t="s">
        <v>566</v>
      </c>
      <c r="E931" s="292">
        <f t="shared" ref="E931:N931" si="214">SUM(E922:E930)</f>
        <v>3777</v>
      </c>
      <c r="F931" s="292">
        <f t="shared" si="214"/>
        <v>5352</v>
      </c>
      <c r="G931" s="292">
        <f t="shared" si="214"/>
        <v>5644</v>
      </c>
      <c r="H931" s="292">
        <f t="shared" si="214"/>
        <v>6378</v>
      </c>
      <c r="I931" s="292">
        <f t="shared" si="214"/>
        <v>7979</v>
      </c>
      <c r="J931" s="292">
        <f t="shared" si="214"/>
        <v>54843</v>
      </c>
      <c r="K931" s="292">
        <f t="shared" si="214"/>
        <v>55497</v>
      </c>
      <c r="L931" s="292">
        <f t="shared" si="214"/>
        <v>58037</v>
      </c>
      <c r="M931" s="292">
        <f t="shared" si="214"/>
        <v>59721</v>
      </c>
      <c r="N931" s="292">
        <f t="shared" si="214"/>
        <v>61034</v>
      </c>
    </row>
    <row r="933" spans="3:21" ht="15.6">
      <c r="C933" t="s">
        <v>27</v>
      </c>
      <c r="D933" s="157" t="s">
        <v>724</v>
      </c>
      <c r="E933" s="138">
        <v>2016</v>
      </c>
      <c r="F933" s="138">
        <f t="shared" ref="F933" si="215">E933+1</f>
        <v>2017</v>
      </c>
      <c r="G933" s="138">
        <f t="shared" ref="G933" si="216">F933+1</f>
        <v>2018</v>
      </c>
      <c r="H933" s="138">
        <f t="shared" ref="H933" si="217">G933+1</f>
        <v>2019</v>
      </c>
      <c r="I933" s="138">
        <f t="shared" ref="I933" si="218">H933+1</f>
        <v>2020</v>
      </c>
      <c r="J933" s="138">
        <f t="shared" ref="J933" si="219">I933+1</f>
        <v>2021</v>
      </c>
      <c r="K933" s="138">
        <f t="shared" ref="K933" si="220">J933+1</f>
        <v>2022</v>
      </c>
      <c r="L933" s="138">
        <f t="shared" ref="L933" si="221">K933+1</f>
        <v>2023</v>
      </c>
      <c r="M933" s="138">
        <f t="shared" ref="M933" si="222">L933+1</f>
        <v>2024</v>
      </c>
      <c r="N933" s="138">
        <f t="shared" ref="N933" si="223">M933+1</f>
        <v>2025</v>
      </c>
    </row>
    <row r="934" spans="3:21">
      <c r="D934" s="288" t="s">
        <v>561</v>
      </c>
      <c r="E934" s="382">
        <f>E922/E$931</f>
        <v>1.5885623510722795E-2</v>
      </c>
      <c r="F934" s="382">
        <f t="shared" ref="F934:N934" si="224">F922/F$931</f>
        <v>1.1210762331838564E-2</v>
      </c>
      <c r="G934" s="382">
        <f t="shared" si="224"/>
        <v>1.0630758327427357E-2</v>
      </c>
      <c r="H934" s="382">
        <f t="shared" si="224"/>
        <v>9.2505487613671993E-3</v>
      </c>
      <c r="I934" s="382">
        <f t="shared" si="224"/>
        <v>7.3944103271086602E-3</v>
      </c>
      <c r="J934" s="382">
        <f t="shared" si="224"/>
        <v>8.6975548383567639E-3</v>
      </c>
      <c r="K934" s="382">
        <f t="shared" si="224"/>
        <v>8.5950591923887772E-3</v>
      </c>
      <c r="L934" s="382">
        <f t="shared" si="224"/>
        <v>8.2016644554336032E-3</v>
      </c>
      <c r="M934" s="382">
        <f t="shared" si="224"/>
        <v>7.970395673213778E-3</v>
      </c>
      <c r="N934" s="382">
        <f t="shared" si="224"/>
        <v>7.6187043287348037E-3</v>
      </c>
      <c r="P934" s="20" t="s">
        <v>584</v>
      </c>
      <c r="Q934" s="20"/>
      <c r="R934" s="20"/>
      <c r="S934" s="20"/>
      <c r="T934" s="20"/>
      <c r="U934" s="20"/>
    </row>
    <row r="935" spans="3:21">
      <c r="D935" s="288" t="s">
        <v>562</v>
      </c>
      <c r="E935" s="382">
        <f t="shared" ref="E935:N935" si="225">E923/E$931</f>
        <v>0.24649192480804871</v>
      </c>
      <c r="F935" s="382">
        <f t="shared" si="225"/>
        <v>0.22608370702541106</v>
      </c>
      <c r="G935" s="382">
        <f t="shared" si="225"/>
        <v>0.23795180722891565</v>
      </c>
      <c r="H935" s="382">
        <f t="shared" si="225"/>
        <v>0.23941674506114768</v>
      </c>
      <c r="I935" s="382">
        <f t="shared" si="225"/>
        <v>0.2046622383757363</v>
      </c>
      <c r="J935" s="382">
        <f t="shared" si="225"/>
        <v>3.734296081541856E-2</v>
      </c>
      <c r="K935" s="382">
        <f t="shared" si="225"/>
        <v>3.8182244085265868E-2</v>
      </c>
      <c r="L935" s="382">
        <f t="shared" si="225"/>
        <v>4.2731361028309524E-2</v>
      </c>
      <c r="M935" s="382">
        <f t="shared" si="225"/>
        <v>4.6415833626362583E-2</v>
      </c>
      <c r="N935" s="382">
        <f t="shared" si="225"/>
        <v>4.7285119769308909E-2</v>
      </c>
    </row>
    <row r="936" spans="3:21">
      <c r="D936" s="288" t="s">
        <v>563</v>
      </c>
      <c r="E936" s="382">
        <f t="shared" ref="E936:N936" si="226">E924/E$931</f>
        <v>0.62748212867355047</v>
      </c>
      <c r="F936" s="382">
        <f t="shared" si="226"/>
        <v>0.61098654708520184</v>
      </c>
      <c r="G936" s="382">
        <f t="shared" si="226"/>
        <v>0.65396881644223959</v>
      </c>
      <c r="H936" s="382">
        <f t="shared" si="226"/>
        <v>0.64158043273753529</v>
      </c>
      <c r="I936" s="382">
        <f t="shared" si="226"/>
        <v>0.53778669006141122</v>
      </c>
      <c r="J936" s="382">
        <f t="shared" si="226"/>
        <v>9.1898692631694104E-2</v>
      </c>
      <c r="K936" s="382">
        <f t="shared" si="226"/>
        <v>9.8617943312251113E-2</v>
      </c>
      <c r="L936" s="382">
        <f t="shared" si="226"/>
        <v>0.10960249496011165</v>
      </c>
      <c r="M936" s="382">
        <f t="shared" si="226"/>
        <v>0.12357462199226403</v>
      </c>
      <c r="N936" s="382">
        <f t="shared" si="226"/>
        <v>0.13490841170495133</v>
      </c>
    </row>
    <row r="937" spans="3:21">
      <c r="D937" s="288" t="s">
        <v>565</v>
      </c>
      <c r="E937" s="382">
        <f t="shared" ref="E937:N937" si="227">E925/E$931</f>
        <v>1.6150383902568177E-2</v>
      </c>
      <c r="F937" s="382">
        <f t="shared" si="227"/>
        <v>1.2331838565022421E-2</v>
      </c>
      <c r="G937" s="382">
        <f t="shared" si="227"/>
        <v>1.3465627214741318E-2</v>
      </c>
      <c r="H937" s="382">
        <f t="shared" si="227"/>
        <v>1.3797428661022263E-2</v>
      </c>
      <c r="I937" s="382">
        <f t="shared" si="227"/>
        <v>1.9300664243639555E-2</v>
      </c>
      <c r="J937" s="382">
        <f t="shared" si="227"/>
        <v>2.8444833433619605E-3</v>
      </c>
      <c r="K937" s="382">
        <f t="shared" si="227"/>
        <v>2.7388867866731535E-3</v>
      </c>
      <c r="L937" s="382">
        <f t="shared" si="227"/>
        <v>2.7740923893378364E-3</v>
      </c>
      <c r="M937" s="382">
        <f t="shared" si="227"/>
        <v>2.7628472396644395E-3</v>
      </c>
      <c r="N937" s="382">
        <f t="shared" si="227"/>
        <v>2.8508700068814105E-3</v>
      </c>
    </row>
    <row r="938" spans="3:21">
      <c r="D938" s="288" t="s">
        <v>564</v>
      </c>
      <c r="E938" s="382">
        <f t="shared" ref="E938:N938" si="228">E926/E$931</f>
        <v>1.0855176065660577E-2</v>
      </c>
      <c r="F938" s="382">
        <f t="shared" si="228"/>
        <v>1.1584454409566517E-2</v>
      </c>
      <c r="G938" s="382">
        <f t="shared" si="228"/>
        <v>1.3111268603827072E-2</v>
      </c>
      <c r="H938" s="382">
        <f t="shared" si="228"/>
        <v>1.4894951395421763E-2</v>
      </c>
      <c r="I938" s="382">
        <f t="shared" si="228"/>
        <v>1.7420729414713624E-2</v>
      </c>
      <c r="J938" s="382">
        <f t="shared" si="228"/>
        <v>3.1909268274893788E-3</v>
      </c>
      <c r="K938" s="382">
        <f t="shared" si="228"/>
        <v>3.2614375551831632E-3</v>
      </c>
      <c r="L938" s="382">
        <f t="shared" si="228"/>
        <v>3.1876216896117994E-3</v>
      </c>
      <c r="M938" s="382">
        <f t="shared" si="228"/>
        <v>3.4493729173992399E-3</v>
      </c>
      <c r="N938" s="382">
        <f t="shared" si="228"/>
        <v>4.0141560441721005E-3</v>
      </c>
    </row>
    <row r="939" spans="3:21">
      <c r="D939" s="288" t="s">
        <v>722</v>
      </c>
      <c r="E939" s="382">
        <f t="shared" ref="E939:N939" si="229">E927/E$931</f>
        <v>0</v>
      </c>
      <c r="F939" s="382">
        <f t="shared" si="229"/>
        <v>0</v>
      </c>
      <c r="G939" s="382">
        <f t="shared" si="229"/>
        <v>0</v>
      </c>
      <c r="H939" s="382">
        <f t="shared" si="229"/>
        <v>4.2333019755409216E-3</v>
      </c>
      <c r="I939" s="382">
        <f t="shared" si="229"/>
        <v>0.14049379621506455</v>
      </c>
      <c r="J939" s="382">
        <f t="shared" si="229"/>
        <v>2.9374760680487937E-2</v>
      </c>
      <c r="K939" s="382">
        <f t="shared" si="229"/>
        <v>3.1749463934987475E-2</v>
      </c>
      <c r="L939" s="382">
        <f t="shared" si="229"/>
        <v>3.861329841308131E-2</v>
      </c>
      <c r="M939" s="382">
        <f t="shared" si="229"/>
        <v>4.3200884111116694E-2</v>
      </c>
      <c r="N939" s="382">
        <f t="shared" si="229"/>
        <v>4.7154045286233903E-2</v>
      </c>
    </row>
    <row r="940" spans="3:21">
      <c r="D940" s="288" t="s">
        <v>15</v>
      </c>
      <c r="E940" s="382">
        <f t="shared" ref="E940:N940" si="230">E928/E$931</f>
        <v>3.177124702144559E-3</v>
      </c>
      <c r="F940" s="382">
        <f t="shared" si="230"/>
        <v>2.242152466367713E-3</v>
      </c>
      <c r="G940" s="382">
        <f t="shared" si="230"/>
        <v>0</v>
      </c>
      <c r="H940" s="382">
        <f t="shared" si="230"/>
        <v>5.6444026340545629E-3</v>
      </c>
      <c r="I940" s="382">
        <f t="shared" si="230"/>
        <v>1.4663491665622258E-2</v>
      </c>
      <c r="J940" s="382">
        <f t="shared" si="230"/>
        <v>0.31573765111317764</v>
      </c>
      <c r="K940" s="382">
        <f t="shared" si="230"/>
        <v>0.31201686577652848</v>
      </c>
      <c r="L940" s="382">
        <f t="shared" si="230"/>
        <v>0.30094594827437671</v>
      </c>
      <c r="M940" s="382">
        <f t="shared" si="230"/>
        <v>0.29245993871502485</v>
      </c>
      <c r="N940" s="382">
        <f t="shared" si="230"/>
        <v>0.28616836517350985</v>
      </c>
      <c r="P940" s="20" t="s">
        <v>567</v>
      </c>
      <c r="Q940" s="20"/>
      <c r="R940" s="20"/>
      <c r="S940" s="20"/>
      <c r="T940" s="20"/>
      <c r="U940" s="20"/>
    </row>
    <row r="941" spans="3:21">
      <c r="D941" s="288" t="s">
        <v>595</v>
      </c>
      <c r="E941" s="382">
        <f t="shared" ref="E941:N941" si="231">E929/E$931</f>
        <v>4.2361662695260788E-2</v>
      </c>
      <c r="F941" s="382">
        <f t="shared" si="231"/>
        <v>8.800448430493274E-2</v>
      </c>
      <c r="G941" s="382">
        <f t="shared" si="231"/>
        <v>5.5811481218993625E-2</v>
      </c>
      <c r="H941" s="382">
        <f t="shared" si="231"/>
        <v>5.1583568516776417E-2</v>
      </c>
      <c r="I941" s="382">
        <f t="shared" si="231"/>
        <v>3.8977315453064293E-2</v>
      </c>
      <c r="J941" s="382">
        <f t="shared" si="231"/>
        <v>0.50657330926462807</v>
      </c>
      <c r="K941" s="382">
        <f t="shared" si="231"/>
        <v>0.50060363623258919</v>
      </c>
      <c r="L941" s="382">
        <f t="shared" si="231"/>
        <v>0.48956700036183814</v>
      </c>
      <c r="M941" s="382">
        <f t="shared" si="231"/>
        <v>0.47576229467021652</v>
      </c>
      <c r="N941" s="382">
        <f t="shared" si="231"/>
        <v>0.46552741095127304</v>
      </c>
    </row>
    <row r="942" spans="3:21">
      <c r="D942" s="288" t="s">
        <v>723</v>
      </c>
      <c r="E942" s="382">
        <f t="shared" ref="E942:N942" si="232">E930/E$931</f>
        <v>3.7595975642043949E-2</v>
      </c>
      <c r="F942" s="382">
        <f t="shared" si="232"/>
        <v>3.755605381165919E-2</v>
      </c>
      <c r="G942" s="382">
        <f t="shared" si="232"/>
        <v>1.5060240963855422E-2</v>
      </c>
      <c r="H942" s="382">
        <f t="shared" si="232"/>
        <v>1.9598620257133898E-2</v>
      </c>
      <c r="I942" s="382">
        <f t="shared" si="232"/>
        <v>1.9300664243639555E-2</v>
      </c>
      <c r="J942" s="382">
        <f t="shared" si="232"/>
        <v>4.3396604853855551E-3</v>
      </c>
      <c r="K942" s="382">
        <f t="shared" si="232"/>
        <v>4.2344631241328359E-3</v>
      </c>
      <c r="L942" s="382">
        <f t="shared" si="232"/>
        <v>4.3765184278994436E-3</v>
      </c>
      <c r="M942" s="382">
        <f t="shared" si="232"/>
        <v>4.4038110547378641E-3</v>
      </c>
      <c r="N942" s="382">
        <f t="shared" si="232"/>
        <v>4.4729167349346266E-3</v>
      </c>
    </row>
    <row r="943" spans="3:21">
      <c r="D943" s="291" t="s">
        <v>566</v>
      </c>
      <c r="E943" s="383">
        <f t="shared" ref="E943:N943" si="233">E931/E$931</f>
        <v>1</v>
      </c>
      <c r="F943" s="383">
        <f t="shared" si="233"/>
        <v>1</v>
      </c>
      <c r="G943" s="383">
        <f t="shared" si="233"/>
        <v>1</v>
      </c>
      <c r="H943" s="383">
        <f t="shared" si="233"/>
        <v>1</v>
      </c>
      <c r="I943" s="383">
        <f t="shared" si="233"/>
        <v>1</v>
      </c>
      <c r="J943" s="383">
        <f t="shared" si="233"/>
        <v>1</v>
      </c>
      <c r="K943" s="383">
        <f t="shared" si="233"/>
        <v>1</v>
      </c>
      <c r="L943" s="383">
        <f t="shared" si="233"/>
        <v>1</v>
      </c>
      <c r="M943" s="383">
        <f t="shared" si="233"/>
        <v>1</v>
      </c>
      <c r="N943" s="383">
        <f t="shared" si="233"/>
        <v>1</v>
      </c>
    </row>
    <row r="944" spans="3:21">
      <c r="D944" s="380"/>
      <c r="E944" s="381"/>
      <c r="F944" s="381"/>
      <c r="G944" s="381"/>
      <c r="H944" s="381"/>
      <c r="I944" s="381"/>
      <c r="J944" s="381"/>
      <c r="K944" s="381"/>
      <c r="L944" s="381"/>
      <c r="M944" s="381"/>
      <c r="N944" s="381"/>
    </row>
    <row r="947" spans="2:22" ht="15.6">
      <c r="C947" t="s">
        <v>27</v>
      </c>
      <c r="D947" s="157" t="s">
        <v>308</v>
      </c>
      <c r="E947" s="138">
        <v>2016</v>
      </c>
      <c r="F947" s="138">
        <f t="shared" ref="F947" si="234">E947+1</f>
        <v>2017</v>
      </c>
      <c r="G947" s="138">
        <f t="shared" ref="G947" si="235">F947+1</f>
        <v>2018</v>
      </c>
      <c r="H947" s="138">
        <f t="shared" ref="H947" si="236">G947+1</f>
        <v>2019</v>
      </c>
      <c r="I947" s="138">
        <f t="shared" ref="I947" si="237">H947+1</f>
        <v>2020</v>
      </c>
      <c r="J947" s="138">
        <f t="shared" ref="J947" si="238">I947+1</f>
        <v>2021</v>
      </c>
      <c r="K947" s="138">
        <f t="shared" ref="K947" si="239">J947+1</f>
        <v>2022</v>
      </c>
      <c r="L947" s="138">
        <f t="shared" ref="L947" si="240">K947+1</f>
        <v>2023</v>
      </c>
      <c r="M947" s="138">
        <f t="shared" ref="M947" si="241">L947+1</f>
        <v>2024</v>
      </c>
      <c r="N947" s="138">
        <f t="shared" ref="N947" si="242">M947+1</f>
        <v>2025</v>
      </c>
    </row>
    <row r="948" spans="2:22">
      <c r="D948" t="s">
        <v>568</v>
      </c>
      <c r="E948" s="290"/>
      <c r="F948" s="290">
        <f t="shared" ref="F948:N948" si="243">F915</f>
        <v>1575</v>
      </c>
      <c r="G948" s="290">
        <f t="shared" si="243"/>
        <v>292</v>
      </c>
      <c r="H948" s="290">
        <f t="shared" si="243"/>
        <v>734</v>
      </c>
      <c r="I948" s="290">
        <f t="shared" si="243"/>
        <v>1601</v>
      </c>
      <c r="J948" s="290">
        <f t="shared" si="243"/>
        <v>46864</v>
      </c>
      <c r="K948" s="290">
        <f t="shared" si="243"/>
        <v>654</v>
      </c>
      <c r="L948" s="290">
        <f t="shared" si="243"/>
        <v>2540</v>
      </c>
      <c r="M948" s="290">
        <f t="shared" si="243"/>
        <v>1684</v>
      </c>
      <c r="N948" s="290">
        <f t="shared" si="243"/>
        <v>1313</v>
      </c>
    </row>
    <row r="949" spans="2:22">
      <c r="D949" t="s">
        <v>571</v>
      </c>
      <c r="F949" s="290">
        <f t="shared" ref="F949:N949" si="244">F903</f>
        <v>752</v>
      </c>
      <c r="G949" s="290">
        <f t="shared" si="244"/>
        <v>1224</v>
      </c>
      <c r="H949" s="290">
        <f t="shared" si="244"/>
        <v>1744</v>
      </c>
      <c r="I949" s="290">
        <f t="shared" si="244"/>
        <v>2500</v>
      </c>
      <c r="J949" s="290">
        <f t="shared" si="244"/>
        <v>3481</v>
      </c>
      <c r="K949" s="290">
        <f t="shared" si="244"/>
        <v>4105</v>
      </c>
      <c r="L949" s="290">
        <f t="shared" si="244"/>
        <v>4886</v>
      </c>
      <c r="M949" s="290">
        <f t="shared" si="244"/>
        <v>5707</v>
      </c>
      <c r="N949" s="290">
        <f t="shared" si="244"/>
        <v>6430</v>
      </c>
    </row>
    <row r="951" spans="2:22">
      <c r="D951" s="40" t="s">
        <v>572</v>
      </c>
      <c r="E951" s="40"/>
      <c r="F951" s="294">
        <f>IF(F948&gt;F949,F949,0)</f>
        <v>752</v>
      </c>
      <c r="G951" s="295">
        <f>G948</f>
        <v>292</v>
      </c>
      <c r="H951" s="295">
        <f t="shared" ref="H951:I951" si="245">H948</f>
        <v>734</v>
      </c>
      <c r="I951" s="295">
        <f t="shared" si="245"/>
        <v>1601</v>
      </c>
      <c r="J951" s="294">
        <f t="shared" ref="J951" si="246">IF(J948&gt;J949,J949,0)</f>
        <v>3481</v>
      </c>
      <c r="K951" s="295">
        <f>K948</f>
        <v>654</v>
      </c>
      <c r="L951" s="295">
        <f t="shared" ref="L951:N951" si="247">L948</f>
        <v>2540</v>
      </c>
      <c r="M951" s="295">
        <f t="shared" si="247"/>
        <v>1684</v>
      </c>
      <c r="N951" s="295">
        <f t="shared" si="247"/>
        <v>1313</v>
      </c>
    </row>
    <row r="952" spans="2:22">
      <c r="D952" t="s">
        <v>573</v>
      </c>
      <c r="F952" s="223">
        <f>IF(F951&lt;F948,F948-F951,0)</f>
        <v>823</v>
      </c>
      <c r="J952" s="223">
        <f>IF(J951&lt;J948,J948-J951,0)</f>
        <v>43383</v>
      </c>
    </row>
    <row r="953" spans="2:22">
      <c r="F953" s="223"/>
      <c r="J953" s="223"/>
    </row>
    <row r="954" spans="2:22">
      <c r="D954" s="18" t="s">
        <v>578</v>
      </c>
      <c r="E954" s="18"/>
      <c r="F954" s="33">
        <f t="shared" ref="F954:N954" si="248">F948/F910</f>
        <v>4.7494119775646826E-2</v>
      </c>
      <c r="G954" s="33">
        <f t="shared" si="248"/>
        <v>8.2149388099592071E-3</v>
      </c>
      <c r="H954" s="33">
        <f t="shared" si="248"/>
        <v>1.8672093614856271E-2</v>
      </c>
      <c r="I954" s="33">
        <f t="shared" si="248"/>
        <v>4.0243320011059999E-2</v>
      </c>
      <c r="J954" s="33">
        <f t="shared" si="248"/>
        <v>0.99651271582886791</v>
      </c>
      <c r="K954" s="33">
        <f t="shared" si="248"/>
        <v>1.2469969111085688E-2</v>
      </c>
      <c r="L954" s="33">
        <f t="shared" si="248"/>
        <v>4.1928029052492571E-2</v>
      </c>
      <c r="M954" s="33">
        <f t="shared" si="248"/>
        <v>2.7206927749773815E-2</v>
      </c>
      <c r="N954" s="33">
        <f t="shared" si="248"/>
        <v>2.0801318103325358E-2</v>
      </c>
      <c r="O954" s="20"/>
      <c r="P954" s="303">
        <f>AVERAGE(F954:I954,K954:N954)</f>
        <v>2.7128839528524969E-2</v>
      </c>
      <c r="Q954" s="303"/>
      <c r="R954" s="303"/>
      <c r="S954" s="303"/>
      <c r="T954" s="303"/>
      <c r="U954" s="303"/>
      <c r="V954" s="303">
        <f>MEDIAN(F954:I954,K954:N954)</f>
        <v>2.4004122926549586E-2</v>
      </c>
    </row>
    <row r="956" spans="2:22">
      <c r="B956" t="s">
        <v>27</v>
      </c>
      <c r="D956" s="157" t="s">
        <v>438</v>
      </c>
      <c r="E956" s="157"/>
      <c r="F956" s="157"/>
      <c r="G956" s="157"/>
      <c r="H956" s="157"/>
      <c r="I956" s="157"/>
      <c r="J956" s="157"/>
      <c r="K956" s="157"/>
      <c r="L956" s="157"/>
      <c r="M956" s="157"/>
      <c r="N956" s="157"/>
    </row>
    <row r="958" spans="2:22">
      <c r="D958" s="157" t="s">
        <v>538</v>
      </c>
      <c r="E958" s="162" t="s">
        <v>576</v>
      </c>
    </row>
    <row r="968" spans="9:9">
      <c r="I968" s="20" t="s">
        <v>577</v>
      </c>
    </row>
    <row r="981" spans="2:14">
      <c r="B981" t="s">
        <v>27</v>
      </c>
      <c r="D981" s="157" t="s">
        <v>461</v>
      </c>
      <c r="E981" s="157"/>
      <c r="F981" s="157"/>
      <c r="G981" s="157"/>
      <c r="H981" s="157"/>
      <c r="I981" s="157"/>
      <c r="J981" s="157"/>
      <c r="K981" s="157"/>
      <c r="L981" s="157"/>
      <c r="M981" s="157"/>
      <c r="N981" s="157"/>
    </row>
    <row r="983" spans="2:14">
      <c r="E983">
        <v>2025</v>
      </c>
      <c r="F983">
        <v>2026</v>
      </c>
      <c r="G983">
        <v>2027</v>
      </c>
    </row>
    <row r="984" spans="2:14">
      <c r="D984" t="s">
        <v>94</v>
      </c>
      <c r="E984">
        <v>1314</v>
      </c>
      <c r="F984" s="301">
        <v>1291.3</v>
      </c>
      <c r="G984" s="302">
        <v>1324.5</v>
      </c>
    </row>
    <row r="997" spans="3:24" ht="15.6">
      <c r="C997" t="s">
        <v>27</v>
      </c>
      <c r="D997" s="157" t="s">
        <v>308</v>
      </c>
      <c r="E997" s="138">
        <v>2019</v>
      </c>
      <c r="F997" s="138">
        <f t="shared" ref="F997" si="249">E997+1</f>
        <v>2020</v>
      </c>
      <c r="G997" s="138">
        <f t="shared" ref="G997" si="250">F997+1</f>
        <v>2021</v>
      </c>
      <c r="H997" s="138">
        <f t="shared" ref="H997" si="251">G997+1</f>
        <v>2022</v>
      </c>
      <c r="I997" s="138">
        <f t="shared" ref="I997" si="252">H997+1</f>
        <v>2023</v>
      </c>
      <c r="J997" s="138">
        <f t="shared" ref="J997" si="253">I997+1</f>
        <v>2024</v>
      </c>
      <c r="K997" s="138">
        <f t="shared" ref="K997" si="254">J997+1</f>
        <v>2025</v>
      </c>
      <c r="L997" s="138">
        <f t="shared" ref="L997" si="255">K997+1</f>
        <v>2026</v>
      </c>
      <c r="M997" s="138">
        <f t="shared" ref="M997" si="256">L997+1</f>
        <v>2027</v>
      </c>
      <c r="N997" s="138">
        <f t="shared" ref="N997" si="257">M997+1</f>
        <v>2028</v>
      </c>
      <c r="O997" s="138">
        <f t="shared" ref="O997" si="258">N997+1</f>
        <v>2029</v>
      </c>
      <c r="P997" s="138">
        <f t="shared" ref="P997" si="259">O997+1</f>
        <v>2030</v>
      </c>
      <c r="Q997" s="138"/>
      <c r="R997" s="138"/>
      <c r="S997" s="138"/>
      <c r="T997" s="138"/>
      <c r="U997" s="138"/>
    </row>
    <row r="998" spans="3:24">
      <c r="D998" s="118" t="s">
        <v>188</v>
      </c>
      <c r="E998" s="130">
        <f>'Balance Sheet'!C39</f>
        <v>4170</v>
      </c>
      <c r="F998" s="130">
        <f>'Balance Sheet'!D39</f>
        <v>4109</v>
      </c>
      <c r="G998" s="130">
        <f>'Balance Sheet'!E39</f>
        <v>5067</v>
      </c>
      <c r="H998" s="130">
        <f>'Balance Sheet'!F39</f>
        <v>5101</v>
      </c>
      <c r="I998" s="130">
        <f>'Balance Sheet'!G39</f>
        <v>5767</v>
      </c>
      <c r="J998" s="130">
        <f>'Balance Sheet'!H39</f>
        <v>6517</v>
      </c>
      <c r="K998" s="130">
        <f>'Balance Sheet'!I39</f>
        <v>6941</v>
      </c>
    </row>
    <row r="999" spans="3:24">
      <c r="D999" t="s">
        <v>586</v>
      </c>
      <c r="E999" s="223">
        <f>H930</f>
        <v>125</v>
      </c>
      <c r="F999" s="223">
        <f t="shared" ref="F999:K999" si="260">I930</f>
        <v>154</v>
      </c>
      <c r="G999" s="223">
        <f t="shared" si="260"/>
        <v>238</v>
      </c>
      <c r="H999" s="223">
        <f t="shared" si="260"/>
        <v>235</v>
      </c>
      <c r="I999" s="223">
        <f t="shared" si="260"/>
        <v>254</v>
      </c>
      <c r="J999" s="223">
        <f t="shared" si="260"/>
        <v>263</v>
      </c>
      <c r="K999" s="223">
        <f t="shared" si="260"/>
        <v>273</v>
      </c>
    </row>
    <row r="1000" spans="3:24">
      <c r="D1000" s="39" t="s">
        <v>12</v>
      </c>
      <c r="E1000" s="323">
        <f t="shared" ref="E1000:K1000" si="261">SUM(E998:E999)</f>
        <v>4295</v>
      </c>
      <c r="F1000" s="323">
        <f t="shared" si="261"/>
        <v>4263</v>
      </c>
      <c r="G1000" s="323">
        <f t="shared" si="261"/>
        <v>5305</v>
      </c>
      <c r="H1000" s="323">
        <f t="shared" si="261"/>
        <v>5336</v>
      </c>
      <c r="I1000" s="323">
        <f t="shared" si="261"/>
        <v>6021</v>
      </c>
      <c r="J1000" s="323">
        <f t="shared" si="261"/>
        <v>6780</v>
      </c>
      <c r="K1000" s="323">
        <f t="shared" si="261"/>
        <v>7214</v>
      </c>
      <c r="L1000" s="384">
        <f>K1000+L1006</f>
        <v>8625.5824117793782</v>
      </c>
      <c r="M1000" s="384">
        <f t="shared" ref="M1000:P1000" si="262">L1000+M1006</f>
        <v>10161.161042310472</v>
      </c>
      <c r="N1000" s="384">
        <f t="shared" si="262"/>
        <v>11832.961830676579</v>
      </c>
      <c r="O1000" s="384">
        <f t="shared" si="262"/>
        <v>13654.512827721608</v>
      </c>
      <c r="P1000" s="384">
        <f t="shared" si="262"/>
        <v>15640.789971558343</v>
      </c>
      <c r="Q1000" s="470"/>
      <c r="R1000" s="470"/>
      <c r="S1000" s="470"/>
      <c r="T1000" s="470"/>
      <c r="U1000" s="470"/>
    </row>
    <row r="1001" spans="3:24">
      <c r="D1001" t="s">
        <v>725</v>
      </c>
      <c r="L1001" s="14">
        <f>L1000/K1000-1</f>
        <v>0.19567263817291081</v>
      </c>
      <c r="M1001" s="14">
        <f t="shared" ref="M1001:P1001" si="263">M1000/L1000-1</f>
        <v>0.17802608070082981</v>
      </c>
      <c r="N1001" s="14">
        <f t="shared" si="263"/>
        <v>0.16452852005836993</v>
      </c>
      <c r="O1001" s="14">
        <f t="shared" si="263"/>
        <v>0.15393871991733432</v>
      </c>
      <c r="P1001" s="14">
        <f t="shared" si="263"/>
        <v>0.14546671630819108</v>
      </c>
      <c r="Q1001" s="14"/>
      <c r="R1001" s="14"/>
      <c r="S1001" s="14"/>
      <c r="T1001" s="14"/>
      <c r="U1001" s="14"/>
    </row>
    <row r="1002" spans="3:24">
      <c r="D1002" s="118"/>
      <c r="E1002" s="232"/>
      <c r="F1002" s="232"/>
      <c r="G1002" s="232"/>
      <c r="H1002" s="232"/>
      <c r="I1002" s="232"/>
      <c r="J1002" s="232"/>
      <c r="K1002" s="232"/>
      <c r="L1002" s="232"/>
      <c r="M1002" s="232"/>
      <c r="N1002" s="232"/>
    </row>
    <row r="1003" spans="3:24">
      <c r="D1003" s="118"/>
      <c r="E1003" s="232"/>
      <c r="F1003" s="232"/>
      <c r="G1003" s="232"/>
      <c r="H1003" s="232"/>
      <c r="I1003" s="232"/>
      <c r="J1003" s="232"/>
      <c r="K1003" s="232"/>
      <c r="L1003" s="232"/>
      <c r="M1003" s="232"/>
      <c r="N1003" s="232"/>
    </row>
    <row r="1004" spans="3:24">
      <c r="D1004" s="118" t="s">
        <v>631</v>
      </c>
      <c r="E1004" s="232"/>
      <c r="F1004" s="232"/>
      <c r="G1004" s="232"/>
      <c r="H1004" s="232"/>
      <c r="I1004" s="232"/>
      <c r="J1004" s="232"/>
      <c r="K1004" s="232"/>
      <c r="L1004" s="232"/>
      <c r="M1004" s="232"/>
      <c r="N1004" s="232"/>
    </row>
    <row r="1005" spans="3:24" ht="15.6">
      <c r="C1005" t="s">
        <v>27</v>
      </c>
      <c r="D1005" s="157" t="s">
        <v>308</v>
      </c>
      <c r="E1005" s="138">
        <v>2019</v>
      </c>
      <c r="F1005" s="138">
        <f t="shared" ref="F1005" si="264">E1005+1</f>
        <v>2020</v>
      </c>
      <c r="G1005" s="138">
        <f t="shared" ref="G1005" si="265">F1005+1</f>
        <v>2021</v>
      </c>
      <c r="H1005" s="138">
        <f t="shared" ref="H1005" si="266">G1005+1</f>
        <v>2022</v>
      </c>
      <c r="I1005" s="138">
        <f t="shared" ref="I1005" si="267">H1005+1</f>
        <v>2023</v>
      </c>
      <c r="J1005" s="138">
        <f t="shared" ref="J1005" si="268">I1005+1</f>
        <v>2024</v>
      </c>
      <c r="K1005" s="138">
        <f t="shared" ref="K1005" si="269">J1005+1</f>
        <v>2025</v>
      </c>
      <c r="L1005" s="138">
        <f t="shared" ref="L1005" si="270">K1005+1</f>
        <v>2026</v>
      </c>
      <c r="M1005" s="138">
        <f t="shared" ref="M1005" si="271">L1005+1</f>
        <v>2027</v>
      </c>
      <c r="N1005" s="138">
        <f t="shared" ref="N1005" si="272">M1005+1</f>
        <v>2028</v>
      </c>
      <c r="O1005" s="138">
        <f t="shared" ref="O1005" si="273">N1005+1</f>
        <v>2029</v>
      </c>
      <c r="P1005" s="138">
        <f t="shared" ref="P1005" si="274">O1005+1</f>
        <v>2030</v>
      </c>
      <c r="Q1005" s="138">
        <f t="shared" ref="Q1005" si="275">P1005+1</f>
        <v>2031</v>
      </c>
      <c r="R1005" s="138">
        <f t="shared" ref="R1005" si="276">Q1005+1</f>
        <v>2032</v>
      </c>
      <c r="S1005" s="138">
        <f t="shared" ref="S1005" si="277">R1005+1</f>
        <v>2033</v>
      </c>
      <c r="T1005" s="138">
        <f t="shared" ref="T1005" si="278">S1005+1</f>
        <v>2034</v>
      </c>
      <c r="U1005" s="138">
        <f t="shared" ref="U1005" si="279">T1005+1</f>
        <v>2035</v>
      </c>
      <c r="W1005" s="157" t="s">
        <v>629</v>
      </c>
      <c r="X1005" s="157" t="s">
        <v>445</v>
      </c>
    </row>
    <row r="1006" spans="3:24">
      <c r="D1006" s="118" t="s">
        <v>94</v>
      </c>
      <c r="E1006">
        <v>695</v>
      </c>
      <c r="F1006">
        <v>850</v>
      </c>
      <c r="G1006">
        <v>741</v>
      </c>
      <c r="H1006" s="232">
        <v>1225</v>
      </c>
      <c r="I1006" s="232">
        <v>1174</v>
      </c>
      <c r="J1006" s="232">
        <v>1468</v>
      </c>
      <c r="K1006" s="232">
        <v>1254</v>
      </c>
      <c r="L1006" s="232">
        <f t="shared" ref="L1006" si="280">L1008*L1009</f>
        <v>1411.5824117793791</v>
      </c>
      <c r="M1006" s="232">
        <f>M1008*M1009</f>
        <v>1535.578630531093</v>
      </c>
      <c r="N1006" s="232">
        <f t="shared" ref="N1006:P1006" si="281">N1008*N1009</f>
        <v>1671.8007883661073</v>
      </c>
      <c r="O1006" s="232">
        <f t="shared" si="281"/>
        <v>1821.5509970450291</v>
      </c>
      <c r="P1006" s="232">
        <f t="shared" si="281"/>
        <v>1986.2771438367338</v>
      </c>
      <c r="Q1006" s="232">
        <f t="shared" ref="Q1006:U1006" si="282">Q1008*Q1009</f>
        <v>2167.5897361725765</v>
      </c>
      <c r="R1006" s="232">
        <f t="shared" si="282"/>
        <v>2362.8172752872911</v>
      </c>
      <c r="S1006" s="232">
        <f t="shared" si="282"/>
        <v>2563.4336640424031</v>
      </c>
      <c r="T1006" s="232">
        <f t="shared" si="282"/>
        <v>2767.9695557123518</v>
      </c>
      <c r="U1006" s="232">
        <f t="shared" si="282"/>
        <v>2974.993282592317</v>
      </c>
    </row>
    <row r="1007" spans="3:24">
      <c r="D1007" s="118"/>
      <c r="E1007" s="232"/>
      <c r="F1007" s="232"/>
      <c r="G1007" s="232"/>
      <c r="H1007" s="232"/>
      <c r="I1007" s="232"/>
      <c r="J1007" s="232"/>
      <c r="K1007" s="232"/>
      <c r="L1007" s="232"/>
      <c r="M1007" s="232"/>
      <c r="N1007" s="232"/>
    </row>
    <row r="1008" spans="3:24">
      <c r="D1008" s="118" t="s">
        <v>628</v>
      </c>
      <c r="E1008" s="232">
        <f t="shared" ref="E1008:K1008" si="283">H882</f>
        <v>39310</v>
      </c>
      <c r="F1008" s="232">
        <f t="shared" si="283"/>
        <v>39783</v>
      </c>
      <c r="G1008" s="232">
        <f t="shared" si="283"/>
        <v>47028</v>
      </c>
      <c r="H1008" s="232">
        <f t="shared" si="283"/>
        <v>52446</v>
      </c>
      <c r="I1008" s="232">
        <f t="shared" si="283"/>
        <v>60580</v>
      </c>
      <c r="J1008" s="232">
        <f t="shared" si="283"/>
        <v>61896</v>
      </c>
      <c r="K1008" s="232">
        <f t="shared" si="283"/>
        <v>63121</v>
      </c>
      <c r="L1008" s="232">
        <f>'3Statement Model'!J13</f>
        <v>68610.580000000016</v>
      </c>
      <c r="M1008" s="232">
        <f>'3Statement Model'!K13</f>
        <v>74637.470400000006</v>
      </c>
      <c r="N1008" s="232">
        <f>'3Statement Model'!L13</f>
        <v>81258.607912000007</v>
      </c>
      <c r="O1008" s="232">
        <f>'3Statement Model'!M13</f>
        <v>88537.282247160038</v>
      </c>
      <c r="P1008" s="232">
        <f>'3Statement Model'!N13</f>
        <v>96543.868598924819</v>
      </c>
      <c r="Q1008" s="232">
        <f>'3Statement Model'!O13</f>
        <v>105356.64638480304</v>
      </c>
      <c r="R1008" s="232">
        <f>'3Statement Model'!P13</f>
        <v>114845.76623983758</v>
      </c>
      <c r="S1008" s="232">
        <f>'3Statement Model'!Q13</f>
        <v>124596.8134866242</v>
      </c>
      <c r="T1008" s="232">
        <f>'3Statement Model'!R13</f>
        <v>134538.36988544796</v>
      </c>
      <c r="U1008" s="232">
        <f>'3Statement Model'!S13</f>
        <v>144600.84860186314</v>
      </c>
    </row>
    <row r="1009" spans="1:24">
      <c r="D1009" s="118" t="s">
        <v>630</v>
      </c>
      <c r="E1009" s="334">
        <f>E1006/E1008</f>
        <v>1.7679979648944289E-2</v>
      </c>
      <c r="F1009" s="334">
        <f t="shared" ref="F1009:K1009" si="284">F1006/F1008</f>
        <v>2.136591006208682E-2</v>
      </c>
      <c r="G1009" s="334">
        <f t="shared" si="284"/>
        <v>1.5756570553712681E-2</v>
      </c>
      <c r="H1009" s="334">
        <f t="shared" si="284"/>
        <v>2.3357358044464784E-2</v>
      </c>
      <c r="I1009" s="334">
        <f t="shared" si="284"/>
        <v>1.9379333113238691E-2</v>
      </c>
      <c r="J1009" s="334">
        <f t="shared" si="284"/>
        <v>2.3717203050277885E-2</v>
      </c>
      <c r="K1009" s="334">
        <f t="shared" si="284"/>
        <v>1.986660540865956E-2</v>
      </c>
      <c r="L1009" s="51">
        <v>2.0573830038740071E-2</v>
      </c>
      <c r="M1009" s="51">
        <v>2.0573830038740071E-2</v>
      </c>
      <c r="N1009" s="51">
        <v>2.0573830038740071E-2</v>
      </c>
      <c r="O1009" s="51">
        <v>2.0573830038740071E-2</v>
      </c>
      <c r="P1009" s="51">
        <v>2.0573830038740071E-2</v>
      </c>
      <c r="Q1009" s="51">
        <v>2.0573830038740071E-2</v>
      </c>
      <c r="R1009" s="51">
        <v>2.0573830038740071E-2</v>
      </c>
      <c r="S1009" s="51">
        <v>2.0573830038740071E-2</v>
      </c>
      <c r="T1009" s="51">
        <v>2.0573830038740071E-2</v>
      </c>
      <c r="U1009" s="51">
        <v>2.0573830038740071E-2</v>
      </c>
      <c r="W1009" s="51">
        <f>AVERAGE(F1009:K1009)</f>
        <v>2.0573830038740071E-2</v>
      </c>
      <c r="X1009" s="51">
        <f>MEDIAN(F1009:K1009)</f>
        <v>2.0616257735373192E-2</v>
      </c>
    </row>
    <row r="1010" spans="1:24">
      <c r="D1010" s="118"/>
      <c r="E1010" s="232"/>
      <c r="F1010" s="232"/>
      <c r="G1010" s="232"/>
      <c r="H1010" s="232"/>
      <c r="I1010" s="232"/>
      <c r="J1010" s="232"/>
      <c r="K1010" s="232"/>
      <c r="L1010" s="232"/>
      <c r="M1010" s="232"/>
      <c r="N1010" s="232"/>
    </row>
    <row r="1011" spans="1:24">
      <c r="D1011" s="40" t="s">
        <v>572</v>
      </c>
      <c r="E1011" s="295">
        <v>707</v>
      </c>
      <c r="F1011" s="295">
        <v>1520</v>
      </c>
      <c r="G1011" s="294">
        <v>3481</v>
      </c>
      <c r="H1011" s="295">
        <v>654</v>
      </c>
      <c r="I1011" s="295">
        <v>1986</v>
      </c>
      <c r="J1011" s="295">
        <v>1887</v>
      </c>
      <c r="K1011" s="295">
        <v>1314</v>
      </c>
      <c r="L1011" s="295"/>
      <c r="M1011" s="295"/>
      <c r="N1011" s="295"/>
    </row>
    <row r="1012" spans="1:24">
      <c r="D1012" t="s">
        <v>573</v>
      </c>
      <c r="G1012" s="223">
        <v>43464</v>
      </c>
    </row>
    <row r="1014" spans="1:24">
      <c r="A1014" t="s">
        <v>27</v>
      </c>
      <c r="D1014" s="157" t="s">
        <v>602</v>
      </c>
      <c r="E1014" s="21"/>
      <c r="F1014" s="21"/>
      <c r="G1014" s="21"/>
      <c r="H1014" s="21"/>
      <c r="I1014" s="21"/>
      <c r="J1014" s="21"/>
      <c r="K1014" s="21"/>
      <c r="L1014" s="21"/>
      <c r="M1014" s="21"/>
      <c r="N1014" s="21"/>
    </row>
    <row r="1016" spans="1:24" ht="15.6">
      <c r="D1016" s="157" t="s">
        <v>308</v>
      </c>
      <c r="E1016" s="138">
        <v>2020</v>
      </c>
      <c r="F1016" s="138">
        <f t="shared" ref="F1016" si="285">E1016+1</f>
        <v>2021</v>
      </c>
      <c r="G1016" s="138">
        <f t="shared" ref="G1016" si="286">F1016+1</f>
        <v>2022</v>
      </c>
      <c r="H1016" s="138">
        <f t="shared" ref="H1016" si="287">G1016+1</f>
        <v>2023</v>
      </c>
      <c r="I1016" s="138">
        <f t="shared" ref="I1016" si="288">H1016+1</f>
        <v>2024</v>
      </c>
      <c r="J1016" s="138">
        <f t="shared" ref="J1016" si="289">I1016+1</f>
        <v>2025</v>
      </c>
      <c r="L1016" s="157" t="s">
        <v>444</v>
      </c>
      <c r="M1016" s="157" t="s">
        <v>445</v>
      </c>
    </row>
    <row r="1017" spans="1:24">
      <c r="D1017" t="s">
        <v>205</v>
      </c>
      <c r="E1017" s="223">
        <f t="shared" ref="E1017:J1017" si="290">I910</f>
        <v>39783</v>
      </c>
      <c r="F1017" s="223">
        <f t="shared" si="290"/>
        <v>47028</v>
      </c>
      <c r="G1017" s="223">
        <f t="shared" si="290"/>
        <v>52446</v>
      </c>
      <c r="H1017" s="223">
        <f t="shared" si="290"/>
        <v>60580</v>
      </c>
      <c r="I1017" s="223">
        <f t="shared" si="290"/>
        <v>61896</v>
      </c>
      <c r="J1017" s="223">
        <f t="shared" si="290"/>
        <v>63121</v>
      </c>
    </row>
    <row r="1019" spans="1:24">
      <c r="D1019" t="s">
        <v>606</v>
      </c>
      <c r="E1019" s="223">
        <f>'Balance Sheet'!D50</f>
        <v>146</v>
      </c>
      <c r="F1019" s="223">
        <f>'Balance Sheet'!E50</f>
        <v>219</v>
      </c>
      <c r="G1019" s="223">
        <f>'Balance Sheet'!F50</f>
        <v>194</v>
      </c>
      <c r="H1019" s="223">
        <f>'Balance Sheet'!G50</f>
        <v>211</v>
      </c>
      <c r="I1019" s="223">
        <f>'Balance Sheet'!H50</f>
        <v>292</v>
      </c>
      <c r="J1019" s="223">
        <f>'Balance Sheet'!I50</f>
        <v>360</v>
      </c>
    </row>
    <row r="1020" spans="1:24">
      <c r="D1020" t="s">
        <v>605</v>
      </c>
      <c r="E1020" s="223">
        <f>SUM('Balance Sheet'!D45:D47)</f>
        <v>243</v>
      </c>
      <c r="F1020" s="223">
        <f>SUM('Balance Sheet'!E45:E47)</f>
        <v>870</v>
      </c>
      <c r="G1020" s="223">
        <f>SUM('Balance Sheet'!F45:F47)</f>
        <v>846</v>
      </c>
      <c r="H1020" s="223">
        <f>SUM('Balance Sheet'!G45:G47)</f>
        <v>894</v>
      </c>
      <c r="I1020" s="223">
        <f>SUM('Balance Sheet'!H45:H47)</f>
        <v>929</v>
      </c>
      <c r="J1020" s="223">
        <f>SUM('Balance Sheet'!I45:I47)</f>
        <v>909</v>
      </c>
    </row>
    <row r="1022" spans="1:24">
      <c r="D1022" s="17" t="s">
        <v>603</v>
      </c>
      <c r="E1022" s="321">
        <f t="shared" ref="E1022:J1022" si="291">E1019/E1017</f>
        <v>3.6699092577231482E-3</v>
      </c>
      <c r="F1022" s="321">
        <f t="shared" si="291"/>
        <v>4.6568002041337073E-3</v>
      </c>
      <c r="G1022" s="321">
        <f t="shared" si="291"/>
        <v>3.6990428250009534E-3</v>
      </c>
      <c r="H1022" s="321">
        <f t="shared" si="291"/>
        <v>3.4829976890062729E-3</v>
      </c>
      <c r="I1022" s="321">
        <f t="shared" si="291"/>
        <v>4.7175907974667183E-3</v>
      </c>
      <c r="J1022" s="321">
        <f t="shared" si="291"/>
        <v>5.7033316962659024E-3</v>
      </c>
      <c r="K1022" s="17"/>
      <c r="L1022" s="293">
        <f>AVERAGE(E1022:J1022)</f>
        <v>4.3216120782661174E-3</v>
      </c>
      <c r="M1022" s="293">
        <f>MEDIAN(E1022:J1022)</f>
        <v>4.1779215145673308E-3</v>
      </c>
    </row>
    <row r="1023" spans="1:24">
      <c r="D1023" s="17" t="s">
        <v>607</v>
      </c>
      <c r="E1023" s="321">
        <f>E1020/E1017</f>
        <v>6.1081366412789381E-3</v>
      </c>
      <c r="F1023" s="321">
        <f t="shared" ref="F1023:J1023" si="292">F1020/F1017</f>
        <v>1.849961724929829E-2</v>
      </c>
      <c r="G1023" s="321">
        <f t="shared" si="292"/>
        <v>1.6130877473973231E-2</v>
      </c>
      <c r="H1023" s="321">
        <f t="shared" si="292"/>
        <v>1.4757345658633212E-2</v>
      </c>
      <c r="I1023" s="321">
        <f t="shared" si="292"/>
        <v>1.5009047434406101E-2</v>
      </c>
      <c r="J1023" s="321">
        <f t="shared" si="292"/>
        <v>1.4400912533071403E-2</v>
      </c>
      <c r="K1023" s="17"/>
      <c r="L1023" s="293">
        <f>AVERAGE(E1023:J1023)</f>
        <v>1.415098949844353E-2</v>
      </c>
      <c r="M1023" s="293">
        <f>MEDIAN(E1023:J1023)</f>
        <v>1.4883196546519657E-2</v>
      </c>
    </row>
    <row r="1026" spans="1:14">
      <c r="A1026" t="s">
        <v>27</v>
      </c>
      <c r="D1026" s="157" t="s">
        <v>579</v>
      </c>
      <c r="E1026" s="21"/>
      <c r="F1026" s="21"/>
      <c r="G1026" s="21"/>
      <c r="H1026" s="21"/>
      <c r="I1026" s="21"/>
      <c r="J1026" s="21"/>
      <c r="K1026" s="21"/>
      <c r="L1026" s="21"/>
      <c r="M1026" s="21"/>
      <c r="N1026" s="21"/>
    </row>
    <row r="1028" spans="1:14" ht="15.6">
      <c r="D1028" s="157" t="s">
        <v>308</v>
      </c>
      <c r="E1028" s="138">
        <v>2020</v>
      </c>
      <c r="F1028" s="138">
        <f t="shared" ref="F1028" si="293">E1028+1</f>
        <v>2021</v>
      </c>
      <c r="G1028" s="138">
        <f t="shared" ref="G1028" si="294">F1028+1</f>
        <v>2022</v>
      </c>
      <c r="H1028" s="138">
        <f t="shared" ref="H1028" si="295">G1028+1</f>
        <v>2023</v>
      </c>
      <c r="I1028" s="138">
        <f t="shared" ref="I1028" si="296">H1028+1</f>
        <v>2024</v>
      </c>
      <c r="J1028" s="138">
        <f t="shared" ref="J1028" si="297">I1028+1</f>
        <v>2025</v>
      </c>
      <c r="L1028" s="157" t="s">
        <v>444</v>
      </c>
      <c r="M1028" s="157" t="s">
        <v>445</v>
      </c>
    </row>
    <row r="1029" spans="1:14">
      <c r="D1029" t="s">
        <v>557</v>
      </c>
      <c r="E1029" s="223">
        <f t="shared" ref="E1029:J1029" si="298">I904</f>
        <v>5479</v>
      </c>
      <c r="F1029" s="223">
        <f t="shared" si="298"/>
        <v>51362</v>
      </c>
      <c r="G1029" s="223">
        <f t="shared" si="298"/>
        <v>51392</v>
      </c>
      <c r="H1029" s="223">
        <f t="shared" si="298"/>
        <v>53151</v>
      </c>
      <c r="I1029" s="223">
        <f t="shared" si="298"/>
        <v>54014</v>
      </c>
      <c r="J1029" s="223">
        <f t="shared" si="298"/>
        <v>54335</v>
      </c>
    </row>
    <row r="1031" spans="1:14">
      <c r="D1031" t="s">
        <v>579</v>
      </c>
      <c r="E1031" s="223">
        <f>'Balance Sheet'!D41</f>
        <v>597</v>
      </c>
      <c r="F1031" s="223">
        <f>'Balance Sheet'!E41</f>
        <v>745</v>
      </c>
      <c r="G1031" s="223">
        <f>'Balance Sheet'!F41</f>
        <v>1313</v>
      </c>
      <c r="H1031" s="223">
        <f>'Balance Sheet'!G41</f>
        <v>1132</v>
      </c>
      <c r="I1031" s="223">
        <f>'Balance Sheet'!H41</f>
        <v>1025</v>
      </c>
      <c r="J1031" s="223">
        <f>'Balance Sheet'!I41</f>
        <v>1009</v>
      </c>
    </row>
    <row r="1033" spans="1:14">
      <c r="D1033" t="s">
        <v>609</v>
      </c>
      <c r="E1033" s="14">
        <f>E1031/E1029</f>
        <v>0.10896148932286914</v>
      </c>
      <c r="F1033" s="14">
        <f t="shared" ref="F1033:J1033" si="299">F1031/F1029</f>
        <v>1.4504886881351972E-2</v>
      </c>
      <c r="G1033" s="14">
        <f t="shared" si="299"/>
        <v>2.5548723536737237E-2</v>
      </c>
      <c r="H1033" s="14">
        <f t="shared" si="299"/>
        <v>2.1297811894414029E-2</v>
      </c>
      <c r="I1033" s="14">
        <f t="shared" si="299"/>
        <v>1.8976561632169438E-2</v>
      </c>
      <c r="J1033" s="14">
        <f t="shared" si="299"/>
        <v>1.8569982515873745E-2</v>
      </c>
      <c r="L1033" s="293">
        <f>AVERAGE(E1033:J1033)</f>
        <v>3.4643242630569261E-2</v>
      </c>
      <c r="M1033" s="293">
        <f>MEDIAN(E1033:J1033)</f>
        <v>2.0137186763291733E-2</v>
      </c>
    </row>
    <row r="1035" spans="1:14">
      <c r="D1035" t="s">
        <v>610</v>
      </c>
      <c r="E1035" s="158">
        <f>MEDIAN(F1033:J1033)</f>
        <v>1.8976561632169438E-2</v>
      </c>
    </row>
    <row r="1037" spans="1:14">
      <c r="B1037" t="s">
        <v>27</v>
      </c>
      <c r="D1037" s="157" t="s">
        <v>438</v>
      </c>
    </row>
    <row r="1039" spans="1:14">
      <c r="D1039" t="s">
        <v>611</v>
      </c>
    </row>
    <row r="1041" spans="1:14">
      <c r="B1041" t="s">
        <v>27</v>
      </c>
      <c r="D1041" s="157" t="s">
        <v>365</v>
      </c>
    </row>
    <row r="1043" spans="1:14">
      <c r="D1043" t="s">
        <v>612</v>
      </c>
    </row>
    <row r="1051" spans="1:14">
      <c r="A1051" t="s">
        <v>27</v>
      </c>
      <c r="D1051" s="157" t="s">
        <v>2</v>
      </c>
      <c r="E1051" s="21"/>
      <c r="F1051" s="21"/>
      <c r="G1051" s="21"/>
      <c r="H1051" s="21"/>
      <c r="I1051" s="21"/>
      <c r="J1051" s="21"/>
      <c r="K1051" s="21"/>
      <c r="L1051" s="21"/>
      <c r="M1051" s="21"/>
      <c r="N1051" s="21"/>
    </row>
    <row r="1053" spans="1:14" ht="15.6">
      <c r="D1053" s="157" t="s">
        <v>308</v>
      </c>
      <c r="E1053" s="138">
        <v>2019</v>
      </c>
      <c r="F1053" s="138">
        <f t="shared" ref="F1053" si="300">E1053+1</f>
        <v>2020</v>
      </c>
      <c r="G1053" s="138">
        <f t="shared" ref="G1053" si="301">F1053+1</f>
        <v>2021</v>
      </c>
      <c r="H1053" s="138">
        <f t="shared" ref="H1053" si="302">G1053+1</f>
        <v>2022</v>
      </c>
      <c r="I1053" s="138">
        <f t="shared" ref="I1053" si="303">H1053+1</f>
        <v>2023</v>
      </c>
      <c r="J1053" s="138">
        <f t="shared" ref="J1053:K1053" si="304">I1053+1</f>
        <v>2024</v>
      </c>
      <c r="K1053" s="138">
        <f t="shared" si="304"/>
        <v>2025</v>
      </c>
      <c r="M1053" s="138" t="s">
        <v>444</v>
      </c>
      <c r="N1053" s="138" t="s">
        <v>445</v>
      </c>
    </row>
    <row r="1054" spans="1:14">
      <c r="D1054" s="231" t="s">
        <v>555</v>
      </c>
      <c r="E1054" s="232">
        <f>H902</f>
        <v>6378</v>
      </c>
      <c r="F1054" s="232">
        <f t="shared" ref="F1054:K1054" si="305">I902</f>
        <v>7979</v>
      </c>
      <c r="G1054" s="232">
        <f t="shared" si="305"/>
        <v>54843</v>
      </c>
      <c r="H1054" s="232">
        <f t="shared" si="305"/>
        <v>55497</v>
      </c>
      <c r="I1054" s="232">
        <f t="shared" si="305"/>
        <v>58037</v>
      </c>
      <c r="J1054" s="232">
        <f t="shared" si="305"/>
        <v>59721</v>
      </c>
      <c r="K1054" s="232">
        <f t="shared" si="305"/>
        <v>61034</v>
      </c>
    </row>
    <row r="1055" spans="1:14">
      <c r="D1055" s="121" t="s">
        <v>585</v>
      </c>
      <c r="E1055" s="130">
        <f>H928</f>
        <v>36</v>
      </c>
      <c r="F1055" s="130">
        <f t="shared" ref="F1055:K1055" si="306">I928</f>
        <v>117</v>
      </c>
      <c r="G1055" s="130">
        <f t="shared" si="306"/>
        <v>17316</v>
      </c>
      <c r="H1055" s="130">
        <f t="shared" si="306"/>
        <v>17316</v>
      </c>
      <c r="I1055" s="130">
        <f t="shared" si="306"/>
        <v>17466</v>
      </c>
      <c r="J1055" s="130">
        <f t="shared" si="306"/>
        <v>17466</v>
      </c>
      <c r="K1055" s="130">
        <f t="shared" si="306"/>
        <v>17466</v>
      </c>
    </row>
    <row r="1056" spans="1:14">
      <c r="D1056" s="75" t="s">
        <v>597</v>
      </c>
      <c r="E1056" s="130">
        <f t="shared" ref="E1056:K1056" si="307">H929</f>
        <v>329</v>
      </c>
      <c r="F1056" s="130">
        <f t="shared" si="307"/>
        <v>311</v>
      </c>
      <c r="G1056" s="130">
        <f t="shared" si="307"/>
        <v>27782</v>
      </c>
      <c r="H1056" s="130">
        <f t="shared" si="307"/>
        <v>27782</v>
      </c>
      <c r="I1056" s="130">
        <f t="shared" si="307"/>
        <v>28413</v>
      </c>
      <c r="J1056" s="130">
        <f t="shared" si="307"/>
        <v>28413</v>
      </c>
      <c r="K1056" s="130">
        <f t="shared" si="307"/>
        <v>28413</v>
      </c>
    </row>
    <row r="1057" spans="1:22">
      <c r="D1057" s="75" t="s">
        <v>583</v>
      </c>
      <c r="E1057">
        <f>H922</f>
        <v>59</v>
      </c>
      <c r="F1057">
        <f t="shared" ref="F1057:K1057" si="308">I922</f>
        <v>59</v>
      </c>
      <c r="G1057">
        <f t="shared" si="308"/>
        <v>477</v>
      </c>
      <c r="H1057">
        <f t="shared" si="308"/>
        <v>477</v>
      </c>
      <c r="I1057">
        <f t="shared" si="308"/>
        <v>476</v>
      </c>
      <c r="J1057">
        <f t="shared" si="308"/>
        <v>476</v>
      </c>
      <c r="K1057">
        <f t="shared" si="308"/>
        <v>465</v>
      </c>
    </row>
    <row r="1058" spans="1:22">
      <c r="D1058" s="39" t="s">
        <v>614</v>
      </c>
      <c r="E1058" s="323">
        <f>E1054-SUM(E1055:E1057)</f>
        <v>5954</v>
      </c>
      <c r="F1058" s="323">
        <f t="shared" ref="F1058:K1058" si="309">F1054-SUM(F1055:F1057)</f>
        <v>7492</v>
      </c>
      <c r="G1058" s="323">
        <f t="shared" si="309"/>
        <v>9268</v>
      </c>
      <c r="H1058" s="323">
        <f t="shared" si="309"/>
        <v>9922</v>
      </c>
      <c r="I1058" s="323">
        <f t="shared" si="309"/>
        <v>11682</v>
      </c>
      <c r="J1058" s="323">
        <f t="shared" si="309"/>
        <v>13366</v>
      </c>
      <c r="K1058" s="323">
        <f t="shared" si="309"/>
        <v>14690</v>
      </c>
    </row>
    <row r="1059" spans="1:22">
      <c r="D1059" s="63" t="s">
        <v>615</v>
      </c>
      <c r="E1059" s="223">
        <f t="shared" ref="E1059:K1059" si="310">H903</f>
        <v>1744</v>
      </c>
      <c r="F1059" s="223">
        <f t="shared" si="310"/>
        <v>2500</v>
      </c>
      <c r="G1059" s="223">
        <f t="shared" si="310"/>
        <v>3481</v>
      </c>
      <c r="H1059" s="223">
        <f t="shared" si="310"/>
        <v>4105</v>
      </c>
      <c r="I1059" s="223">
        <f t="shared" si="310"/>
        <v>4886</v>
      </c>
      <c r="J1059" s="223">
        <f t="shared" si="310"/>
        <v>5707</v>
      </c>
      <c r="K1059" s="223">
        <f t="shared" si="310"/>
        <v>6430</v>
      </c>
    </row>
    <row r="1060" spans="1:22" ht="15" thickBot="1">
      <c r="D1060" s="49" t="s">
        <v>616</v>
      </c>
      <c r="E1060" s="324">
        <f>E1058-E1059</f>
        <v>4210</v>
      </c>
      <c r="F1060" s="324">
        <f t="shared" ref="F1060:K1060" si="311">F1058-F1059</f>
        <v>4992</v>
      </c>
      <c r="G1060" s="324">
        <f t="shared" si="311"/>
        <v>5787</v>
      </c>
      <c r="H1060" s="324">
        <f t="shared" si="311"/>
        <v>5817</v>
      </c>
      <c r="I1060" s="324">
        <f t="shared" si="311"/>
        <v>6796</v>
      </c>
      <c r="J1060" s="324">
        <f t="shared" si="311"/>
        <v>7659</v>
      </c>
      <c r="K1060" s="324">
        <f t="shared" si="311"/>
        <v>8260</v>
      </c>
      <c r="L1060" s="223"/>
    </row>
    <row r="1062" spans="1:22">
      <c r="D1062" t="s">
        <v>617</v>
      </c>
      <c r="E1062" s="223">
        <f t="shared" ref="E1062:K1062" si="312">H903-G903</f>
        <v>520</v>
      </c>
      <c r="F1062" s="223">
        <f t="shared" si="312"/>
        <v>756</v>
      </c>
      <c r="G1062" s="223">
        <f t="shared" si="312"/>
        <v>981</v>
      </c>
      <c r="H1062" s="223">
        <f t="shared" si="312"/>
        <v>624</v>
      </c>
      <c r="I1062" s="223">
        <f t="shared" si="312"/>
        <v>781</v>
      </c>
      <c r="J1062" s="223">
        <f t="shared" si="312"/>
        <v>821</v>
      </c>
      <c r="K1062" s="223">
        <f t="shared" si="312"/>
        <v>723</v>
      </c>
    </row>
    <row r="1064" spans="1:22">
      <c r="D1064" s="17" t="s">
        <v>618</v>
      </c>
      <c r="E1064" s="325">
        <f>E1058/E1062</f>
        <v>11.45</v>
      </c>
      <c r="F1064" s="325">
        <f t="shared" ref="F1064:K1064" si="313">F1058/F1062</f>
        <v>9.9100529100529098</v>
      </c>
      <c r="G1064" s="325">
        <f t="shared" si="313"/>
        <v>9.4475025484199797</v>
      </c>
      <c r="H1064" s="325">
        <f t="shared" si="313"/>
        <v>15.900641025641026</v>
      </c>
      <c r="I1064" s="325">
        <f t="shared" si="313"/>
        <v>14.95774647887324</v>
      </c>
      <c r="J1064" s="325">
        <f t="shared" si="313"/>
        <v>16.280146163215591</v>
      </c>
      <c r="K1064" s="325">
        <f t="shared" si="313"/>
        <v>20.318118948824342</v>
      </c>
      <c r="L1064" s="17"/>
      <c r="M1064" s="325">
        <f>AVERAGE(E1064:K1064)</f>
        <v>14.037744010718155</v>
      </c>
      <c r="N1064" s="325">
        <f>MEDIAN(E1064:K1064)</f>
        <v>14.95774647887324</v>
      </c>
    </row>
    <row r="1065" spans="1:22">
      <c r="D1065" s="17" t="s">
        <v>619</v>
      </c>
      <c r="E1065" s="325">
        <f>E1059/E1062</f>
        <v>3.3538461538461539</v>
      </c>
      <c r="F1065" s="325">
        <f t="shared" ref="F1065:K1065" si="314">F1059/F1062</f>
        <v>3.306878306878307</v>
      </c>
      <c r="G1065" s="325">
        <f t="shared" si="314"/>
        <v>3.5484199796126403</v>
      </c>
      <c r="H1065" s="325">
        <f t="shared" si="314"/>
        <v>6.5785256410256414</v>
      </c>
      <c r="I1065" s="325">
        <f t="shared" si="314"/>
        <v>6.2560819462227917</v>
      </c>
      <c r="J1065" s="325">
        <f t="shared" si="314"/>
        <v>6.9512789281364187</v>
      </c>
      <c r="K1065" s="325">
        <f t="shared" si="314"/>
        <v>8.8934993084370682</v>
      </c>
      <c r="L1065" s="17"/>
      <c r="M1065" s="325">
        <f>AVERAGE(E1065:K1065)</f>
        <v>5.5555043234512889</v>
      </c>
      <c r="N1065" s="325">
        <f>MEDIAN(E1065:K1065)</f>
        <v>6.2560819462227917</v>
      </c>
    </row>
    <row r="1066" spans="1:22">
      <c r="D1066" s="17" t="s">
        <v>620</v>
      </c>
      <c r="E1066" s="32">
        <f>E1059/E1058</f>
        <v>0.29291232784682564</v>
      </c>
      <c r="F1066" s="32">
        <f t="shared" ref="F1066:K1066" si="315">F1059/F1058</f>
        <v>0.33368926855312331</v>
      </c>
      <c r="G1066" s="32">
        <f t="shared" si="315"/>
        <v>0.37559343979283555</v>
      </c>
      <c r="H1066" s="32">
        <f t="shared" si="315"/>
        <v>0.41372707115500906</v>
      </c>
      <c r="I1066" s="32">
        <f t="shared" si="315"/>
        <v>0.41825029960623183</v>
      </c>
      <c r="J1066" s="32">
        <f t="shared" si="315"/>
        <v>0.42697890169085739</v>
      </c>
      <c r="K1066" s="32">
        <f t="shared" si="315"/>
        <v>0.43771272974812797</v>
      </c>
      <c r="L1066" s="17"/>
      <c r="M1066" s="32">
        <f>AVERAGE(E1066:K1066)</f>
        <v>0.38555200548471585</v>
      </c>
      <c r="N1066" s="32">
        <f>MEDIAN(E1066:K1066)</f>
        <v>0.41372707115500906</v>
      </c>
    </row>
    <row r="1068" spans="1:22">
      <c r="D1068" s="17" t="s">
        <v>621</v>
      </c>
      <c r="E1068" s="32">
        <f t="shared" ref="E1068:K1068" si="316">E1062/H904</f>
        <v>0.11221406991799741</v>
      </c>
      <c r="F1068" s="32">
        <f t="shared" si="316"/>
        <v>0.1379813834641358</v>
      </c>
      <c r="G1068" s="32">
        <f t="shared" si="316"/>
        <v>1.9099723531015148E-2</v>
      </c>
      <c r="H1068" s="32">
        <f t="shared" si="316"/>
        <v>1.2141967621419676E-2</v>
      </c>
      <c r="I1068" s="32">
        <f t="shared" si="316"/>
        <v>1.4693985061428759E-2</v>
      </c>
      <c r="J1068" s="32">
        <f t="shared" si="316"/>
        <v>1.5199763024401082E-2</v>
      </c>
      <c r="K1068" s="32">
        <f t="shared" si="316"/>
        <v>1.330634029630993E-2</v>
      </c>
      <c r="L1068" s="17"/>
      <c r="M1068" s="32">
        <f>AVERAGE(E1068:K1068)</f>
        <v>4.6376747559529689E-2</v>
      </c>
      <c r="N1068" s="32">
        <f>MEDIAN(E1068:K1068)</f>
        <v>1.5199763024401082E-2</v>
      </c>
    </row>
    <row r="1070" spans="1:22">
      <c r="A1070" t="s">
        <v>27</v>
      </c>
      <c r="B1070" t="s">
        <v>27</v>
      </c>
      <c r="D1070" s="157" t="s">
        <v>98</v>
      </c>
      <c r="E1070" s="21"/>
      <c r="F1070" s="21"/>
      <c r="G1070" s="21"/>
      <c r="H1070" s="21"/>
      <c r="I1070" s="21"/>
      <c r="J1070" s="21"/>
      <c r="K1070" s="21"/>
      <c r="L1070" s="21"/>
      <c r="M1070" s="21"/>
      <c r="N1070" s="21"/>
    </row>
    <row r="1072" spans="1:22" ht="15.6">
      <c r="C1072" t="s">
        <v>27</v>
      </c>
      <c r="D1072" s="157" t="s">
        <v>308</v>
      </c>
      <c r="E1072" s="138">
        <v>2016</v>
      </c>
      <c r="F1072" s="138">
        <f t="shared" ref="F1072" si="317">E1072+1</f>
        <v>2017</v>
      </c>
      <c r="G1072" s="138">
        <f t="shared" ref="G1072" si="318">F1072+1</f>
        <v>2018</v>
      </c>
      <c r="H1072" s="138">
        <f t="shared" ref="H1072" si="319">G1072+1</f>
        <v>2019</v>
      </c>
      <c r="I1072" s="138">
        <f t="shared" ref="I1072" si="320">H1072+1</f>
        <v>2020</v>
      </c>
      <c r="J1072" s="138">
        <f t="shared" ref="J1072" si="321">I1072+1</f>
        <v>2021</v>
      </c>
      <c r="K1072" s="138">
        <f t="shared" ref="K1072" si="322">J1072+1</f>
        <v>2022</v>
      </c>
      <c r="L1072" s="138">
        <f t="shared" ref="L1072" si="323">K1072+1</f>
        <v>2023</v>
      </c>
      <c r="M1072" s="138">
        <f t="shared" ref="M1072" si="324">L1072+1</f>
        <v>2024</v>
      </c>
      <c r="N1072" s="138">
        <f t="shared" ref="N1072" si="325">M1072+1</f>
        <v>2025</v>
      </c>
      <c r="P1072" s="138" t="s">
        <v>444</v>
      </c>
      <c r="Q1072" s="138"/>
      <c r="R1072" s="138"/>
      <c r="S1072" s="138"/>
      <c r="T1072" s="138"/>
      <c r="U1072" s="138"/>
      <c r="V1072" s="138" t="s">
        <v>445</v>
      </c>
    </row>
    <row r="1073" spans="4:22">
      <c r="D1073" s="20" t="s">
        <v>650</v>
      </c>
      <c r="E1073" s="224">
        <v>5685</v>
      </c>
      <c r="F1073" s="224">
        <v>6186</v>
      </c>
      <c r="G1073" s="224">
        <v>7170</v>
      </c>
      <c r="H1073" s="224">
        <v>7206</v>
      </c>
      <c r="I1073" s="224">
        <v>7535</v>
      </c>
      <c r="J1073" s="224">
        <v>8802</v>
      </c>
      <c r="K1073" s="224">
        <v>9068</v>
      </c>
      <c r="L1073" s="224">
        <v>9574</v>
      </c>
      <c r="M1073" s="224">
        <v>10486</v>
      </c>
      <c r="N1073" s="224">
        <v>11315</v>
      </c>
    </row>
    <row r="1074" spans="4:22">
      <c r="D1074" s="154" t="s">
        <v>651</v>
      </c>
      <c r="E1074" s="154"/>
      <c r="F1074" s="350">
        <f>F1073/E1073-1</f>
        <v>8.8126649076517127E-2</v>
      </c>
      <c r="G1074" s="350">
        <f t="shared" ref="G1074:N1074" si="326">G1073/F1073-1</f>
        <v>0.15906886517943741</v>
      </c>
      <c r="H1074" s="350">
        <f t="shared" si="326"/>
        <v>5.0209205020921299E-3</v>
      </c>
      <c r="I1074" s="350">
        <f t="shared" si="326"/>
        <v>4.5656397446572239E-2</v>
      </c>
      <c r="J1074" s="350">
        <f t="shared" si="326"/>
        <v>0.16814863968148641</v>
      </c>
      <c r="K1074" s="350">
        <f t="shared" si="326"/>
        <v>3.0220404453533245E-2</v>
      </c>
      <c r="L1074" s="350">
        <f t="shared" si="326"/>
        <v>5.5800617556241772E-2</v>
      </c>
      <c r="M1074" s="350">
        <f t="shared" si="326"/>
        <v>9.5257990390641423E-2</v>
      </c>
      <c r="N1074" s="350">
        <f t="shared" si="326"/>
        <v>7.9057791340835459E-2</v>
      </c>
    </row>
    <row r="1076" spans="4:22">
      <c r="D1076" s="20" t="s">
        <v>79</v>
      </c>
      <c r="E1076" s="224">
        <f t="shared" ref="E1076:N1076" si="327">(E783)*1</f>
        <v>13267</v>
      </c>
      <c r="F1076" s="224">
        <f t="shared" si="327"/>
        <v>13750</v>
      </c>
      <c r="G1076" s="224">
        <f t="shared" si="327"/>
        <v>14161</v>
      </c>
      <c r="H1076" s="224">
        <f t="shared" si="327"/>
        <v>18474</v>
      </c>
      <c r="I1076" s="224">
        <f t="shared" si="327"/>
        <v>18259</v>
      </c>
      <c r="J1076" s="224">
        <f t="shared" si="327"/>
        <v>22148</v>
      </c>
      <c r="K1076" s="224">
        <f t="shared" si="327"/>
        <v>25735</v>
      </c>
      <c r="L1076" s="224">
        <f t="shared" si="327"/>
        <v>31716</v>
      </c>
      <c r="M1076" s="224">
        <f t="shared" si="327"/>
        <v>29760</v>
      </c>
      <c r="N1076" s="224">
        <f t="shared" si="327"/>
        <v>30578</v>
      </c>
    </row>
    <row r="1078" spans="4:22">
      <c r="D1078" s="285" t="s">
        <v>652</v>
      </c>
      <c r="E1078" s="286">
        <f>E1073/E1076</f>
        <v>0.42850682143664731</v>
      </c>
      <c r="F1078" s="286">
        <f t="shared" ref="F1078:N1078" si="328">F1073/F1076</f>
        <v>0.44989090909090906</v>
      </c>
      <c r="G1078" s="286">
        <f t="shared" si="328"/>
        <v>0.50632017512887506</v>
      </c>
      <c r="H1078" s="286">
        <f t="shared" si="328"/>
        <v>0.39006170834686588</v>
      </c>
      <c r="I1078" s="286">
        <f t="shared" si="328"/>
        <v>0.41267320225642151</v>
      </c>
      <c r="J1078" s="286">
        <f t="shared" si="328"/>
        <v>0.3974173740292577</v>
      </c>
      <c r="K1078" s="286">
        <f t="shared" si="328"/>
        <v>0.35236059840683892</v>
      </c>
      <c r="L1078" s="286">
        <f t="shared" si="328"/>
        <v>0.30186656577121956</v>
      </c>
      <c r="M1078" s="286">
        <f t="shared" si="328"/>
        <v>0.35235215053763441</v>
      </c>
      <c r="N1078" s="286">
        <f t="shared" si="328"/>
        <v>0.37003728170580158</v>
      </c>
      <c r="P1078" s="32">
        <f>AVERAGE(E1078:N1078)</f>
        <v>0.39614867867104714</v>
      </c>
      <c r="Q1078" s="32"/>
      <c r="R1078" s="32"/>
      <c r="S1078" s="32"/>
      <c r="T1078" s="32"/>
      <c r="U1078" s="32"/>
      <c r="V1078" s="32">
        <f>MEDIAN(E1078:N1078)</f>
        <v>0.39373954118806176</v>
      </c>
    </row>
    <row r="1080" spans="4:22">
      <c r="D1080" s="20" t="s">
        <v>658</v>
      </c>
      <c r="E1080" s="351">
        <f>(E1073/E1076)*$D$1081</f>
        <v>156.40498982437626</v>
      </c>
      <c r="F1080" s="351">
        <f t="shared" ref="F1080:G1080" si="329">(F1073/F1076)*$D$1081</f>
        <v>164.21018181818181</v>
      </c>
      <c r="G1080" s="351">
        <f t="shared" si="329"/>
        <v>184.80686392203938</v>
      </c>
      <c r="H1080" s="351">
        <v>166</v>
      </c>
      <c r="I1080" s="351">
        <v>176</v>
      </c>
      <c r="J1080" s="351">
        <v>163</v>
      </c>
      <c r="K1080" s="351">
        <v>145</v>
      </c>
      <c r="L1080" s="351">
        <v>123</v>
      </c>
      <c r="M1080" s="351">
        <v>143</v>
      </c>
      <c r="N1080" s="351">
        <v>152</v>
      </c>
      <c r="P1080" s="352">
        <f>AVERAGE(E1080:N1080)</f>
        <v>157.34220355645976</v>
      </c>
      <c r="Q1080" s="352"/>
      <c r="R1080" s="352"/>
      <c r="S1080" s="352"/>
      <c r="T1080" s="352"/>
      <c r="U1080" s="352"/>
      <c r="V1080" s="352">
        <f>MEDIAN(E1080:N1080)</f>
        <v>159.70249491218811</v>
      </c>
    </row>
    <row r="1081" spans="4:22">
      <c r="D1081" s="99">
        <v>365</v>
      </c>
    </row>
    <row r="1083" spans="4:22">
      <c r="D1083" t="s">
        <v>52</v>
      </c>
      <c r="E1083" s="223">
        <f t="shared" ref="E1083:N1083" si="330">E910</f>
        <v>32186</v>
      </c>
      <c r="F1083" s="223">
        <f t="shared" si="330"/>
        <v>33162</v>
      </c>
      <c r="G1083" s="223">
        <f t="shared" si="330"/>
        <v>35545</v>
      </c>
      <c r="H1083" s="223">
        <f t="shared" si="330"/>
        <v>39310</v>
      </c>
      <c r="I1083" s="223">
        <f t="shared" si="330"/>
        <v>39783</v>
      </c>
      <c r="J1083" s="223">
        <f t="shared" si="330"/>
        <v>47028</v>
      </c>
      <c r="K1083" s="223">
        <f t="shared" si="330"/>
        <v>52446</v>
      </c>
      <c r="L1083" s="223">
        <f t="shared" si="330"/>
        <v>60580</v>
      </c>
      <c r="M1083" s="223">
        <f t="shared" si="330"/>
        <v>61896</v>
      </c>
      <c r="N1083" s="223">
        <f t="shared" si="330"/>
        <v>63121</v>
      </c>
    </row>
    <row r="1084" spans="4:22">
      <c r="E1084" s="223"/>
      <c r="F1084" s="223"/>
      <c r="G1084" s="223"/>
      <c r="H1084" s="223"/>
      <c r="I1084" s="223"/>
      <c r="J1084" s="223"/>
      <c r="K1084" s="223"/>
      <c r="L1084" s="223"/>
      <c r="M1084" s="223"/>
      <c r="N1084" s="223"/>
    </row>
    <row r="1085" spans="4:22">
      <c r="D1085" s="20" t="s">
        <v>659</v>
      </c>
      <c r="E1085" s="351">
        <f>(E1073/E1083)*$D$1086</f>
        <v>64.469800534393841</v>
      </c>
      <c r="F1085" s="351">
        <f t="shared" ref="F1085:N1085" si="331">(F1073/F1083)*$D$1086</f>
        <v>68.086665460466804</v>
      </c>
      <c r="G1085" s="351">
        <f t="shared" si="331"/>
        <v>73.626389084259387</v>
      </c>
      <c r="H1085" s="351">
        <f t="shared" si="331"/>
        <v>66.908929025693212</v>
      </c>
      <c r="I1085" s="351">
        <f t="shared" si="331"/>
        <v>69.1319156423598</v>
      </c>
      <c r="J1085" s="351">
        <f t="shared" si="331"/>
        <v>68.315258994641482</v>
      </c>
      <c r="K1085" s="351">
        <f t="shared" si="331"/>
        <v>63.109102696106476</v>
      </c>
      <c r="L1085" s="351">
        <f t="shared" si="331"/>
        <v>57.684219214262136</v>
      </c>
      <c r="M1085" s="351">
        <f t="shared" si="331"/>
        <v>61.835821377795007</v>
      </c>
      <c r="N1085" s="351">
        <f t="shared" si="331"/>
        <v>65.429492561904922</v>
      </c>
      <c r="P1085" s="352">
        <f>AVERAGE(E1085:N1085)</f>
        <v>65.859759459188311</v>
      </c>
      <c r="Q1085" s="352"/>
      <c r="R1085" s="352"/>
      <c r="S1085" s="352"/>
      <c r="T1085" s="352"/>
      <c r="U1085" s="352"/>
      <c r="V1085" s="352">
        <f>MEDIAN(E1085:N1085)</f>
        <v>66.169210793799067</v>
      </c>
    </row>
    <row r="1086" spans="4:22">
      <c r="D1086" s="99">
        <v>365</v>
      </c>
    </row>
    <row r="1087" spans="4:22">
      <c r="D1087" s="285" t="s">
        <v>653</v>
      </c>
      <c r="E1087" s="286">
        <f>E1073/E1083</f>
        <v>0.17662959050518859</v>
      </c>
      <c r="F1087" s="286">
        <f t="shared" ref="F1087:N1087" si="332">F1073/F1083</f>
        <v>0.18653880948073095</v>
      </c>
      <c r="G1087" s="286">
        <f t="shared" si="332"/>
        <v>0.20171613447742298</v>
      </c>
      <c r="H1087" s="286">
        <f t="shared" si="332"/>
        <v>0.18331213431696769</v>
      </c>
      <c r="I1087" s="286">
        <f t="shared" si="332"/>
        <v>0.18940250860920493</v>
      </c>
      <c r="J1087" s="286">
        <f t="shared" si="332"/>
        <v>0.18716509313600407</v>
      </c>
      <c r="K1087" s="286">
        <f t="shared" si="332"/>
        <v>0.17290165122220952</v>
      </c>
      <c r="L1087" s="286">
        <f t="shared" si="332"/>
        <v>0.15803895675140311</v>
      </c>
      <c r="M1087" s="286">
        <f t="shared" si="332"/>
        <v>0.16941320925423289</v>
      </c>
      <c r="N1087" s="286">
        <f t="shared" si="332"/>
        <v>0.17925888373124635</v>
      </c>
      <c r="P1087" s="32">
        <f>AVERAGE(E1087:N1087)</f>
        <v>0.18043769714846108</v>
      </c>
      <c r="Q1087" s="32"/>
      <c r="R1087" s="32"/>
      <c r="S1087" s="32"/>
      <c r="T1087" s="32"/>
      <c r="U1087" s="32"/>
      <c r="V1087" s="32">
        <f>MEDIAN(E1087:N1087)</f>
        <v>0.18128550902410701</v>
      </c>
    </row>
    <row r="1088" spans="4:22">
      <c r="D1088" s="285" t="s">
        <v>654</v>
      </c>
      <c r="E1088" s="286">
        <f t="shared" ref="E1088:N1088" si="333">E776/E1083</f>
        <v>3.9271733051637357E-2</v>
      </c>
      <c r="F1088" s="286">
        <f t="shared" si="333"/>
        <v>3.2718171401001146E-2</v>
      </c>
      <c r="G1088" s="286">
        <f t="shared" si="333"/>
        <v>3.6854691236460825E-2</v>
      </c>
      <c r="H1088" s="286">
        <f t="shared" si="333"/>
        <v>4.6196896464004072E-2</v>
      </c>
      <c r="I1088" s="286">
        <f t="shared" si="333"/>
        <v>2.8881683130985596E-2</v>
      </c>
      <c r="J1088" s="286">
        <f t="shared" si="333"/>
        <v>3.7381985200306202E-2</v>
      </c>
      <c r="K1088" s="286">
        <f t="shared" si="333"/>
        <v>4.263432864279449E-2</v>
      </c>
      <c r="L1088" s="286">
        <f t="shared" si="333"/>
        <v>5.0825354902608123E-2</v>
      </c>
      <c r="M1088" s="286">
        <f t="shared" si="333"/>
        <v>4.8419930205506008E-2</v>
      </c>
      <c r="N1088" s="286">
        <f t="shared" si="333"/>
        <v>6.0502843744554113E-2</v>
      </c>
      <c r="P1088" s="32">
        <f>AVERAGE(E1088:N1088)</f>
        <v>4.2368761797985793E-2</v>
      </c>
      <c r="Q1088" s="32"/>
      <c r="R1088" s="32"/>
      <c r="S1088" s="32"/>
      <c r="T1088" s="32"/>
      <c r="U1088" s="32"/>
      <c r="V1088" s="32">
        <f>MEDIAN(E1088:N1088)</f>
        <v>4.0953030847215924E-2</v>
      </c>
    </row>
    <row r="1090" spans="2:14" ht="15.6">
      <c r="B1090" t="s">
        <v>27</v>
      </c>
      <c r="D1090" s="157" t="s">
        <v>656</v>
      </c>
      <c r="E1090" s="138"/>
      <c r="F1090" s="138"/>
      <c r="G1090" s="138"/>
      <c r="H1090" s="138"/>
      <c r="I1090" s="138"/>
      <c r="J1090" s="138"/>
      <c r="K1090" s="138"/>
      <c r="L1090" s="138"/>
      <c r="M1090" s="138"/>
      <c r="N1090" s="138"/>
    </row>
    <row r="1092" spans="2:14" ht="15.6">
      <c r="C1092" t="s">
        <v>27</v>
      </c>
      <c r="D1092" s="157" t="s">
        <v>655</v>
      </c>
      <c r="E1092" s="138">
        <v>2016</v>
      </c>
      <c r="F1092" s="138">
        <f t="shared" ref="F1092" si="334">E1092+1</f>
        <v>2017</v>
      </c>
      <c r="G1092" s="138">
        <f t="shared" ref="G1092" si="335">F1092+1</f>
        <v>2018</v>
      </c>
      <c r="H1092" s="138">
        <f t="shared" ref="H1092" si="336">G1092+1</f>
        <v>2019</v>
      </c>
      <c r="I1092" s="138">
        <f t="shared" ref="I1092" si="337">H1092+1</f>
        <v>2020</v>
      </c>
      <c r="J1092" s="138">
        <f t="shared" ref="J1092" si="338">I1092+1</f>
        <v>2021</v>
      </c>
      <c r="K1092" s="138">
        <f t="shared" ref="K1092" si="339">J1092+1</f>
        <v>2022</v>
      </c>
      <c r="L1092" s="138">
        <f t="shared" ref="L1092" si="340">K1092+1</f>
        <v>2023</v>
      </c>
      <c r="M1092" s="138">
        <f t="shared" ref="M1092" si="341">L1092+1</f>
        <v>2024</v>
      </c>
      <c r="N1092" s="138">
        <f t="shared" ref="N1092" si="342">M1092+1</f>
        <v>2025</v>
      </c>
    </row>
    <row r="1094" spans="2:14">
      <c r="D1094" s="35" t="s">
        <v>538</v>
      </c>
      <c r="E1094" s="277">
        <f>E1080</f>
        <v>156.40498982437626</v>
      </c>
      <c r="F1094" s="277">
        <f t="shared" ref="F1094:N1094" si="343">F1080</f>
        <v>164.21018181818181</v>
      </c>
      <c r="G1094" s="277">
        <f t="shared" si="343"/>
        <v>184.80686392203938</v>
      </c>
      <c r="H1094" s="277">
        <f t="shared" si="343"/>
        <v>166</v>
      </c>
      <c r="I1094" s="277">
        <f t="shared" si="343"/>
        <v>176</v>
      </c>
      <c r="J1094" s="277">
        <f t="shared" si="343"/>
        <v>163</v>
      </c>
      <c r="K1094" s="277">
        <f t="shared" si="343"/>
        <v>145</v>
      </c>
      <c r="L1094" s="277">
        <f t="shared" si="343"/>
        <v>123</v>
      </c>
      <c r="M1094" s="277">
        <f t="shared" si="343"/>
        <v>143</v>
      </c>
      <c r="N1094" s="277">
        <f t="shared" si="343"/>
        <v>152</v>
      </c>
    </row>
    <row r="1095" spans="2:14">
      <c r="D1095" s="29" t="s">
        <v>539</v>
      </c>
      <c r="E1095" s="29">
        <v>63</v>
      </c>
      <c r="F1095" s="29">
        <v>60</v>
      </c>
      <c r="G1095" s="29">
        <v>80</v>
      </c>
      <c r="H1095" s="29">
        <v>74</v>
      </c>
      <c r="I1095" s="29">
        <v>76</v>
      </c>
      <c r="J1095" s="29">
        <v>78</v>
      </c>
      <c r="K1095" s="29">
        <v>61</v>
      </c>
      <c r="L1095" s="29">
        <v>59</v>
      </c>
      <c r="M1095" s="29">
        <v>65</v>
      </c>
      <c r="N1095" s="29">
        <v>55</v>
      </c>
    </row>
    <row r="1096" spans="2:14">
      <c r="D1096" s="29" t="s">
        <v>540</v>
      </c>
      <c r="E1096" s="29">
        <v>80</v>
      </c>
      <c r="F1096" s="29">
        <v>107</v>
      </c>
      <c r="G1096" s="29">
        <v>103</v>
      </c>
      <c r="H1096" s="29">
        <v>98</v>
      </c>
      <c r="I1096" s="29">
        <v>108</v>
      </c>
      <c r="J1096" s="29">
        <v>109</v>
      </c>
      <c r="K1096" s="29">
        <v>101</v>
      </c>
      <c r="L1096" s="29">
        <v>112</v>
      </c>
      <c r="M1096" s="29">
        <v>137</v>
      </c>
      <c r="N1096" s="29">
        <v>103</v>
      </c>
    </row>
    <row r="1097" spans="2:14">
      <c r="D1097" s="29" t="s">
        <v>541</v>
      </c>
      <c r="E1097" s="29">
        <v>56</v>
      </c>
      <c r="F1097" s="29">
        <v>49</v>
      </c>
      <c r="G1097" s="29">
        <v>59</v>
      </c>
      <c r="H1097" s="29">
        <v>63</v>
      </c>
      <c r="I1097" s="29">
        <v>55</v>
      </c>
      <c r="J1097" s="29">
        <v>63</v>
      </c>
      <c r="K1097" s="29">
        <v>55</v>
      </c>
      <c r="L1097" s="29">
        <v>55</v>
      </c>
      <c r="M1097" s="29">
        <v>63</v>
      </c>
      <c r="N1097" s="29">
        <v>60</v>
      </c>
    </row>
    <row r="1099" spans="2:14">
      <c r="D1099" s="278" t="s">
        <v>444</v>
      </c>
      <c r="E1099" s="279">
        <f>AVERAGE(E1094:E1097)</f>
        <v>88.851247456094057</v>
      </c>
      <c r="F1099" s="279">
        <f t="shared" ref="F1099:N1099" si="344">AVERAGE(F1094:F1097)</f>
        <v>95.052545454545452</v>
      </c>
      <c r="G1099" s="279">
        <f t="shared" si="344"/>
        <v>106.70171598050985</v>
      </c>
      <c r="H1099" s="279">
        <f t="shared" si="344"/>
        <v>100.25</v>
      </c>
      <c r="I1099" s="279">
        <f t="shared" si="344"/>
        <v>103.75</v>
      </c>
      <c r="J1099" s="279">
        <f t="shared" si="344"/>
        <v>103.25</v>
      </c>
      <c r="K1099" s="279">
        <f t="shared" si="344"/>
        <v>90.5</v>
      </c>
      <c r="L1099" s="279">
        <f t="shared" si="344"/>
        <v>87.25</v>
      </c>
      <c r="M1099" s="279">
        <f t="shared" si="344"/>
        <v>102</v>
      </c>
      <c r="N1099" s="279">
        <f t="shared" si="344"/>
        <v>92.5</v>
      </c>
    </row>
    <row r="1100" spans="2:14">
      <c r="D1100" s="278" t="s">
        <v>445</v>
      </c>
      <c r="E1100" s="279">
        <f>MEDIAN(E1094:E1097)</f>
        <v>71.5</v>
      </c>
      <c r="F1100" s="279">
        <f t="shared" ref="F1100:N1100" si="345">MEDIAN(F1094:F1097)</f>
        <v>83.5</v>
      </c>
      <c r="G1100" s="279">
        <f t="shared" si="345"/>
        <v>91.5</v>
      </c>
      <c r="H1100" s="279">
        <f t="shared" si="345"/>
        <v>86</v>
      </c>
      <c r="I1100" s="279">
        <f t="shared" si="345"/>
        <v>92</v>
      </c>
      <c r="J1100" s="279">
        <f t="shared" si="345"/>
        <v>93.5</v>
      </c>
      <c r="K1100" s="279">
        <f t="shared" si="345"/>
        <v>81</v>
      </c>
      <c r="L1100" s="279">
        <f t="shared" si="345"/>
        <v>85.5</v>
      </c>
      <c r="M1100" s="279">
        <f t="shared" si="345"/>
        <v>101</v>
      </c>
      <c r="N1100" s="279">
        <f t="shared" si="345"/>
        <v>81.5</v>
      </c>
    </row>
    <row r="1102" spans="2:14" ht="15.6">
      <c r="C1102" t="s">
        <v>27</v>
      </c>
      <c r="D1102" s="157" t="s">
        <v>546</v>
      </c>
      <c r="E1102" s="138">
        <v>2024</v>
      </c>
      <c r="F1102" s="138">
        <f>E1102+1</f>
        <v>2025</v>
      </c>
      <c r="G1102" s="138">
        <f t="shared" ref="G1102" si="346">F1102+1</f>
        <v>2026</v>
      </c>
      <c r="H1102" s="138">
        <f t="shared" ref="H1102" si="347">G1102+1</f>
        <v>2027</v>
      </c>
      <c r="I1102" s="138">
        <f t="shared" ref="I1102" si="348">H1102+1</f>
        <v>2028</v>
      </c>
    </row>
    <row r="1103" spans="2:14">
      <c r="D1103" t="s">
        <v>542</v>
      </c>
      <c r="E1103">
        <v>62</v>
      </c>
      <c r="F1103">
        <v>65</v>
      </c>
      <c r="G1103">
        <v>60</v>
      </c>
      <c r="H1103">
        <v>60</v>
      </c>
      <c r="I1103">
        <v>60</v>
      </c>
    </row>
    <row r="1104" spans="2:14">
      <c r="D1104" t="s">
        <v>543</v>
      </c>
      <c r="E1104">
        <v>59</v>
      </c>
      <c r="F1104">
        <v>60</v>
      </c>
      <c r="G1104">
        <v>60</v>
      </c>
      <c r="H1104">
        <v>60</v>
      </c>
      <c r="I1104">
        <v>60</v>
      </c>
    </row>
    <row r="1105" spans="2:9">
      <c r="D1105" t="s">
        <v>544</v>
      </c>
      <c r="F1105">
        <v>85.1</v>
      </c>
      <c r="G1105">
        <v>83.8</v>
      </c>
      <c r="H1105">
        <v>84.3</v>
      </c>
      <c r="I1105">
        <v>84.7</v>
      </c>
    </row>
    <row r="1107" spans="2:9">
      <c r="D1107" s="278" t="s">
        <v>444</v>
      </c>
      <c r="E1107" s="279">
        <f>AVERAGE(E1103:E1105)</f>
        <v>60.5</v>
      </c>
      <c r="F1107" s="279">
        <f t="shared" ref="F1107:I1107" si="349">AVERAGE(F1103:F1105)</f>
        <v>70.033333333333331</v>
      </c>
      <c r="G1107" s="279">
        <f t="shared" si="349"/>
        <v>67.933333333333337</v>
      </c>
      <c r="H1107" s="279">
        <f t="shared" si="349"/>
        <v>68.100000000000009</v>
      </c>
      <c r="I1107" s="279">
        <f t="shared" si="349"/>
        <v>68.233333333333334</v>
      </c>
    </row>
    <row r="1108" spans="2:9">
      <c r="D1108" s="278" t="s">
        <v>445</v>
      </c>
      <c r="E1108" s="279">
        <f>MEDIAN(E1103:E1105)</f>
        <v>60.5</v>
      </c>
      <c r="F1108" s="279">
        <f t="shared" ref="F1108:I1108" si="350">MEDIAN(F1103:F1105)</f>
        <v>65</v>
      </c>
      <c r="G1108" s="279">
        <f t="shared" si="350"/>
        <v>60</v>
      </c>
      <c r="H1108" s="279">
        <f t="shared" si="350"/>
        <v>60</v>
      </c>
      <c r="I1108" s="279">
        <f t="shared" si="350"/>
        <v>60</v>
      </c>
    </row>
    <row r="1111" spans="2:9" ht="15.6">
      <c r="B1111" t="s">
        <v>27</v>
      </c>
      <c r="D1111" s="157" t="s">
        <v>438</v>
      </c>
      <c r="E1111" s="138"/>
      <c r="F1111" s="138"/>
      <c r="G1111" s="138"/>
      <c r="H1111" s="138"/>
      <c r="I1111" s="138"/>
    </row>
    <row r="1113" spans="2:9">
      <c r="D1113" t="s">
        <v>657</v>
      </c>
    </row>
    <row r="1126" spans="1:13" ht="23.4">
      <c r="A1126" t="s">
        <v>27</v>
      </c>
      <c r="D1126" s="353" t="s">
        <v>682</v>
      </c>
    </row>
    <row r="1128" spans="1:13">
      <c r="D1128" t="s">
        <v>661</v>
      </c>
    </row>
    <row r="1131" spans="1:13" ht="23.4">
      <c r="A1131" t="s">
        <v>27</v>
      </c>
      <c r="D1131" s="353" t="s">
        <v>660</v>
      </c>
    </row>
    <row r="1133" spans="1:13" ht="15.6">
      <c r="C1133" t="s">
        <v>27</v>
      </c>
      <c r="D1133" s="157" t="s">
        <v>308</v>
      </c>
      <c r="E1133" s="138">
        <v>2020</v>
      </c>
      <c r="F1133" s="138">
        <f>E1133+1</f>
        <v>2021</v>
      </c>
      <c r="G1133" s="138">
        <f t="shared" ref="G1133" si="351">F1133+1</f>
        <v>2022</v>
      </c>
      <c r="H1133" s="138">
        <f t="shared" ref="H1133" si="352">G1133+1</f>
        <v>2023</v>
      </c>
      <c r="I1133" s="138">
        <f t="shared" ref="I1133:J1133" si="353">H1133+1</f>
        <v>2024</v>
      </c>
      <c r="J1133" s="138">
        <f t="shared" si="353"/>
        <v>2025</v>
      </c>
      <c r="L1133" s="138" t="s">
        <v>444</v>
      </c>
      <c r="M1133" s="138" t="s">
        <v>445</v>
      </c>
    </row>
    <row r="1135" spans="1:13">
      <c r="D1135" t="s">
        <v>676</v>
      </c>
      <c r="E1135" s="223">
        <f>'Balance Sheet'!D17</f>
        <v>0</v>
      </c>
      <c r="F1135" s="223">
        <f>'Balance Sheet'!E17</f>
        <v>0</v>
      </c>
      <c r="G1135" s="223">
        <f>'Balance Sheet'!F17</f>
        <v>741</v>
      </c>
      <c r="H1135" s="223">
        <f>'Balance Sheet'!G17</f>
        <v>807</v>
      </c>
      <c r="I1135" s="223">
        <f>'Balance Sheet'!H17</f>
        <v>1106</v>
      </c>
      <c r="J1135" s="223">
        <f>'Balance Sheet'!I17</f>
        <v>1243</v>
      </c>
    </row>
    <row r="1136" spans="1:13">
      <c r="D1136" t="s">
        <v>593</v>
      </c>
      <c r="H1136" s="14">
        <f>H1135/G1135-1</f>
        <v>8.9068825910931126E-2</v>
      </c>
      <c r="I1136" s="14">
        <f t="shared" ref="I1136" si="354">I1135/H1135-1</f>
        <v>0.37050805452292446</v>
      </c>
      <c r="J1136" s="14">
        <f t="shared" ref="J1136" si="355">J1135/I1135-1</f>
        <v>0.12386980108499102</v>
      </c>
      <c r="L1136" s="360">
        <f>AVERAGE(H1136:J1136)</f>
        <v>0.19448222717294886</v>
      </c>
      <c r="M1136" s="360">
        <f>MEDIAN(H1136:J1136)</f>
        <v>0.12386980108499102</v>
      </c>
    </row>
    <row r="1137" spans="4:13">
      <c r="D1137" t="s">
        <v>677</v>
      </c>
      <c r="E1137" s="223">
        <f>'Balance Sheet'!D27</f>
        <v>0</v>
      </c>
      <c r="F1137" s="223">
        <f>'Balance Sheet'!E27</f>
        <v>0</v>
      </c>
      <c r="G1137" s="223">
        <f>'Balance Sheet'!F27</f>
        <v>302</v>
      </c>
      <c r="H1137" s="223">
        <f>'Balance Sheet'!G27</f>
        <v>314</v>
      </c>
      <c r="I1137" s="223">
        <f>'Balance Sheet'!H27</f>
        <v>365</v>
      </c>
      <c r="J1137" s="223">
        <f>'Balance Sheet'!I27</f>
        <v>404</v>
      </c>
    </row>
    <row r="1138" spans="4:13">
      <c r="D1138" t="s">
        <v>593</v>
      </c>
      <c r="H1138" s="14">
        <f>H1137/G1137-1</f>
        <v>3.9735099337748325E-2</v>
      </c>
      <c r="I1138" s="14">
        <f t="shared" ref="I1138" si="356">I1137/H1137-1</f>
        <v>0.16242038216560517</v>
      </c>
      <c r="J1138" s="14">
        <f t="shared" ref="J1138" si="357">J1137/I1137-1</f>
        <v>0.10684931506849304</v>
      </c>
      <c r="L1138" s="360">
        <f>AVERAGE(H1138:J1138)</f>
        <v>0.10300159885728218</v>
      </c>
      <c r="M1138" s="360">
        <f>MEDIAN(H1138:J1138)</f>
        <v>0.10684931506849304</v>
      </c>
    </row>
    <row r="1139" spans="4:13">
      <c r="D1139" t="s">
        <v>683</v>
      </c>
      <c r="E1139" s="223">
        <f>'Balance Sheet'!D26</f>
        <v>0</v>
      </c>
      <c r="F1139" s="223">
        <f>'Balance Sheet'!E26</f>
        <v>0</v>
      </c>
      <c r="G1139" s="223">
        <f>'Balance Sheet'!F26</f>
        <v>0</v>
      </c>
      <c r="H1139" s="223">
        <f>'Balance Sheet'!G26</f>
        <v>98</v>
      </c>
      <c r="I1139" s="223">
        <f>'Balance Sheet'!H26</f>
        <v>13</v>
      </c>
      <c r="J1139" s="223">
        <f>'Balance Sheet'!I26</f>
        <v>1</v>
      </c>
    </row>
    <row r="1140" spans="4:13">
      <c r="D1140" t="s">
        <v>593</v>
      </c>
      <c r="H1140" s="14"/>
      <c r="I1140" s="14">
        <f>I1139/H1139-1</f>
        <v>-0.86734693877551017</v>
      </c>
      <c r="J1140" s="14">
        <f t="shared" ref="J1140" si="358">J1139/I1139-1</f>
        <v>-0.92307692307692313</v>
      </c>
      <c r="L1140" s="360">
        <f>AVERAGE(H1140:J1140)</f>
        <v>-0.89521193092621665</v>
      </c>
      <c r="M1140" s="360">
        <f>MEDIAN(H1140:J1140)</f>
        <v>-0.89521193092621665</v>
      </c>
    </row>
    <row r="1141" spans="4:13">
      <c r="D1141" s="39" t="s">
        <v>103</v>
      </c>
      <c r="E1141" s="323">
        <f>SUM(E1135:E1140)</f>
        <v>0</v>
      </c>
      <c r="F1141" s="323">
        <f t="shared" ref="F1141:I1141" si="359">SUM(F1135:F1140)</f>
        <v>0</v>
      </c>
      <c r="G1141" s="323">
        <f t="shared" si="359"/>
        <v>1043</v>
      </c>
      <c r="H1141" s="323">
        <f>SUM(H1135,H1137,H1139)</f>
        <v>1219</v>
      </c>
      <c r="I1141" s="323">
        <f t="shared" si="359"/>
        <v>1483.6655814979131</v>
      </c>
      <c r="J1141" s="323">
        <f>SUM(J1135:J1140)</f>
        <v>1647.3076421930766</v>
      </c>
      <c r="K1141" s="223"/>
    </row>
    <row r="1142" spans="4:13">
      <c r="D1142" t="s">
        <v>593</v>
      </c>
      <c r="H1142" s="14">
        <f>H1141/G1141-1</f>
        <v>0.16874400767018227</v>
      </c>
      <c r="I1142" s="14">
        <f t="shared" ref="I1142:J1142" si="360">I1141/H1141-1</f>
        <v>0.21711696595398933</v>
      </c>
      <c r="J1142" s="14">
        <f t="shared" si="360"/>
        <v>0.11029578547609775</v>
      </c>
      <c r="L1142" s="360">
        <f>AVERAGE(H1142:J1142)</f>
        <v>0.16538558636675646</v>
      </c>
      <c r="M1142" s="360">
        <f>MEDIAN(H1142:J1142)</f>
        <v>0.16874400767018227</v>
      </c>
    </row>
    <row r="1143" spans="4:13">
      <c r="H1143" s="14"/>
      <c r="I1143" s="14"/>
      <c r="J1143" s="14"/>
      <c r="K1143" s="14"/>
    </row>
    <row r="1144" spans="4:13">
      <c r="D1144" s="315" t="s">
        <v>684</v>
      </c>
      <c r="E1144" s="315"/>
      <c r="F1144" s="315"/>
      <c r="G1144" s="316">
        <f t="shared" ref="G1144:J1144" si="361">G1135/G$1141</f>
        <v>0.71045062320230101</v>
      </c>
      <c r="H1144" s="316">
        <f t="shared" si="361"/>
        <v>0.66201804757998362</v>
      </c>
      <c r="I1144" s="316">
        <f t="shared" si="361"/>
        <v>0.74545100580103718</v>
      </c>
      <c r="J1144" s="316">
        <f t="shared" si="361"/>
        <v>0.75456458050858188</v>
      </c>
      <c r="L1144" s="360">
        <f>AVERAGE(G1144:J1144)</f>
        <v>0.71812106427297595</v>
      </c>
      <c r="M1144" s="360">
        <f>MEDIAN(G1144:J1144)</f>
        <v>0.7279508145016691</v>
      </c>
    </row>
    <row r="1145" spans="4:13">
      <c r="D1145" s="315" t="s">
        <v>685</v>
      </c>
      <c r="E1145" s="315"/>
      <c r="F1145" s="315"/>
      <c r="G1145" s="316">
        <f>G1137/G$1141</f>
        <v>0.28954937679769893</v>
      </c>
      <c r="H1145" s="316">
        <f t="shared" ref="H1145:J1145" si="362">H1137/H$1141</f>
        <v>0.25758818703855618</v>
      </c>
      <c r="I1145" s="316">
        <f>I1137/I$1141</f>
        <v>0.24601231204102944</v>
      </c>
      <c r="J1145" s="316">
        <f t="shared" si="362"/>
        <v>0.24524866494406042</v>
      </c>
      <c r="L1145" s="360">
        <f t="shared" ref="L1145" si="363">AVERAGE(G1145:J1145)</f>
        <v>0.25959963520533624</v>
      </c>
      <c r="M1145" s="360">
        <f t="shared" ref="M1145:M1146" si="364">MEDIAN(G1145:J1145)</f>
        <v>0.2518002495397928</v>
      </c>
    </row>
    <row r="1146" spans="4:13">
      <c r="D1146" s="315" t="s">
        <v>686</v>
      </c>
      <c r="E1146" s="315"/>
      <c r="F1146" s="315"/>
      <c r="G1146" s="365">
        <f>G1139/G$1141</f>
        <v>0</v>
      </c>
      <c r="H1146" s="365">
        <f t="shared" ref="H1146:J1146" si="365">H1139/H$1141</f>
        <v>8.0393765381460217E-2</v>
      </c>
      <c r="I1146" s="365">
        <f t="shared" si="365"/>
        <v>8.7620823466668021E-3</v>
      </c>
      <c r="J1146" s="365">
        <f t="shared" si="365"/>
        <v>6.0705115085163473E-4</v>
      </c>
      <c r="L1146" s="360">
        <f>AVERAGE(G1146:J1146)</f>
        <v>2.2440724719744662E-2</v>
      </c>
      <c r="M1146" s="360">
        <f t="shared" si="364"/>
        <v>4.6845667487592189E-3</v>
      </c>
    </row>
    <row r="1148" spans="4:13">
      <c r="D1148" t="s">
        <v>52</v>
      </c>
      <c r="E1148" s="223">
        <f>I1083</f>
        <v>39783</v>
      </c>
      <c r="F1148" s="223">
        <f t="shared" ref="F1148:J1148" si="366">J1083</f>
        <v>47028</v>
      </c>
      <c r="G1148" s="223">
        <f t="shared" si="366"/>
        <v>52446</v>
      </c>
      <c r="H1148" s="223">
        <f t="shared" si="366"/>
        <v>60580</v>
      </c>
      <c r="I1148" s="223">
        <f t="shared" si="366"/>
        <v>61896</v>
      </c>
      <c r="J1148" s="223">
        <f t="shared" si="366"/>
        <v>63121</v>
      </c>
    </row>
    <row r="1149" spans="4:13">
      <c r="D1149" t="s">
        <v>929</v>
      </c>
      <c r="E1149" s="223">
        <f>'Balance Sheet'!D13+'Balance Sheet'!D17+'Balance Sheet'!D26+'Balance Sheet'!D27</f>
        <v>8246</v>
      </c>
      <c r="F1149" s="223">
        <f>'Balance Sheet'!E13+'Balance Sheet'!E17+'Balance Sheet'!E26+'Balance Sheet'!E27</f>
        <v>47694</v>
      </c>
      <c r="G1149" s="223">
        <f>'Balance Sheet'!F13+'Balance Sheet'!F17+'Balance Sheet'!F26+'Balance Sheet'!F27</f>
        <v>50130</v>
      </c>
      <c r="H1149" s="223">
        <f>'Balance Sheet'!G13+'Balance Sheet'!G17+'Balance Sheet'!G26+'Balance Sheet'!G27</f>
        <v>51741</v>
      </c>
      <c r="I1149" s="223">
        <f>'Balance Sheet'!H13+'Balance Sheet'!H17+'Balance Sheet'!H26+'Balance Sheet'!H27</f>
        <v>52907</v>
      </c>
      <c r="J1149" s="223">
        <f>'Balance Sheet'!I13+'Balance Sheet'!I17+'Balance Sheet'!I26+'Balance Sheet'!I27</f>
        <v>51257</v>
      </c>
    </row>
    <row r="1151" spans="4:13">
      <c r="D1151" s="315" t="s">
        <v>688</v>
      </c>
      <c r="E1151" s="316">
        <f>E1135/E$1148</f>
        <v>0</v>
      </c>
      <c r="F1151" s="316">
        <f t="shared" ref="F1151:J1151" si="367">F1135/F$1148</f>
        <v>0</v>
      </c>
      <c r="G1151" s="316">
        <f t="shared" si="367"/>
        <v>1.4128818213019105E-2</v>
      </c>
      <c r="H1151" s="316">
        <f t="shared" si="367"/>
        <v>1.3321228128095081E-2</v>
      </c>
      <c r="I1151" s="316">
        <f t="shared" si="367"/>
        <v>1.7868682952048597E-2</v>
      </c>
      <c r="J1151" s="316">
        <f t="shared" si="367"/>
        <v>1.9692336940162546E-2</v>
      </c>
      <c r="L1151" s="360">
        <f t="shared" ref="L1151:L1153" si="368">AVERAGE(G1151:J1151)</f>
        <v>1.6252766558331331E-2</v>
      </c>
      <c r="M1151" s="360">
        <f t="shared" ref="M1151:M1153" si="369">MEDIAN(G1151:J1151)</f>
        <v>1.599875058253385E-2</v>
      </c>
    </row>
    <row r="1152" spans="4:13">
      <c r="D1152" s="315" t="s">
        <v>687</v>
      </c>
      <c r="E1152" s="316">
        <f t="shared" ref="E1152:J1152" si="370">E1137/E$1148</f>
        <v>0</v>
      </c>
      <c r="F1152" s="316">
        <f t="shared" si="370"/>
        <v>0</v>
      </c>
      <c r="G1152" s="316">
        <f t="shared" si="370"/>
        <v>5.7583037791251951E-3</v>
      </c>
      <c r="H1152" s="316">
        <f t="shared" si="370"/>
        <v>5.1832287883790034E-3</v>
      </c>
      <c r="I1152" s="316">
        <f t="shared" si="370"/>
        <v>5.8969884968333979E-3</v>
      </c>
      <c r="J1152" s="316">
        <f t="shared" si="370"/>
        <v>6.4004055702539565E-3</v>
      </c>
      <c r="L1152" s="360">
        <f t="shared" si="368"/>
        <v>5.8097316586478882E-3</v>
      </c>
      <c r="M1152" s="360">
        <f t="shared" si="369"/>
        <v>5.827646137979297E-3</v>
      </c>
    </row>
    <row r="1153" spans="3:15">
      <c r="D1153" s="315" t="s">
        <v>689</v>
      </c>
      <c r="E1153" s="316">
        <f t="shared" ref="E1153:J1153" si="371">E1140/E$1148</f>
        <v>0</v>
      </c>
      <c r="F1153" s="316">
        <f t="shared" si="371"/>
        <v>0</v>
      </c>
      <c r="G1153" s="316">
        <f t="shared" si="371"/>
        <v>0</v>
      </c>
      <c r="H1153" s="316">
        <f t="shared" si="371"/>
        <v>0</v>
      </c>
      <c r="I1153" s="316">
        <f t="shared" si="371"/>
        <v>-1.4012972385542041E-5</v>
      </c>
      <c r="J1153" s="316">
        <f t="shared" si="371"/>
        <v>-1.4623927426322827E-5</v>
      </c>
      <c r="L1153" s="360">
        <f t="shared" si="368"/>
        <v>-7.1592249529662171E-6</v>
      </c>
      <c r="M1153" s="360">
        <f t="shared" si="369"/>
        <v>-7.0064861927710207E-6</v>
      </c>
    </row>
    <row r="1155" spans="3:15">
      <c r="D1155" s="315" t="s">
        <v>690</v>
      </c>
      <c r="E1155" s="359">
        <f>E1141/'Balance Sheet'!D13</f>
        <v>0</v>
      </c>
      <c r="F1155" s="359">
        <f>F1141/'Balance Sheet'!E13</f>
        <v>0</v>
      </c>
      <c r="G1155" s="359">
        <f>G1141/'Balance Sheet'!F13</f>
        <v>2.1247988265732272E-2</v>
      </c>
      <c r="H1155" s="359">
        <f>H1141/'Balance Sheet'!G13</f>
        <v>2.4128102608764499E-2</v>
      </c>
      <c r="I1155" s="359">
        <f>I1141/'Balance Sheet'!H13</f>
        <v>2.8852178626255044E-2</v>
      </c>
      <c r="J1155" s="359">
        <f>J1141/'Balance Sheet'!I13</f>
        <v>3.3205822374832723E-2</v>
      </c>
      <c r="L1155" s="359">
        <f>AVERAGE(E1155:J1155)</f>
        <v>1.790568197926409E-2</v>
      </c>
      <c r="M1155" s="359">
        <f>MEDIAN(E1155:J1155)</f>
        <v>2.2688045437248387E-2</v>
      </c>
    </row>
    <row r="1156" spans="3:15">
      <c r="D1156" s="315" t="s">
        <v>691</v>
      </c>
      <c r="E1156" s="359">
        <f>E1141/E1149</f>
        <v>0</v>
      </c>
      <c r="F1156" s="359">
        <f t="shared" ref="F1156:I1156" si="372">F1141/F1149</f>
        <v>0</v>
      </c>
      <c r="G1156" s="359">
        <f t="shared" si="372"/>
        <v>2.0805904647915419E-2</v>
      </c>
      <c r="H1156" s="359">
        <f t="shared" si="372"/>
        <v>2.3559652886492338E-2</v>
      </c>
      <c r="I1156" s="359">
        <f t="shared" si="372"/>
        <v>2.8042897565500085E-2</v>
      </c>
      <c r="J1156" s="359">
        <f>J1141/J1149</f>
        <v>3.2138198532748241E-2</v>
      </c>
      <c r="L1156" s="359">
        <f t="shared" ref="L1156:L1158" si="373">AVERAGE(E1156:J1156)</f>
        <v>1.7424442272109347E-2</v>
      </c>
      <c r="M1156" s="359">
        <f t="shared" ref="M1156:M1158" si="374">MEDIAN(E1156:J1156)</f>
        <v>2.2182778767203877E-2</v>
      </c>
    </row>
    <row r="1157" spans="3:15">
      <c r="D1157" s="315" t="s">
        <v>692</v>
      </c>
      <c r="E1157" s="359">
        <f>E1141/'Balance Sheet'!D35</f>
        <v>0</v>
      </c>
      <c r="F1157" s="359">
        <f>F1141/'Balance Sheet'!E35</f>
        <v>0</v>
      </c>
      <c r="G1157" s="359">
        <f>G1141/'Balance Sheet'!F35</f>
        <v>1.4790759674971992E-2</v>
      </c>
      <c r="H1157" s="359">
        <f>H1141/'Balance Sheet'!G35</f>
        <v>1.6678752719361856E-2</v>
      </c>
      <c r="I1157" s="359">
        <f>I1141/'Balance Sheet'!H35</f>
        <v>1.8900439260346159E-2</v>
      </c>
      <c r="J1157" s="359">
        <f>J1141/'Balance Sheet'!I35</f>
        <v>2.0622278945832205E-2</v>
      </c>
      <c r="L1157" s="359">
        <f t="shared" si="373"/>
        <v>1.1832038433418702E-2</v>
      </c>
      <c r="M1157" s="359">
        <f t="shared" si="374"/>
        <v>1.5734756197166924E-2</v>
      </c>
    </row>
    <row r="1158" spans="3:15">
      <c r="D1158" s="315" t="s">
        <v>693</v>
      </c>
      <c r="E1158" s="359">
        <f>E1141/' Income Statement'!D37</f>
        <v>0</v>
      </c>
      <c r="F1158" s="359">
        <f>F1141/' Income Statement'!E37</f>
        <v>0</v>
      </c>
      <c r="G1158" s="359">
        <f>G1141/' Income Statement'!F37</f>
        <v>8.1123123590262108E-2</v>
      </c>
      <c r="H1158" s="359">
        <f>H1141/' Income Statement'!G37</f>
        <v>8.6154498551134356E-2</v>
      </c>
      <c r="I1158" s="359">
        <f>I1141/' Income Statement'!H37</f>
        <v>0.1011843129985619</v>
      </c>
      <c r="J1158" s="359">
        <f>J1141/' Income Statement'!I37</f>
        <v>0.11092233803737638</v>
      </c>
      <c r="L1158" s="359">
        <f t="shared" si="373"/>
        <v>6.3230712196222463E-2</v>
      </c>
      <c r="M1158" s="359">
        <f t="shared" si="374"/>
        <v>8.3638811070698232E-2</v>
      </c>
    </row>
    <row r="1159" spans="3:15">
      <c r="D1159" s="154"/>
      <c r="E1159" s="112"/>
      <c r="F1159" s="112"/>
      <c r="G1159" s="112"/>
      <c r="H1159" s="112"/>
      <c r="I1159" s="112"/>
      <c r="J1159" s="112"/>
      <c r="L1159" s="112"/>
      <c r="M1159" s="112"/>
    </row>
    <row r="1160" spans="3:15">
      <c r="D1160" s="154"/>
      <c r="E1160" s="112"/>
      <c r="F1160" s="112"/>
      <c r="G1160" s="112"/>
      <c r="H1160" s="112"/>
      <c r="I1160" s="112"/>
      <c r="J1160" s="112"/>
      <c r="L1160" s="112"/>
      <c r="M1160" s="112"/>
    </row>
    <row r="1161" spans="3:15" ht="15.6">
      <c r="C1161" t="s">
        <v>27</v>
      </c>
      <c r="D1161" s="157" t="s">
        <v>308</v>
      </c>
      <c r="E1161" s="138">
        <v>2020</v>
      </c>
      <c r="F1161" s="138">
        <f>E1161+1</f>
        <v>2021</v>
      </c>
      <c r="G1161" s="138">
        <f>F1161+1</f>
        <v>2022</v>
      </c>
      <c r="H1161" s="138">
        <f t="shared" ref="H1161" si="375">G1161+1</f>
        <v>2023</v>
      </c>
      <c r="I1161" s="138">
        <f t="shared" ref="I1161" si="376">H1161+1</f>
        <v>2024</v>
      </c>
      <c r="J1161" s="138">
        <f t="shared" ref="J1161" si="377">I1161+1</f>
        <v>2025</v>
      </c>
      <c r="L1161" s="112"/>
      <c r="M1161" s="112"/>
    </row>
    <row r="1162" spans="3:15">
      <c r="D1162" s="11" t="s">
        <v>719</v>
      </c>
      <c r="E1162" s="223">
        <f>-SUM('Cash Flow Statement'!D71,'Cash Flow Statement'!D72)</f>
        <v>453</v>
      </c>
      <c r="F1162" s="223">
        <f>-SUM('Cash Flow Statement'!E71,'Cash Flow Statement'!E72)</f>
        <v>492</v>
      </c>
      <c r="G1162" s="223">
        <f>-SUM('Cash Flow Statement'!F71,'Cash Flow Statement'!F72)</f>
        <v>510</v>
      </c>
      <c r="H1162" s="223">
        <f>-SUM('Cash Flow Statement'!G71,'Cash Flow Statement'!G72)</f>
        <v>541</v>
      </c>
      <c r="I1162" s="223">
        <f>-SUM('Cash Flow Statement'!H71,'Cash Flow Statement'!H72)</f>
        <v>529</v>
      </c>
      <c r="J1162" s="223">
        <f>-SUM('Cash Flow Statement'!I71,'Cash Flow Statement'!I72)</f>
        <v>625</v>
      </c>
      <c r="L1162" s="112"/>
      <c r="M1162" s="112"/>
    </row>
    <row r="1163" spans="3:15">
      <c r="D1163" t="s">
        <v>720</v>
      </c>
      <c r="E1163" s="223">
        <f t="shared" ref="E1163:F1163" si="378">SUM(E1135,E1137)</f>
        <v>0</v>
      </c>
      <c r="F1163" s="223">
        <f t="shared" si="378"/>
        <v>0</v>
      </c>
      <c r="G1163" s="223">
        <f>SUM(G1135,G1137)</f>
        <v>1043</v>
      </c>
      <c r="H1163" s="223">
        <f>SUM(H1135,H1137)</f>
        <v>1121</v>
      </c>
      <c r="I1163" s="223">
        <f>SUM(I1135,I1137)</f>
        <v>1471</v>
      </c>
      <c r="J1163" s="223">
        <f>SUM(J1135,J1137)</f>
        <v>1647</v>
      </c>
      <c r="L1163" s="112"/>
      <c r="M1163" s="112"/>
    </row>
    <row r="1164" spans="3:15">
      <c r="D1164" s="154"/>
      <c r="E1164" s="154"/>
      <c r="F1164" s="154"/>
      <c r="G1164" s="112"/>
      <c r="H1164" s="112"/>
      <c r="I1164" s="112"/>
      <c r="J1164" s="112"/>
      <c r="K1164" s="112"/>
      <c r="L1164" s="112"/>
      <c r="N1164" s="112"/>
      <c r="O1164" s="112"/>
    </row>
    <row r="1165" spans="3:15">
      <c r="D1165" s="11" t="s">
        <v>721</v>
      </c>
      <c r="E1165" s="11"/>
      <c r="F1165" s="11"/>
      <c r="G1165" s="360">
        <f>G1162/G1163</f>
        <v>0.48897411313518696</v>
      </c>
      <c r="H1165" s="360">
        <f t="shared" ref="H1165:J1165" si="379">H1162/H1163</f>
        <v>0.4826048171275647</v>
      </c>
      <c r="I1165" s="360">
        <f t="shared" si="379"/>
        <v>0.35961930659415364</v>
      </c>
      <c r="J1165" s="360">
        <f t="shared" si="379"/>
        <v>0.37947783849423194</v>
      </c>
      <c r="K1165" s="112"/>
      <c r="L1165" s="112"/>
      <c r="N1165" s="360">
        <f t="shared" ref="N1165" si="380">AVERAGE(I1165:L1165)</f>
        <v>0.36954857254419282</v>
      </c>
      <c r="O1165" s="360">
        <f t="shared" ref="O1165" si="381">MEDIAN(I1165:L1165)</f>
        <v>0.36954857254419282</v>
      </c>
    </row>
    <row r="1166" spans="3:15">
      <c r="D1166" s="154"/>
      <c r="E1166" s="112"/>
      <c r="F1166" s="112"/>
      <c r="G1166" s="112"/>
      <c r="H1166" s="112"/>
      <c r="I1166" s="112"/>
      <c r="J1166" s="112"/>
      <c r="L1166" s="112"/>
      <c r="M1166" s="112"/>
    </row>
    <row r="1167" spans="3:15">
      <c r="D1167" s="154"/>
      <c r="E1167" s="112"/>
      <c r="F1167" s="112"/>
      <c r="G1167" s="112"/>
      <c r="H1167" s="112"/>
      <c r="I1167" s="112"/>
      <c r="J1167" s="112"/>
      <c r="L1167" s="112"/>
      <c r="M1167" s="112"/>
    </row>
    <row r="1168" spans="3:15">
      <c r="F1168" s="344"/>
      <c r="G1168" s="344"/>
      <c r="H1168" s="344"/>
      <c r="I1168" s="344"/>
      <c r="J1168" s="344"/>
      <c r="K1168" s="344"/>
    </row>
    <row r="1170" spans="3:4">
      <c r="C1170" t="s">
        <v>27</v>
      </c>
      <c r="D1170" s="157" t="s">
        <v>438</v>
      </c>
    </row>
    <row r="1172" spans="3:4">
      <c r="D1172" t="s">
        <v>694</v>
      </c>
    </row>
    <row r="1187" spans="1:13" ht="23.4">
      <c r="A1187" t="s">
        <v>27</v>
      </c>
      <c r="D1187" s="353" t="s">
        <v>697</v>
      </c>
    </row>
    <row r="1189" spans="1:13" ht="15.6">
      <c r="C1189" t="s">
        <v>27</v>
      </c>
      <c r="D1189" s="157" t="s">
        <v>308</v>
      </c>
      <c r="E1189" s="138">
        <v>2020</v>
      </c>
      <c r="F1189" s="138">
        <f>E1189+1</f>
        <v>2021</v>
      </c>
      <c r="G1189" s="138">
        <f t="shared" ref="G1189" si="382">F1189+1</f>
        <v>2022</v>
      </c>
      <c r="H1189" s="138">
        <f t="shared" ref="H1189" si="383">G1189+1</f>
        <v>2023</v>
      </c>
      <c r="I1189" s="138">
        <f t="shared" ref="I1189" si="384">H1189+1</f>
        <v>2024</v>
      </c>
      <c r="J1189" s="138">
        <f t="shared" ref="J1189" si="385">I1189+1</f>
        <v>2025</v>
      </c>
      <c r="L1189" s="138" t="s">
        <v>444</v>
      </c>
      <c r="M1189" s="138" t="s">
        <v>445</v>
      </c>
    </row>
    <row r="1191" spans="1:13">
      <c r="D1191" s="20" t="s">
        <v>103</v>
      </c>
      <c r="E1191" s="224">
        <f>E1141</f>
        <v>0</v>
      </c>
      <c r="F1191" s="224">
        <f t="shared" ref="F1191:J1191" si="386">F1141</f>
        <v>0</v>
      </c>
      <c r="G1191" s="224">
        <f t="shared" si="386"/>
        <v>1043</v>
      </c>
      <c r="H1191" s="224">
        <f t="shared" si="386"/>
        <v>1219</v>
      </c>
      <c r="I1191" s="224">
        <f t="shared" si="386"/>
        <v>1483.6655814979131</v>
      </c>
      <c r="J1191" s="224">
        <f t="shared" si="386"/>
        <v>1647.3076421930766</v>
      </c>
    </row>
    <row r="1192" spans="1:13">
      <c r="D1192" t="s">
        <v>695</v>
      </c>
      <c r="E1192">
        <f>-' Income Statement'!D44</f>
        <v>118</v>
      </c>
      <c r="F1192">
        <f>-' Income Statement'!E44</f>
        <v>117</v>
      </c>
      <c r="G1192">
        <f>-' Income Statement'!F44</f>
        <v>106</v>
      </c>
      <c r="H1192">
        <f>-' Income Statement'!G44</f>
        <v>114</v>
      </c>
      <c r="I1192">
        <f>-' Income Statement'!H44</f>
        <v>334</v>
      </c>
      <c r="J1192">
        <f>-' Income Statement'!I44</f>
        <v>395</v>
      </c>
    </row>
    <row r="1193" spans="1:13">
      <c r="D1193" t="s">
        <v>696</v>
      </c>
      <c r="G1193" s="14">
        <f t="shared" ref="G1193:J1193" si="387">G1192/G1191</f>
        <v>0.10162991371045062</v>
      </c>
      <c r="H1193" s="14">
        <f t="shared" si="387"/>
        <v>9.3519278096800662E-2</v>
      </c>
      <c r="I1193" s="14">
        <f t="shared" si="387"/>
        <v>0.22511811567590093</v>
      </c>
      <c r="J1193" s="14">
        <f t="shared" si="387"/>
        <v>0.23978520458639571</v>
      </c>
      <c r="L1193" s="360">
        <f>AVERAGE(G1193:J1193)</f>
        <v>0.16501312801738699</v>
      </c>
      <c r="M1193" s="360">
        <f>MEDIAN(G1193:J1193)</f>
        <v>0.16337401469317578</v>
      </c>
    </row>
    <row r="1194" spans="1:13">
      <c r="G1194" s="14"/>
      <c r="H1194" s="14"/>
      <c r="I1194" s="14"/>
      <c r="J1194" s="14"/>
      <c r="L1194" s="158"/>
      <c r="M1194" s="158"/>
    </row>
    <row r="1195" spans="1:13">
      <c r="D1195" t="s">
        <v>52</v>
      </c>
      <c r="E1195" s="223">
        <f>E1148</f>
        <v>39783</v>
      </c>
      <c r="F1195" s="223">
        <f t="shared" ref="F1195:J1195" si="388">F1148</f>
        <v>47028</v>
      </c>
      <c r="G1195" s="223">
        <f t="shared" si="388"/>
        <v>52446</v>
      </c>
      <c r="H1195" s="223">
        <f t="shared" si="388"/>
        <v>60580</v>
      </c>
      <c r="I1195" s="223">
        <f t="shared" si="388"/>
        <v>61896</v>
      </c>
      <c r="J1195" s="223">
        <f t="shared" si="388"/>
        <v>63121</v>
      </c>
      <c r="L1195" s="158"/>
      <c r="M1195" s="158"/>
    </row>
    <row r="1196" spans="1:13">
      <c r="D1196" t="s">
        <v>707</v>
      </c>
      <c r="E1196" s="110">
        <f>E1192/E1195</f>
        <v>2.9660910439132291E-3</v>
      </c>
      <c r="F1196" s="110">
        <f t="shared" ref="F1196:J1196" si="389">F1192/F1195</f>
        <v>2.4878795611125285E-3</v>
      </c>
      <c r="G1196" s="110">
        <f t="shared" si="389"/>
        <v>2.0211264920108303E-3</v>
      </c>
      <c r="H1196" s="110">
        <f t="shared" si="389"/>
        <v>1.881809177946517E-3</v>
      </c>
      <c r="I1196" s="110">
        <f t="shared" si="389"/>
        <v>5.3961483779242604E-3</v>
      </c>
      <c r="J1196" s="110">
        <f t="shared" si="389"/>
        <v>6.2578222778473091E-3</v>
      </c>
      <c r="L1196" s="372">
        <f>AVERAGE(G1196:J1196)</f>
        <v>3.8892265814322292E-3</v>
      </c>
      <c r="M1196" s="372">
        <f>MEDIAN(G1196:J1196)</f>
        <v>3.7086374349675454E-3</v>
      </c>
    </row>
    <row r="1198" spans="1:13">
      <c r="C1198" t="s">
        <v>27</v>
      </c>
      <c r="D1198" s="362" t="s">
        <v>308</v>
      </c>
      <c r="E1198" s="156" t="s">
        <v>697</v>
      </c>
      <c r="F1198" s="156" t="s">
        <v>698</v>
      </c>
    </row>
    <row r="1199" spans="1:13">
      <c r="D1199" t="s">
        <v>699</v>
      </c>
      <c r="E1199" s="363">
        <v>7.7399999999999997E-2</v>
      </c>
      <c r="F1199" s="364">
        <v>1647</v>
      </c>
    </row>
    <row r="1200" spans="1:13">
      <c r="D1200" t="s">
        <v>683</v>
      </c>
      <c r="E1200" s="363">
        <v>9.9500000000000005E-2</v>
      </c>
      <c r="F1200" s="364">
        <v>1</v>
      </c>
    </row>
    <row r="1201" spans="1:22">
      <c r="D1201" s="39" t="s">
        <v>697</v>
      </c>
      <c r="E1201" s="367">
        <f>SUMPRODUCT(E1199:E1200,F1199:F1200)/SUM(F1199:F1200)</f>
        <v>7.7413410194174748E-2</v>
      </c>
      <c r="F1201" s="39">
        <f>SUM(F1199:F1200)</f>
        <v>1648</v>
      </c>
    </row>
    <row r="1211" spans="1:22" ht="23.4">
      <c r="A1211" t="s">
        <v>27</v>
      </c>
      <c r="D1211" s="353" t="s">
        <v>712</v>
      </c>
    </row>
    <row r="1213" spans="1:22" ht="15.6">
      <c r="D1213" s="157" t="s">
        <v>308</v>
      </c>
      <c r="E1213" s="138">
        <v>2016</v>
      </c>
      <c r="F1213" s="138">
        <f>E1213+1</f>
        <v>2017</v>
      </c>
      <c r="G1213" s="138">
        <f t="shared" ref="G1213" si="390">F1213+1</f>
        <v>2018</v>
      </c>
      <c r="H1213" s="138">
        <f t="shared" ref="H1213" si="391">G1213+1</f>
        <v>2019</v>
      </c>
      <c r="I1213" s="138">
        <f t="shared" ref="I1213" si="392">H1213+1</f>
        <v>2020</v>
      </c>
      <c r="J1213" s="138">
        <f t="shared" ref="J1213" si="393">I1213+1</f>
        <v>2021</v>
      </c>
      <c r="K1213" s="138">
        <f>J1213+1</f>
        <v>2022</v>
      </c>
      <c r="L1213" s="138">
        <f>K1213+1</f>
        <v>2023</v>
      </c>
      <c r="M1213" s="138">
        <f t="shared" ref="M1213" si="394">L1213+1</f>
        <v>2024</v>
      </c>
      <c r="N1213" s="138">
        <f t="shared" ref="N1213" si="395">M1213+1</f>
        <v>2025</v>
      </c>
      <c r="O1213" s="339"/>
      <c r="P1213" s="138" t="s">
        <v>444</v>
      </c>
      <c r="Q1213" s="138"/>
      <c r="R1213" s="138"/>
      <c r="S1213" s="138"/>
      <c r="T1213" s="138"/>
      <c r="U1213" s="138"/>
      <c r="V1213" s="138" t="s">
        <v>445</v>
      </c>
    </row>
    <row r="1215" spans="1:22">
      <c r="D1215" t="s">
        <v>75</v>
      </c>
      <c r="E1215" s="158">
        <v>0.83</v>
      </c>
      <c r="F1215" s="158">
        <v>0.82</v>
      </c>
      <c r="G1215" s="158">
        <v>0.83</v>
      </c>
      <c r="H1215" s="158">
        <v>0.78</v>
      </c>
      <c r="I1215" s="158">
        <v>0.8</v>
      </c>
      <c r="J1215" s="158">
        <v>1.19</v>
      </c>
      <c r="K1215" s="158">
        <v>0.9</v>
      </c>
      <c r="L1215" s="158">
        <v>0.91</v>
      </c>
      <c r="M1215" s="158">
        <v>0.96</v>
      </c>
      <c r="N1215" s="158">
        <v>1.17</v>
      </c>
      <c r="P1215" s="158">
        <f>AVERAGE(E1215:N1215)</f>
        <v>0.91899999999999993</v>
      </c>
      <c r="Q1215" s="158"/>
      <c r="R1215" s="158"/>
      <c r="S1215" s="158"/>
      <c r="T1215" s="158"/>
      <c r="U1215" s="158"/>
      <c r="V1215" s="158">
        <f>MEDIAN(E1215:N1215)</f>
        <v>0.86499999999999999</v>
      </c>
    </row>
    <row r="1218" spans="1:15" ht="23.4">
      <c r="A1218" t="s">
        <v>27</v>
      </c>
      <c r="D1218" s="353" t="s">
        <v>734</v>
      </c>
    </row>
    <row r="1220" spans="1:15" ht="15.6">
      <c r="D1220" s="157" t="s">
        <v>308</v>
      </c>
      <c r="E1220" s="138">
        <v>2020</v>
      </c>
      <c r="F1220" s="138">
        <f>E1220+1</f>
        <v>2021</v>
      </c>
      <c r="G1220" s="138">
        <f t="shared" ref="G1220" si="396">F1220+1</f>
        <v>2022</v>
      </c>
      <c r="H1220" s="138">
        <f t="shared" ref="H1220" si="397">G1220+1</f>
        <v>2023</v>
      </c>
      <c r="I1220" s="138">
        <f t="shared" ref="I1220" si="398">H1220+1</f>
        <v>2024</v>
      </c>
      <c r="J1220" s="138">
        <f t="shared" ref="J1220" si="399">I1220+1</f>
        <v>2025</v>
      </c>
      <c r="K1220" s="138">
        <f>J1220+1</f>
        <v>2026</v>
      </c>
      <c r="L1220" s="138">
        <f>K1220+1</f>
        <v>2027</v>
      </c>
      <c r="M1220" s="138">
        <f t="shared" ref="M1220" si="400">L1220+1</f>
        <v>2028</v>
      </c>
      <c r="N1220" s="138">
        <f t="shared" ref="N1220:O1220" si="401">M1220+1</f>
        <v>2029</v>
      </c>
      <c r="O1220" s="138">
        <f t="shared" si="401"/>
        <v>2030</v>
      </c>
    </row>
    <row r="1222" spans="1:15">
      <c r="D1222" t="s">
        <v>20</v>
      </c>
      <c r="E1222" s="223">
        <f>'3Statement Model'!D102</f>
        <v>3216</v>
      </c>
      <c r="F1222" s="223">
        <f>'3Statement Model'!E102</f>
        <v>1842</v>
      </c>
      <c r="G1222" s="223">
        <f>'3Statement Model'!F102</f>
        <v>1147</v>
      </c>
      <c r="H1222" s="223">
        <f>'3Statement Model'!G102</f>
        <v>714</v>
      </c>
      <c r="I1222" s="223">
        <f>'3Statement Model'!H102</f>
        <v>812</v>
      </c>
      <c r="J1222" s="223">
        <f>'3Statement Model'!I102</f>
        <v>6070</v>
      </c>
      <c r="K1222" s="223">
        <f>'3Statement Model'!J102</f>
        <v>10212.502393301236</v>
      </c>
      <c r="L1222" s="223">
        <f>'3Statement Model'!K102</f>
        <v>11148.465780413502</v>
      </c>
      <c r="M1222" s="223">
        <f>'3Statement Model'!L102</f>
        <v>11550.566508480581</v>
      </c>
      <c r="N1222" s="223">
        <f>'3Statement Model'!M102</f>
        <v>11756.223213700774</v>
      </c>
      <c r="O1222" s="223">
        <f>'3Statement Model'!N102</f>
        <v>11719.972143040559</v>
      </c>
    </row>
    <row r="1224" spans="1:15">
      <c r="D1224" t="s">
        <v>52</v>
      </c>
      <c r="E1224" s="223">
        <f>'3Statement Model'!D13</f>
        <v>39783</v>
      </c>
      <c r="F1224" s="223">
        <f>'3Statement Model'!E13</f>
        <v>47028</v>
      </c>
      <c r="G1224" s="223">
        <f>'3Statement Model'!F13</f>
        <v>52446</v>
      </c>
      <c r="H1224" s="223">
        <f>'3Statement Model'!G13</f>
        <v>60590</v>
      </c>
      <c r="I1224" s="223">
        <f>'3Statement Model'!H13</f>
        <v>61836</v>
      </c>
      <c r="J1224" s="223">
        <f>'3Statement Model'!I13</f>
        <v>63121</v>
      </c>
      <c r="K1224" s="223">
        <f>'3Statement Model'!J13</f>
        <v>68610.580000000016</v>
      </c>
      <c r="L1224" s="223">
        <f>'3Statement Model'!K13</f>
        <v>74637.470400000006</v>
      </c>
      <c r="M1224" s="223">
        <f>'3Statement Model'!L13</f>
        <v>81258.607912000007</v>
      </c>
      <c r="N1224" s="223">
        <f>'3Statement Model'!M13</f>
        <v>88537.282247160038</v>
      </c>
      <c r="O1224" s="223">
        <f>'3Statement Model'!N13</f>
        <v>96543.868598924819</v>
      </c>
    </row>
    <row r="1226" spans="1:15">
      <c r="D1226" t="s">
        <v>735</v>
      </c>
      <c r="E1226" s="14">
        <f>E1222/E1224</f>
        <v>8.0838549129024967E-2</v>
      </c>
      <c r="F1226" s="14">
        <f t="shared" ref="F1226:O1226" si="402">F1222/F1224</f>
        <v>3.9168155141617762E-2</v>
      </c>
      <c r="G1226" s="14">
        <f t="shared" si="402"/>
        <v>2.1870114022041719E-2</v>
      </c>
      <c r="H1226" s="14">
        <f t="shared" si="402"/>
        <v>1.1784122792540022E-2</v>
      </c>
      <c r="I1226" s="14">
        <f t="shared" si="402"/>
        <v>1.3131509153244065E-2</v>
      </c>
      <c r="J1226" s="14">
        <f t="shared" si="402"/>
        <v>9.6164509434261178E-2</v>
      </c>
      <c r="K1226" s="14">
        <f t="shared" si="402"/>
        <v>0.14884734093927254</v>
      </c>
      <c r="L1226" s="14">
        <f t="shared" si="402"/>
        <v>0.14936821573220815</v>
      </c>
      <c r="M1226" s="14">
        <f t="shared" si="402"/>
        <v>0.14214575914208877</v>
      </c>
      <c r="N1226" s="14">
        <f t="shared" si="402"/>
        <v>0.13278274321637959</v>
      </c>
      <c r="O1226" s="14">
        <f t="shared" si="402"/>
        <v>0.12139530260310162</v>
      </c>
    </row>
    <row r="1228" spans="1:15">
      <c r="D1228" t="s">
        <v>12</v>
      </c>
      <c r="E1228" s="223">
        <f>'3Statement Model'!D109</f>
        <v>20153</v>
      </c>
      <c r="F1228" s="223">
        <f>'3Statement Model'!E109</f>
        <v>68757</v>
      </c>
      <c r="G1228" s="223">
        <f>'3Statement Model'!F109</f>
        <v>70517</v>
      </c>
      <c r="H1228" s="223">
        <f>'3Statement Model'!G109</f>
        <v>73087</v>
      </c>
      <c r="I1228" s="223">
        <f>'3Statement Model'!H109</f>
        <v>78499</v>
      </c>
      <c r="J1228" s="223">
        <f>'3Statement Model'!I109</f>
        <v>79880</v>
      </c>
      <c r="K1228" s="223">
        <f>'3Statement Model'!J109</f>
        <v>84762.475246437869</v>
      </c>
      <c r="L1228" s="223">
        <f>'3Statement Model'!K109</f>
        <v>87080.195191281731</v>
      </c>
      <c r="M1228" s="223">
        <f>'3Statement Model'!L109</f>
        <v>89364.569787007902</v>
      </c>
      <c r="N1228" s="223">
        <f>'3Statement Model'!M109</f>
        <v>91591.627876575076</v>
      </c>
      <c r="O1228" s="223">
        <f>'3Statement Model'!N109</f>
        <v>93732.159325287212</v>
      </c>
    </row>
    <row r="1230" spans="1:15">
      <c r="D1230" t="s">
        <v>737</v>
      </c>
      <c r="E1230" s="14">
        <f>E1222/E1228</f>
        <v>0.15957921897484245</v>
      </c>
      <c r="F1230" s="14">
        <f t="shared" ref="F1230:O1230" si="403">F1222/F1228</f>
        <v>2.6789999563680788E-2</v>
      </c>
      <c r="G1230" s="14">
        <f t="shared" si="403"/>
        <v>1.6265581349178212E-2</v>
      </c>
      <c r="H1230" s="14">
        <f t="shared" si="403"/>
        <v>9.7691791973948863E-3</v>
      </c>
      <c r="I1230" s="14">
        <f t="shared" si="403"/>
        <v>1.0344080816316131E-2</v>
      </c>
      <c r="J1230" s="14">
        <f t="shared" si="403"/>
        <v>7.5988983475212823E-2</v>
      </c>
      <c r="K1230" s="14">
        <f t="shared" si="403"/>
        <v>0.12048376788914521</v>
      </c>
      <c r="L1230" s="14">
        <f t="shared" si="403"/>
        <v>0.12802527320850174</v>
      </c>
      <c r="M1230" s="14">
        <f t="shared" si="403"/>
        <v>0.12925219173560926</v>
      </c>
      <c r="N1230" s="14">
        <f t="shared" si="403"/>
        <v>0.12835477964801492</v>
      </c>
      <c r="O1230" s="14">
        <f t="shared" si="403"/>
        <v>0.12503683076763095</v>
      </c>
    </row>
  </sheetData>
  <mergeCells count="2">
    <mergeCell ref="D444:Q444"/>
    <mergeCell ref="D445:Q445"/>
  </mergeCells>
  <hyperlinks>
    <hyperlink ref="E275" r:id="rId1" xr:uid="{E4E344C7-0D94-4ABB-9EE9-0BD80D756014}"/>
    <hyperlink ref="E258" r:id="rId2" xr:uid="{DF319782-A516-49EF-9DE4-42D013616B3A}"/>
    <hyperlink ref="E238" r:id="rId3" xr:uid="{33816ECD-EE98-4BC6-BDDE-8D8BA79A049B}"/>
    <hyperlink ref="E233" r:id="rId4" location=":~:text=India's%20Packaged%20Food%20Market%20size,for%20the%20period%202022%2D2027." xr:uid="{53E832C5-0566-4170-9E06-317513420E56}"/>
    <hyperlink ref="E209" r:id="rId5" xr:uid="{1F9A9635-A320-4019-B92F-B9000E529DE7}"/>
    <hyperlink ref="E204" r:id="rId6" xr:uid="{20B952FC-D346-4F66-8057-923CF14B3360}"/>
    <hyperlink ref="E195" r:id="rId7" xr:uid="{4F039551-1D24-4973-9205-BCCF42215CEA}"/>
    <hyperlink ref="E188" r:id="rId8" xr:uid="{203D2B3C-5F4D-4342-BE60-E19732CB65BD}"/>
    <hyperlink ref="E173" r:id="rId9" xr:uid="{963FC1C1-5A0C-4409-A7AF-FB01457D1727}"/>
    <hyperlink ref="E168" r:id="rId10" xr:uid="{7EC42495-D554-4358-B2D0-627524A0DC52}"/>
    <hyperlink ref="E312" r:id="rId11" xr:uid="{1431843C-3FC4-45A1-8700-F33171171FAA}"/>
    <hyperlink ref="E117" r:id="rId12" xr:uid="{62551B79-A041-4C7D-8C17-4CD9E4006747}"/>
    <hyperlink ref="E98" r:id="rId13" xr:uid="{926783BE-7BA1-472F-A62E-32550C9CF37F}"/>
    <hyperlink ref="E62" r:id="rId14" xr:uid="{0BA930A6-EF50-48EA-9DAC-AB5DC6921AD0}"/>
    <hyperlink ref="E38" r:id="rId15" xr:uid="{44602EFA-5400-439D-98C4-8814026D3D8E}"/>
    <hyperlink ref="E28" r:id="rId16" xr:uid="{194A2A4E-74F9-4A54-8524-E941E4A264BF}"/>
    <hyperlink ref="E19" r:id="rId17" xr:uid="{7A706269-A4D7-4A16-8C5F-26FE1AB85DEF}"/>
    <hyperlink ref="E958" r:id="rId18" location=":~:text=Hindustan%20Unilever%20Limited%20(HUL)%20today,two%20years%20across%20multiple%20locations." xr:uid="{B3513636-7225-4BC4-85AD-87EDBA868BD5}"/>
    <hyperlink ref="E438" r:id="rId19" xr:uid="{C32A3D30-72AF-4D93-A87B-8F89A53B1638}"/>
    <hyperlink ref="E461" r:id="rId20" location=":~:text=Indonesia%20is%20the%20world's%20largest,employment%20to%203%20million%20people." xr:uid="{C2B64FE3-CFBB-4D0C-8FD9-FC434DE4BB81}"/>
    <hyperlink ref="E466" r:id="rId21" location=":~:text=2.,in%20the%20UK%20though!)." xr:uid="{48BBD549-C482-4D9B-886E-1581522CC9EA}"/>
    <hyperlink ref="E500" r:id="rId22" location=":~:text=Market%20Overview%20at%20a%20Glance,Future%20Opportunities:%20USD%2020.71%20billion" xr:uid="{3E8CF894-8DED-4362-9944-30F6BF4FC4AB}"/>
    <hyperlink ref="E491" r:id="rId23" xr:uid="{211FB49E-6BF4-41E5-B342-D6CD2AC73464}"/>
  </hyperlinks>
  <pageMargins left="0.7" right="0.7" top="0.75" bottom="0.75" header="0.3" footer="0.3"/>
  <drawing r:id="rId2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CC42-F232-4F3E-B1B8-3E1AA66B019C}">
  <dimension ref="A2:R604"/>
  <sheetViews>
    <sheetView topLeftCell="M340" zoomScale="70" zoomScaleNormal="70" workbookViewId="0">
      <selection activeCell="AC356" sqref="AC356"/>
    </sheetView>
  </sheetViews>
  <sheetFormatPr defaultRowHeight="14.4"/>
  <cols>
    <col min="2" max="2" width="47.21875" customWidth="1"/>
    <col min="3" max="3" width="22.33203125" customWidth="1"/>
    <col min="4" max="4" width="10.88671875" customWidth="1"/>
    <col min="5" max="13" width="9.33203125" bestFit="1" customWidth="1"/>
    <col min="14" max="18" width="10.44140625" bestFit="1" customWidth="1"/>
  </cols>
  <sheetData>
    <row r="2" spans="2:5" ht="159.6">
      <c r="B2" s="638" t="s">
        <v>1275</v>
      </c>
    </row>
    <row r="3" spans="2:5" ht="193.2">
      <c r="B3" s="639" t="s">
        <v>1276</v>
      </c>
    </row>
    <row r="4" spans="2:5">
      <c r="B4" s="639" t="s">
        <v>1277</v>
      </c>
      <c r="D4" s="642" t="s">
        <v>1280</v>
      </c>
      <c r="E4" s="642" t="s">
        <v>1281</v>
      </c>
    </row>
    <row r="5" spans="2:5" ht="96.6">
      <c r="B5" s="640" t="s">
        <v>1278</v>
      </c>
      <c r="D5" s="642" t="s">
        <v>359</v>
      </c>
      <c r="E5" s="642">
        <v>22958</v>
      </c>
    </row>
    <row r="6" spans="2:5" ht="69">
      <c r="B6" s="640" t="s">
        <v>1279</v>
      </c>
      <c r="D6" s="642" t="s">
        <v>1282</v>
      </c>
      <c r="E6" s="642">
        <v>15294</v>
      </c>
    </row>
    <row r="7" spans="2:5">
      <c r="D7" s="642" t="s">
        <v>435</v>
      </c>
      <c r="E7" s="642">
        <v>13523</v>
      </c>
    </row>
    <row r="8" spans="2:5">
      <c r="D8" s="642" t="s">
        <v>431</v>
      </c>
      <c r="E8" s="642">
        <v>9166</v>
      </c>
    </row>
    <row r="9" spans="2:5">
      <c r="D9" s="642" t="s">
        <v>433</v>
      </c>
      <c r="E9" s="642">
        <v>2180</v>
      </c>
    </row>
    <row r="26" spans="2:3">
      <c r="B26" s="343" t="s">
        <v>1283</v>
      </c>
      <c r="C26" t="s">
        <v>1284</v>
      </c>
    </row>
    <row r="27" spans="2:3">
      <c r="B27" s="643">
        <v>45736</v>
      </c>
      <c r="C27" s="644">
        <v>2242.4</v>
      </c>
    </row>
    <row r="28" spans="2:3">
      <c r="B28" s="643">
        <v>45737</v>
      </c>
      <c r="C28" s="644">
        <v>2246.1999999999998</v>
      </c>
    </row>
    <row r="29" spans="2:3">
      <c r="B29" s="643">
        <v>45740</v>
      </c>
      <c r="C29" s="644">
        <v>2256.1999999999998</v>
      </c>
    </row>
    <row r="30" spans="2:3">
      <c r="B30" s="643">
        <v>45741</v>
      </c>
      <c r="C30" s="644">
        <v>2271.3000000000002</v>
      </c>
    </row>
    <row r="31" spans="2:3">
      <c r="B31" s="643">
        <v>45742</v>
      </c>
      <c r="C31" s="644">
        <v>2245.9499999999998</v>
      </c>
    </row>
    <row r="32" spans="2:3">
      <c r="B32" s="643">
        <v>45743</v>
      </c>
      <c r="C32" s="644">
        <v>2244.65</v>
      </c>
    </row>
    <row r="33" spans="2:3">
      <c r="B33" s="643">
        <v>45744</v>
      </c>
      <c r="C33" s="644">
        <v>2258.85</v>
      </c>
    </row>
    <row r="34" spans="2:3">
      <c r="B34" s="643">
        <v>45748</v>
      </c>
      <c r="C34" s="644">
        <v>2233.85</v>
      </c>
    </row>
    <row r="35" spans="2:3">
      <c r="B35" s="643">
        <v>45749</v>
      </c>
      <c r="C35" s="644">
        <v>2237.9</v>
      </c>
    </row>
    <row r="36" spans="2:3">
      <c r="B36" s="643">
        <v>45750</v>
      </c>
      <c r="C36" s="644">
        <v>2244.5500000000002</v>
      </c>
    </row>
    <row r="37" spans="2:3">
      <c r="B37" s="643">
        <v>45751</v>
      </c>
      <c r="C37" s="644">
        <v>2244.5500000000002</v>
      </c>
    </row>
    <row r="38" spans="2:3">
      <c r="B38" s="643">
        <v>45754</v>
      </c>
      <c r="C38" s="644">
        <v>2249.4</v>
      </c>
    </row>
    <row r="39" spans="2:3">
      <c r="B39" s="643">
        <v>45755</v>
      </c>
      <c r="C39" s="644">
        <v>2289.25</v>
      </c>
    </row>
    <row r="40" spans="2:3">
      <c r="B40" s="643">
        <v>45756</v>
      </c>
      <c r="C40" s="644">
        <v>2350</v>
      </c>
    </row>
    <row r="41" spans="2:3">
      <c r="B41" s="643">
        <v>45758</v>
      </c>
      <c r="C41" s="644">
        <v>2366.15</v>
      </c>
    </row>
    <row r="42" spans="2:3">
      <c r="B42" s="643">
        <v>45762</v>
      </c>
      <c r="C42" s="644">
        <v>2361.5</v>
      </c>
    </row>
    <row r="43" spans="2:3">
      <c r="B43" s="643">
        <v>45763</v>
      </c>
      <c r="C43" s="644">
        <v>2366.6</v>
      </c>
    </row>
    <row r="44" spans="2:3">
      <c r="B44" s="643">
        <v>45764</v>
      </c>
      <c r="C44" s="644">
        <v>2375</v>
      </c>
    </row>
    <row r="45" spans="2:3">
      <c r="B45" s="643">
        <v>45768</v>
      </c>
      <c r="C45" s="644">
        <v>2351</v>
      </c>
    </row>
    <row r="46" spans="2:3">
      <c r="B46" s="643">
        <v>45769</v>
      </c>
      <c r="C46" s="644">
        <v>2398.6999999999998</v>
      </c>
    </row>
    <row r="47" spans="2:3">
      <c r="B47" s="643">
        <v>45770</v>
      </c>
      <c r="C47" s="644">
        <v>2423.8000000000002</v>
      </c>
    </row>
    <row r="48" spans="2:3">
      <c r="B48" s="643">
        <v>45771</v>
      </c>
      <c r="C48" s="644">
        <v>2325.3000000000002</v>
      </c>
    </row>
    <row r="49" spans="2:3">
      <c r="B49" s="643">
        <v>45772</v>
      </c>
      <c r="C49" s="644">
        <v>2332.1999999999998</v>
      </c>
    </row>
    <row r="50" spans="2:3">
      <c r="B50" s="643">
        <v>45775</v>
      </c>
      <c r="C50" s="644">
        <v>2318.6</v>
      </c>
    </row>
    <row r="51" spans="2:3">
      <c r="B51" s="643">
        <v>45776</v>
      </c>
      <c r="C51" s="644">
        <v>2321.6999999999998</v>
      </c>
    </row>
    <row r="52" spans="2:3">
      <c r="B52" s="643">
        <v>45777</v>
      </c>
      <c r="C52" s="644">
        <v>2342.1</v>
      </c>
    </row>
    <row r="53" spans="2:3">
      <c r="B53" s="643">
        <v>45779</v>
      </c>
      <c r="C53" s="644">
        <v>2323.9</v>
      </c>
    </row>
    <row r="54" spans="2:3">
      <c r="B54" s="643">
        <v>45782</v>
      </c>
      <c r="C54" s="644">
        <v>2348.6</v>
      </c>
    </row>
    <row r="55" spans="2:3">
      <c r="B55" s="643">
        <v>45783</v>
      </c>
      <c r="C55" s="644">
        <v>2381.8000000000002</v>
      </c>
    </row>
    <row r="56" spans="2:3">
      <c r="B56" s="643">
        <v>45784</v>
      </c>
      <c r="C56" s="644">
        <v>2370.8000000000002</v>
      </c>
    </row>
    <row r="57" spans="2:3">
      <c r="B57" s="643">
        <v>45785</v>
      </c>
      <c r="C57" s="644">
        <v>2354.9</v>
      </c>
    </row>
    <row r="58" spans="2:3">
      <c r="B58" s="643">
        <v>45786</v>
      </c>
      <c r="C58" s="644">
        <v>2332.9</v>
      </c>
    </row>
    <row r="59" spans="2:3">
      <c r="B59" s="643">
        <v>45789</v>
      </c>
      <c r="C59" s="644">
        <v>2382.5</v>
      </c>
    </row>
    <row r="60" spans="2:3">
      <c r="B60" s="643">
        <v>45790</v>
      </c>
      <c r="C60" s="644">
        <v>2360</v>
      </c>
    </row>
    <row r="61" spans="2:3">
      <c r="B61" s="643">
        <v>45791</v>
      </c>
      <c r="C61" s="644">
        <v>2350.5</v>
      </c>
    </row>
    <row r="62" spans="2:3">
      <c r="B62" s="643">
        <v>45792</v>
      </c>
      <c r="C62" s="644">
        <v>2355.1999999999998</v>
      </c>
    </row>
    <row r="63" spans="2:3">
      <c r="B63" s="643">
        <v>45793</v>
      </c>
      <c r="C63" s="644">
        <v>2381.4</v>
      </c>
    </row>
    <row r="64" spans="2:3">
      <c r="B64" s="643">
        <v>45796</v>
      </c>
      <c r="C64" s="644">
        <v>2382.6999999999998</v>
      </c>
    </row>
    <row r="65" spans="2:3">
      <c r="B65" s="643">
        <v>45797</v>
      </c>
      <c r="C65" s="644">
        <v>2341.1</v>
      </c>
    </row>
    <row r="66" spans="2:3">
      <c r="B66" s="643">
        <v>45798</v>
      </c>
      <c r="C66" s="644">
        <v>2363.9</v>
      </c>
    </row>
    <row r="67" spans="2:3">
      <c r="B67" s="643">
        <v>45799</v>
      </c>
      <c r="C67" s="644">
        <v>2330.6999999999998</v>
      </c>
    </row>
    <row r="68" spans="2:3">
      <c r="B68" s="643">
        <v>45800</v>
      </c>
      <c r="C68" s="644">
        <v>2359.1999999999998</v>
      </c>
    </row>
    <row r="69" spans="2:3">
      <c r="B69" s="643">
        <v>45803</v>
      </c>
      <c r="C69" s="644">
        <v>2394.1</v>
      </c>
    </row>
    <row r="70" spans="2:3">
      <c r="B70" s="643">
        <v>45804</v>
      </c>
      <c r="C70" s="644">
        <v>2380.1999999999998</v>
      </c>
    </row>
    <row r="71" spans="2:3">
      <c r="B71" s="643">
        <v>45805</v>
      </c>
      <c r="C71" s="644">
        <v>2362</v>
      </c>
    </row>
    <row r="72" spans="2:3">
      <c r="B72" s="643">
        <v>45806</v>
      </c>
      <c r="C72" s="644">
        <v>2366.6999999999998</v>
      </c>
    </row>
    <row r="73" spans="2:3">
      <c r="B73" s="643">
        <v>45807</v>
      </c>
      <c r="C73" s="644">
        <v>2348.3000000000002</v>
      </c>
    </row>
    <row r="74" spans="2:3">
      <c r="B74" s="643">
        <v>45810</v>
      </c>
      <c r="C74" s="644">
        <v>2371.6</v>
      </c>
    </row>
    <row r="75" spans="2:3">
      <c r="B75" s="643">
        <v>45811</v>
      </c>
      <c r="C75" s="644">
        <v>2352.3000000000002</v>
      </c>
    </row>
    <row r="76" spans="2:3">
      <c r="B76" s="643">
        <v>45812</v>
      </c>
      <c r="C76" s="644">
        <v>2364.5</v>
      </c>
    </row>
    <row r="77" spans="2:3">
      <c r="B77" s="643">
        <v>45813</v>
      </c>
      <c r="C77" s="644">
        <v>2376.4</v>
      </c>
    </row>
    <row r="78" spans="2:3">
      <c r="B78" s="643">
        <v>45814</v>
      </c>
      <c r="C78" s="644">
        <v>2389.8000000000002</v>
      </c>
    </row>
    <row r="79" spans="2:3">
      <c r="B79" s="643">
        <v>45817</v>
      </c>
      <c r="C79" s="644">
        <v>2393.1999999999998</v>
      </c>
    </row>
    <row r="80" spans="2:3">
      <c r="B80" s="643">
        <v>45818</v>
      </c>
      <c r="C80" s="644">
        <v>2395.1999999999998</v>
      </c>
    </row>
    <row r="81" spans="2:3">
      <c r="B81" s="643">
        <v>45819</v>
      </c>
      <c r="C81" s="644">
        <v>2376.4</v>
      </c>
    </row>
    <row r="82" spans="2:3">
      <c r="B82" s="643">
        <v>45820</v>
      </c>
      <c r="C82" s="644">
        <v>2332.6999999999998</v>
      </c>
    </row>
    <row r="83" spans="2:3">
      <c r="B83" s="643">
        <v>45821</v>
      </c>
      <c r="C83" s="644">
        <v>2319</v>
      </c>
    </row>
    <row r="84" spans="2:3">
      <c r="B84" s="643">
        <v>45824</v>
      </c>
      <c r="C84" s="644">
        <v>2327.4</v>
      </c>
    </row>
    <row r="85" spans="2:3">
      <c r="B85" s="643">
        <v>45825</v>
      </c>
      <c r="C85" s="644">
        <v>2328.6</v>
      </c>
    </row>
    <row r="86" spans="2:3">
      <c r="B86" s="643">
        <v>45826</v>
      </c>
      <c r="C86" s="644">
        <v>2297.3000000000002</v>
      </c>
    </row>
    <row r="87" spans="2:3">
      <c r="B87" s="643">
        <v>45827</v>
      </c>
      <c r="C87" s="644">
        <v>2294.1999999999998</v>
      </c>
    </row>
    <row r="88" spans="2:3">
      <c r="B88" s="643">
        <v>45828</v>
      </c>
      <c r="C88" s="644">
        <v>2306.1999999999998</v>
      </c>
    </row>
    <row r="89" spans="2:3">
      <c r="B89" s="643">
        <v>45831</v>
      </c>
      <c r="C89" s="644">
        <v>2275.1</v>
      </c>
    </row>
    <row r="90" spans="2:3">
      <c r="B90" s="643">
        <v>45832</v>
      </c>
      <c r="C90" s="644">
        <v>2263.1</v>
      </c>
    </row>
    <row r="91" spans="2:3">
      <c r="B91" s="643">
        <v>45833</v>
      </c>
      <c r="C91" s="644">
        <v>2278.6999999999998</v>
      </c>
    </row>
    <row r="92" spans="2:3">
      <c r="B92" s="643">
        <v>45834</v>
      </c>
      <c r="C92" s="644">
        <v>2280.8000000000002</v>
      </c>
    </row>
    <row r="93" spans="2:3">
      <c r="B93" s="643">
        <v>45835</v>
      </c>
      <c r="C93" s="644">
        <v>2306.9</v>
      </c>
    </row>
    <row r="94" spans="2:3">
      <c r="B94" s="643">
        <v>45838</v>
      </c>
      <c r="C94" s="644">
        <v>2294.6</v>
      </c>
    </row>
    <row r="95" spans="2:3">
      <c r="B95" s="643">
        <v>45839</v>
      </c>
      <c r="C95" s="644">
        <v>2295.5</v>
      </c>
    </row>
    <row r="96" spans="2:3">
      <c r="B96" s="643">
        <v>45840</v>
      </c>
      <c r="C96" s="644">
        <v>2307.1</v>
      </c>
    </row>
    <row r="97" spans="2:3">
      <c r="B97" s="643">
        <v>45841</v>
      </c>
      <c r="C97" s="644">
        <v>2313.4</v>
      </c>
    </row>
    <row r="98" spans="2:3">
      <c r="B98" s="643">
        <v>45842</v>
      </c>
      <c r="C98" s="644">
        <v>2339.3000000000002</v>
      </c>
    </row>
    <row r="99" spans="2:3">
      <c r="B99" s="643">
        <v>45845</v>
      </c>
      <c r="C99" s="644">
        <v>2410.4</v>
      </c>
    </row>
    <row r="100" spans="2:3">
      <c r="B100" s="643">
        <v>45846</v>
      </c>
      <c r="C100" s="644">
        <v>2392.6999999999998</v>
      </c>
    </row>
    <row r="101" spans="2:3">
      <c r="B101" s="643">
        <v>45847</v>
      </c>
      <c r="C101" s="644">
        <v>2423.4</v>
      </c>
    </row>
    <row r="102" spans="2:3">
      <c r="B102" s="643">
        <v>45848</v>
      </c>
      <c r="C102" s="644">
        <v>2408.4</v>
      </c>
    </row>
    <row r="103" spans="2:3">
      <c r="B103" s="643">
        <v>45849</v>
      </c>
      <c r="C103" s="644">
        <v>2519.6</v>
      </c>
    </row>
    <row r="104" spans="2:3">
      <c r="B104" s="643">
        <v>45852</v>
      </c>
      <c r="C104" s="644">
        <v>2516.6</v>
      </c>
    </row>
    <row r="105" spans="2:3">
      <c r="B105" s="643">
        <v>45853</v>
      </c>
      <c r="C105" s="644">
        <v>2526.9</v>
      </c>
    </row>
    <row r="106" spans="2:3">
      <c r="B106" s="643">
        <v>45854</v>
      </c>
      <c r="C106" s="644">
        <v>2517.6</v>
      </c>
    </row>
    <row r="107" spans="2:3">
      <c r="B107" s="643">
        <v>45855</v>
      </c>
      <c r="C107" s="644">
        <v>2509.8000000000002</v>
      </c>
    </row>
    <row r="108" spans="2:3">
      <c r="B108" s="643">
        <v>45856</v>
      </c>
      <c r="C108" s="644">
        <v>2489.6</v>
      </c>
    </row>
    <row r="109" spans="2:3">
      <c r="B109" s="643">
        <v>45859</v>
      </c>
      <c r="C109" s="644">
        <v>2464.9</v>
      </c>
    </row>
    <row r="110" spans="2:3">
      <c r="B110" s="643">
        <v>45860</v>
      </c>
      <c r="C110" s="644">
        <v>2479.6999999999998</v>
      </c>
    </row>
    <row r="111" spans="2:3">
      <c r="B111" s="643">
        <v>45861</v>
      </c>
      <c r="C111" s="644">
        <v>2450.4</v>
      </c>
    </row>
    <row r="112" spans="2:3">
      <c r="B112" s="643">
        <v>45862</v>
      </c>
      <c r="C112" s="644">
        <v>2437.8000000000002</v>
      </c>
    </row>
    <row r="113" spans="2:3">
      <c r="B113" s="643">
        <v>45863</v>
      </c>
      <c r="C113" s="644">
        <v>2415.4</v>
      </c>
    </row>
    <row r="114" spans="2:3">
      <c r="B114" s="643">
        <v>45866</v>
      </c>
      <c r="C114" s="644">
        <v>2441.6</v>
      </c>
    </row>
    <row r="115" spans="2:3">
      <c r="B115" s="643">
        <v>45867</v>
      </c>
      <c r="C115" s="644">
        <v>2453.6</v>
      </c>
    </row>
    <row r="116" spans="2:3">
      <c r="B116" s="643">
        <v>45868</v>
      </c>
      <c r="C116" s="644">
        <v>2437.4</v>
      </c>
    </row>
    <row r="117" spans="2:3">
      <c r="B117" s="643">
        <v>45869</v>
      </c>
      <c r="C117" s="644">
        <v>2521.1999999999998</v>
      </c>
    </row>
    <row r="118" spans="2:3">
      <c r="B118" s="643">
        <v>45870</v>
      </c>
      <c r="C118" s="644">
        <v>2553.6999999999998</v>
      </c>
    </row>
    <row r="119" spans="2:3">
      <c r="B119" s="643">
        <v>45873</v>
      </c>
      <c r="C119" s="644">
        <v>2543.6999999999998</v>
      </c>
    </row>
    <row r="120" spans="2:3">
      <c r="B120" s="643">
        <v>45874</v>
      </c>
      <c r="C120" s="644">
        <v>2534.6999999999998</v>
      </c>
    </row>
    <row r="121" spans="2:3">
      <c r="B121" s="643">
        <v>45875</v>
      </c>
      <c r="C121" s="644">
        <v>2535.6</v>
      </c>
    </row>
    <row r="122" spans="2:3">
      <c r="B122" s="643">
        <v>45876</v>
      </c>
      <c r="C122" s="644">
        <v>2517.5</v>
      </c>
    </row>
    <row r="123" spans="2:3">
      <c r="B123" s="643">
        <v>45877</v>
      </c>
      <c r="C123" s="644">
        <v>2498.6</v>
      </c>
    </row>
    <row r="124" spans="2:3">
      <c r="B124" s="643">
        <v>45880</v>
      </c>
      <c r="C124" s="644">
        <v>2518.4</v>
      </c>
    </row>
    <row r="125" spans="2:3">
      <c r="B125" s="643">
        <v>45881</v>
      </c>
      <c r="C125" s="644">
        <v>2483.8000000000002</v>
      </c>
    </row>
    <row r="126" spans="2:3">
      <c r="B126" s="643">
        <v>45882</v>
      </c>
      <c r="C126" s="644">
        <v>2495.1</v>
      </c>
    </row>
    <row r="127" spans="2:3">
      <c r="B127" s="643">
        <v>45883</v>
      </c>
      <c r="C127" s="644">
        <v>2480.6</v>
      </c>
    </row>
    <row r="128" spans="2:3">
      <c r="B128" s="643">
        <v>45887</v>
      </c>
      <c r="C128" s="644">
        <v>2568.1</v>
      </c>
    </row>
    <row r="129" spans="2:3">
      <c r="B129" s="643">
        <v>45888</v>
      </c>
      <c r="C129" s="644">
        <v>2604.8000000000002</v>
      </c>
    </row>
    <row r="130" spans="2:3">
      <c r="B130" s="643">
        <v>45889</v>
      </c>
      <c r="C130" s="644">
        <v>2669.8</v>
      </c>
    </row>
    <row r="131" spans="2:3">
      <c r="B131" s="643">
        <v>45890</v>
      </c>
      <c r="C131" s="644">
        <v>2648</v>
      </c>
    </row>
    <row r="132" spans="2:3">
      <c r="B132" s="643">
        <v>45891</v>
      </c>
      <c r="C132" s="644">
        <v>2629.9</v>
      </c>
    </row>
    <row r="133" spans="2:3">
      <c r="B133" s="643">
        <v>45894</v>
      </c>
      <c r="C133" s="644">
        <v>2631.6</v>
      </c>
    </row>
    <row r="134" spans="2:3">
      <c r="B134" s="643">
        <v>45895</v>
      </c>
      <c r="C134" s="644">
        <v>2692.6</v>
      </c>
    </row>
    <row r="135" spans="2:3">
      <c r="B135" s="643">
        <v>45897</v>
      </c>
      <c r="C135" s="644">
        <v>2654.4</v>
      </c>
    </row>
    <row r="136" spans="2:3">
      <c r="B136" s="643">
        <v>45898</v>
      </c>
      <c r="C136" s="644">
        <v>2659.8</v>
      </c>
    </row>
    <row r="137" spans="2:3">
      <c r="B137" s="643">
        <v>45901</v>
      </c>
      <c r="C137" s="644">
        <v>2649.5</v>
      </c>
    </row>
    <row r="138" spans="2:3">
      <c r="B138" s="643">
        <v>45902</v>
      </c>
      <c r="C138" s="644">
        <v>2677</v>
      </c>
    </row>
    <row r="139" spans="2:3">
      <c r="B139" s="643">
        <v>45903</v>
      </c>
      <c r="C139" s="644">
        <v>2664.7</v>
      </c>
    </row>
    <row r="140" spans="2:3">
      <c r="B140" s="643">
        <v>45904</v>
      </c>
      <c r="C140" s="644">
        <v>2666.6</v>
      </c>
    </row>
    <row r="141" spans="2:3">
      <c r="B141" s="643">
        <v>45905</v>
      </c>
      <c r="C141" s="644">
        <v>2633.4</v>
      </c>
    </row>
    <row r="142" spans="2:3">
      <c r="B142" s="643">
        <v>45908</v>
      </c>
      <c r="C142" s="644">
        <v>2623.9</v>
      </c>
    </row>
    <row r="143" spans="2:3">
      <c r="B143" s="643">
        <v>45909</v>
      </c>
      <c r="C143" s="644">
        <v>2642</v>
      </c>
    </row>
    <row r="144" spans="2:3">
      <c r="B144" s="643">
        <v>45910</v>
      </c>
      <c r="C144" s="644">
        <v>2643.5</v>
      </c>
    </row>
    <row r="145" spans="2:3">
      <c r="B145" s="643">
        <v>45911</v>
      </c>
      <c r="C145" s="644">
        <v>2622</v>
      </c>
    </row>
    <row r="146" spans="2:3">
      <c r="B146" s="643">
        <v>45912</v>
      </c>
      <c r="C146" s="644">
        <v>2580.5</v>
      </c>
    </row>
    <row r="147" spans="2:3">
      <c r="B147" s="643">
        <v>45915</v>
      </c>
      <c r="C147" s="644">
        <v>2581</v>
      </c>
    </row>
    <row r="148" spans="2:3">
      <c r="B148" s="643">
        <v>45916</v>
      </c>
      <c r="C148" s="644">
        <v>2580.9</v>
      </c>
    </row>
    <row r="149" spans="2:3">
      <c r="B149" s="643">
        <v>45917</v>
      </c>
      <c r="C149" s="644">
        <v>2569.6999999999998</v>
      </c>
    </row>
    <row r="150" spans="2:3">
      <c r="B150" s="643">
        <v>45918</v>
      </c>
      <c r="C150" s="644">
        <v>2586.8000000000002</v>
      </c>
    </row>
    <row r="151" spans="2:3">
      <c r="B151" s="643">
        <v>45919</v>
      </c>
      <c r="C151" s="644">
        <v>2559.6</v>
      </c>
    </row>
    <row r="152" spans="2:3">
      <c r="B152" s="643">
        <v>45922</v>
      </c>
      <c r="C152" s="644">
        <v>2572.1999999999998</v>
      </c>
    </row>
    <row r="153" spans="2:3">
      <c r="B153" s="643">
        <v>45923</v>
      </c>
      <c r="C153" s="644">
        <v>2522.1999999999998</v>
      </c>
    </row>
    <row r="154" spans="2:3">
      <c r="B154" s="643">
        <v>45924</v>
      </c>
      <c r="C154" s="644">
        <v>2549.5</v>
      </c>
    </row>
    <row r="155" spans="2:3">
      <c r="B155" s="643">
        <v>45925</v>
      </c>
      <c r="C155" s="644">
        <v>2538.3000000000002</v>
      </c>
    </row>
    <row r="156" spans="2:3">
      <c r="B156" s="643">
        <v>45926</v>
      </c>
      <c r="C156" s="644">
        <v>2511.8000000000002</v>
      </c>
    </row>
    <row r="157" spans="2:3">
      <c r="B157" s="643">
        <v>45929</v>
      </c>
      <c r="C157" s="644">
        <v>2497.9</v>
      </c>
    </row>
    <row r="158" spans="2:3">
      <c r="B158" s="643">
        <v>45930</v>
      </c>
      <c r="C158" s="644">
        <v>2514.4</v>
      </c>
    </row>
    <row r="159" spans="2:3">
      <c r="B159" s="643">
        <v>45931</v>
      </c>
      <c r="C159" s="644">
        <v>2536.1999999999998</v>
      </c>
    </row>
    <row r="160" spans="2:3">
      <c r="B160" s="643">
        <v>45933</v>
      </c>
      <c r="C160" s="644">
        <v>2544.9</v>
      </c>
    </row>
    <row r="161" spans="2:3">
      <c r="B161" s="643">
        <v>45936</v>
      </c>
      <c r="C161" s="644">
        <v>2541.8000000000002</v>
      </c>
    </row>
    <row r="162" spans="2:3">
      <c r="B162" s="643">
        <v>45937</v>
      </c>
      <c r="C162" s="644">
        <v>2517.1999999999998</v>
      </c>
    </row>
    <row r="163" spans="2:3">
      <c r="B163" s="643">
        <v>45938</v>
      </c>
      <c r="C163" s="644">
        <v>2500.1</v>
      </c>
    </row>
    <row r="164" spans="2:3">
      <c r="B164" s="643">
        <v>45939</v>
      </c>
      <c r="C164" s="644">
        <v>2517.6</v>
      </c>
    </row>
    <row r="165" spans="2:3">
      <c r="B165" s="643">
        <v>45940</v>
      </c>
      <c r="C165" s="644">
        <v>2528.9</v>
      </c>
    </row>
    <row r="166" spans="2:3">
      <c r="B166" s="643">
        <v>45943</v>
      </c>
      <c r="C166" s="644">
        <v>2492.8000000000002</v>
      </c>
    </row>
    <row r="167" spans="2:3">
      <c r="B167" s="643">
        <v>45944</v>
      </c>
      <c r="C167" s="644">
        <v>2502.3000000000002</v>
      </c>
    </row>
    <row r="168" spans="2:3">
      <c r="B168" s="643">
        <v>45945</v>
      </c>
      <c r="C168" s="644">
        <v>2519</v>
      </c>
    </row>
    <row r="169" spans="2:3">
      <c r="B169" s="643">
        <v>45946</v>
      </c>
      <c r="C169" s="644">
        <v>2561.5</v>
      </c>
    </row>
    <row r="170" spans="2:3">
      <c r="B170" s="643">
        <v>45947</v>
      </c>
      <c r="C170" s="644">
        <v>2603.6999999999998</v>
      </c>
    </row>
    <row r="171" spans="2:3">
      <c r="B171" s="643">
        <v>45950</v>
      </c>
      <c r="C171" s="644">
        <v>2594.4</v>
      </c>
    </row>
    <row r="172" spans="2:3">
      <c r="B172" s="643">
        <v>45951</v>
      </c>
      <c r="C172" s="644">
        <v>2591.6999999999998</v>
      </c>
    </row>
    <row r="173" spans="2:3">
      <c r="B173" s="643">
        <v>45953</v>
      </c>
      <c r="C173" s="644">
        <v>2601.6</v>
      </c>
    </row>
    <row r="174" spans="2:3">
      <c r="B174" s="643">
        <v>45954</v>
      </c>
      <c r="C174" s="644">
        <v>2516.4</v>
      </c>
    </row>
    <row r="175" spans="2:3">
      <c r="B175" s="643">
        <v>45957</v>
      </c>
      <c r="C175" s="644">
        <v>2511.8000000000002</v>
      </c>
    </row>
    <row r="176" spans="2:3">
      <c r="B176" s="643">
        <v>45958</v>
      </c>
      <c r="C176" s="644">
        <v>2497.1</v>
      </c>
    </row>
    <row r="177" spans="2:3">
      <c r="B177" s="643">
        <v>45959</v>
      </c>
      <c r="C177" s="644">
        <v>2488.1</v>
      </c>
    </row>
    <row r="178" spans="2:3">
      <c r="B178" s="643">
        <v>45960</v>
      </c>
      <c r="C178" s="644">
        <v>2469.6</v>
      </c>
    </row>
    <row r="179" spans="2:3">
      <c r="B179" s="643">
        <v>45961</v>
      </c>
      <c r="C179" s="644">
        <v>2465.5</v>
      </c>
    </row>
    <row r="180" spans="2:3">
      <c r="B180" s="643">
        <v>45964</v>
      </c>
      <c r="C180" s="644">
        <v>2460</v>
      </c>
    </row>
    <row r="181" spans="2:3">
      <c r="B181" s="643">
        <v>45965</v>
      </c>
      <c r="C181" s="644">
        <v>2445.6999999999998</v>
      </c>
    </row>
    <row r="182" spans="2:3">
      <c r="B182" s="643">
        <v>45967</v>
      </c>
      <c r="C182" s="644">
        <v>2436</v>
      </c>
    </row>
    <row r="183" spans="2:3">
      <c r="B183" s="643">
        <v>45968</v>
      </c>
      <c r="C183" s="644">
        <v>2414</v>
      </c>
    </row>
    <row r="184" spans="2:3">
      <c r="B184" s="643">
        <v>45971</v>
      </c>
      <c r="C184" s="644">
        <v>2408.8000000000002</v>
      </c>
    </row>
    <row r="185" spans="2:3">
      <c r="B185" s="643">
        <v>45972</v>
      </c>
      <c r="C185" s="644">
        <v>2427.5</v>
      </c>
    </row>
    <row r="186" spans="2:3">
      <c r="B186" s="643">
        <v>45973</v>
      </c>
      <c r="C186" s="644">
        <v>2424.5</v>
      </c>
    </row>
    <row r="187" spans="2:3">
      <c r="B187" s="643">
        <v>45974</v>
      </c>
      <c r="C187" s="644">
        <v>2407.6</v>
      </c>
    </row>
    <row r="188" spans="2:3">
      <c r="B188" s="643">
        <v>45975</v>
      </c>
      <c r="C188" s="644">
        <v>2427.6999999999998</v>
      </c>
    </row>
    <row r="189" spans="2:3">
      <c r="B189" s="643">
        <v>45978</v>
      </c>
      <c r="C189" s="644">
        <v>2425</v>
      </c>
    </row>
    <row r="190" spans="2:3">
      <c r="B190" s="643">
        <v>45979</v>
      </c>
      <c r="C190" s="644">
        <v>2404</v>
      </c>
    </row>
    <row r="191" spans="2:3">
      <c r="B191" s="643">
        <v>45980</v>
      </c>
      <c r="C191" s="644">
        <v>2441.6</v>
      </c>
    </row>
    <row r="192" spans="2:3">
      <c r="B192" s="643">
        <v>45981</v>
      </c>
      <c r="C192" s="644">
        <v>2428.4</v>
      </c>
    </row>
    <row r="193" spans="2:3">
      <c r="B193" s="643">
        <v>45982</v>
      </c>
      <c r="C193" s="644">
        <v>2433.6999999999998</v>
      </c>
    </row>
    <row r="194" spans="2:3">
      <c r="B194" s="643">
        <v>45985</v>
      </c>
      <c r="C194" s="644">
        <v>2424.1999999999998</v>
      </c>
    </row>
    <row r="195" spans="2:3">
      <c r="B195" s="643">
        <v>45986</v>
      </c>
      <c r="C195" s="644">
        <v>2414.1</v>
      </c>
    </row>
    <row r="196" spans="2:3">
      <c r="B196" s="643">
        <v>45987</v>
      </c>
      <c r="C196" s="644">
        <v>2425.1999999999998</v>
      </c>
    </row>
    <row r="197" spans="2:3">
      <c r="B197" s="643">
        <v>45988</v>
      </c>
      <c r="C197" s="644">
        <v>2451.6999999999998</v>
      </c>
    </row>
    <row r="198" spans="2:3">
      <c r="B198" s="643">
        <v>45989</v>
      </c>
      <c r="C198" s="644">
        <v>2426.33</v>
      </c>
    </row>
    <row r="199" spans="2:3">
      <c r="B199" s="643">
        <v>45992</v>
      </c>
      <c r="C199" s="644">
        <v>2424.2600000000002</v>
      </c>
    </row>
    <row r="200" spans="2:3">
      <c r="B200" s="643">
        <v>45993</v>
      </c>
      <c r="C200" s="644">
        <v>2437.34</v>
      </c>
    </row>
    <row r="201" spans="2:3">
      <c r="B201" s="643">
        <v>45994</v>
      </c>
      <c r="C201" s="644">
        <v>2408.0300000000002</v>
      </c>
    </row>
    <row r="202" spans="2:3">
      <c r="B202" s="643">
        <v>45995</v>
      </c>
      <c r="C202" s="644">
        <v>2422</v>
      </c>
    </row>
    <row r="203" spans="2:3">
      <c r="B203" s="643">
        <v>45996</v>
      </c>
      <c r="C203" s="644">
        <v>2338.6</v>
      </c>
    </row>
    <row r="204" spans="2:3">
      <c r="B204" s="643">
        <v>45999</v>
      </c>
      <c r="C204" s="644">
        <v>2314</v>
      </c>
    </row>
    <row r="205" spans="2:3">
      <c r="B205" s="643">
        <v>46000</v>
      </c>
      <c r="C205" s="644">
        <v>2306.5</v>
      </c>
    </row>
    <row r="206" spans="2:3">
      <c r="B206" s="643">
        <v>46001</v>
      </c>
      <c r="C206" s="644">
        <v>2301.6999999999998</v>
      </c>
    </row>
    <row r="207" spans="2:3">
      <c r="B207" s="643">
        <v>46002</v>
      </c>
      <c r="C207" s="644">
        <v>2305.6</v>
      </c>
    </row>
    <row r="208" spans="2:3">
      <c r="B208" s="643">
        <v>46003</v>
      </c>
      <c r="C208" s="644">
        <v>2260.6</v>
      </c>
    </row>
    <row r="209" spans="2:3">
      <c r="B209" s="643">
        <v>46006</v>
      </c>
      <c r="C209" s="644">
        <v>2293.5</v>
      </c>
    </row>
    <row r="210" spans="2:3">
      <c r="B210" s="643">
        <v>46007</v>
      </c>
      <c r="C210" s="644">
        <v>2281.1</v>
      </c>
    </row>
    <row r="211" spans="2:3">
      <c r="B211" s="643">
        <v>46008</v>
      </c>
      <c r="C211" s="644">
        <v>2275.6</v>
      </c>
    </row>
    <row r="212" spans="2:3">
      <c r="B212" s="643">
        <v>46009</v>
      </c>
      <c r="C212" s="644">
        <v>2265.5</v>
      </c>
    </row>
    <row r="213" spans="2:3">
      <c r="B213" s="643">
        <v>46010</v>
      </c>
      <c r="C213" s="644">
        <v>2280</v>
      </c>
    </row>
    <row r="214" spans="2:3">
      <c r="B214" s="643">
        <v>46013</v>
      </c>
      <c r="C214" s="644">
        <v>2289.5</v>
      </c>
    </row>
    <row r="215" spans="2:3">
      <c r="B215" s="643">
        <v>46014</v>
      </c>
      <c r="C215" s="644">
        <v>2302.6</v>
      </c>
    </row>
    <row r="216" spans="2:3">
      <c r="B216" s="643">
        <v>46015</v>
      </c>
      <c r="C216" s="644">
        <v>2282.1999999999998</v>
      </c>
    </row>
    <row r="217" spans="2:3">
      <c r="B217" s="643">
        <v>46017</v>
      </c>
      <c r="C217" s="644">
        <v>2285.4</v>
      </c>
    </row>
    <row r="218" spans="2:3">
      <c r="B218" s="643">
        <v>46020</v>
      </c>
      <c r="C218" s="644">
        <v>2293.3000000000002</v>
      </c>
    </row>
    <row r="219" spans="2:3">
      <c r="B219" s="643">
        <v>46021</v>
      </c>
      <c r="C219" s="644">
        <v>2290.1999999999998</v>
      </c>
    </row>
    <row r="220" spans="2:3">
      <c r="B220" s="643">
        <v>46022</v>
      </c>
      <c r="C220" s="644">
        <v>2315.9</v>
      </c>
    </row>
    <row r="221" spans="2:3">
      <c r="B221" s="643">
        <v>46023</v>
      </c>
      <c r="C221" s="644">
        <v>2323</v>
      </c>
    </row>
    <row r="222" spans="2:3">
      <c r="B222" s="643">
        <v>46024</v>
      </c>
      <c r="C222" s="644">
        <v>2348</v>
      </c>
    </row>
    <row r="223" spans="2:3">
      <c r="B223" s="643">
        <v>46027</v>
      </c>
      <c r="C223" s="644">
        <v>2384.1</v>
      </c>
    </row>
    <row r="224" spans="2:3">
      <c r="B224" s="643">
        <v>46028</v>
      </c>
      <c r="C224" s="644">
        <v>2424.6999999999998</v>
      </c>
    </row>
    <row r="225" spans="2:3">
      <c r="B225" s="643">
        <v>46029</v>
      </c>
      <c r="C225" s="644">
        <v>2399.4</v>
      </c>
    </row>
    <row r="226" spans="2:3">
      <c r="B226" s="643">
        <v>46030</v>
      </c>
      <c r="C226" s="644">
        <v>2386.6999999999998</v>
      </c>
    </row>
    <row r="227" spans="2:3">
      <c r="B227" s="643">
        <v>46031</v>
      </c>
      <c r="C227" s="644">
        <v>2372.6</v>
      </c>
    </row>
    <row r="228" spans="2:3">
      <c r="B228" s="643">
        <v>46034</v>
      </c>
      <c r="C228" s="644">
        <v>2406.1999999999998</v>
      </c>
    </row>
    <row r="229" spans="2:3">
      <c r="B229" s="643">
        <v>46035</v>
      </c>
      <c r="C229" s="644">
        <v>2389.5</v>
      </c>
    </row>
    <row r="230" spans="2:3">
      <c r="B230" s="643">
        <v>46036</v>
      </c>
      <c r="C230" s="644">
        <v>2353.5</v>
      </c>
    </row>
    <row r="231" spans="2:3">
      <c r="B231" s="643">
        <v>46038</v>
      </c>
      <c r="C231" s="644">
        <v>2360.4</v>
      </c>
    </row>
    <row r="232" spans="2:3">
      <c r="B232" s="643">
        <v>46041</v>
      </c>
      <c r="C232" s="644">
        <v>2413.9</v>
      </c>
    </row>
    <row r="233" spans="2:3">
      <c r="B233" s="643">
        <v>46042</v>
      </c>
      <c r="C233" s="644">
        <v>2379.1</v>
      </c>
    </row>
    <row r="234" spans="2:3">
      <c r="B234" s="643">
        <v>46043</v>
      </c>
      <c r="C234" s="644">
        <v>2368</v>
      </c>
    </row>
    <row r="235" spans="2:3">
      <c r="B235" s="643">
        <v>46044</v>
      </c>
      <c r="C235" s="644">
        <v>2390.6</v>
      </c>
    </row>
    <row r="236" spans="2:3">
      <c r="B236" s="643">
        <v>46045</v>
      </c>
      <c r="C236" s="644">
        <v>2409.5</v>
      </c>
    </row>
    <row r="237" spans="2:3">
      <c r="B237" s="643">
        <v>46049</v>
      </c>
      <c r="C237" s="644">
        <v>2400.9</v>
      </c>
    </row>
    <row r="238" spans="2:3">
      <c r="B238" s="643">
        <v>46050</v>
      </c>
      <c r="C238" s="644">
        <v>2378.4</v>
      </c>
    </row>
    <row r="239" spans="2:3">
      <c r="B239" s="643">
        <v>46051</v>
      </c>
      <c r="C239" s="644">
        <v>2352.6</v>
      </c>
    </row>
    <row r="240" spans="2:3">
      <c r="B240" s="643">
        <v>46052</v>
      </c>
      <c r="C240" s="644">
        <v>2373</v>
      </c>
    </row>
    <row r="241" spans="2:3">
      <c r="B241" s="643">
        <v>46054</v>
      </c>
      <c r="C241" s="644">
        <v>2350.6999999999998</v>
      </c>
    </row>
    <row r="242" spans="2:3">
      <c r="B242" s="643">
        <v>46055</v>
      </c>
      <c r="C242" s="644">
        <v>2357.3000000000002</v>
      </c>
    </row>
    <row r="243" spans="2:3">
      <c r="B243" s="643">
        <v>46056</v>
      </c>
      <c r="C243" s="644">
        <v>2368.6</v>
      </c>
    </row>
    <row r="244" spans="2:3">
      <c r="B244" s="643">
        <v>46057</v>
      </c>
      <c r="C244" s="644">
        <v>2371</v>
      </c>
    </row>
    <row r="245" spans="2:3">
      <c r="B245" s="643">
        <v>46058</v>
      </c>
      <c r="C245" s="644">
        <v>2354.4</v>
      </c>
    </row>
    <row r="246" spans="2:3">
      <c r="B246" s="643">
        <v>46059</v>
      </c>
      <c r="C246" s="644">
        <v>2424.1999999999998</v>
      </c>
    </row>
    <row r="247" spans="2:3">
      <c r="B247" s="643">
        <v>46062</v>
      </c>
      <c r="C247" s="644">
        <v>2435</v>
      </c>
    </row>
    <row r="248" spans="2:3">
      <c r="B248" s="643">
        <v>46063</v>
      </c>
      <c r="C248" s="644">
        <v>2453.6</v>
      </c>
    </row>
    <row r="249" spans="2:3">
      <c r="B249" s="643">
        <v>46064</v>
      </c>
      <c r="C249" s="644">
        <v>2462.9</v>
      </c>
    </row>
    <row r="250" spans="2:3">
      <c r="B250" s="643">
        <v>46065</v>
      </c>
      <c r="C250" s="644">
        <v>2409.6999999999998</v>
      </c>
    </row>
    <row r="251" spans="2:3">
      <c r="B251" s="643">
        <v>46066</v>
      </c>
      <c r="C251" s="644">
        <v>2305.1999999999998</v>
      </c>
    </row>
    <row r="252" spans="2:3">
      <c r="B252" s="643">
        <v>46069</v>
      </c>
      <c r="C252" s="644">
        <v>2319</v>
      </c>
    </row>
    <row r="253" spans="2:3">
      <c r="B253" s="643">
        <v>46070</v>
      </c>
      <c r="C253" s="644">
        <v>2312.3000000000002</v>
      </c>
    </row>
    <row r="254" spans="2:3">
      <c r="B254" s="643">
        <v>46071</v>
      </c>
      <c r="C254" s="644">
        <v>2323.5</v>
      </c>
    </row>
    <row r="255" spans="2:3">
      <c r="B255" s="643">
        <v>46072</v>
      </c>
      <c r="C255" s="644">
        <v>2279.3000000000002</v>
      </c>
    </row>
    <row r="256" spans="2:3">
      <c r="B256" s="643">
        <v>46073</v>
      </c>
      <c r="C256" s="644">
        <v>2314.5</v>
      </c>
    </row>
    <row r="257" spans="2:3">
      <c r="B257" s="643">
        <v>46076</v>
      </c>
      <c r="C257" s="644">
        <v>2345.4</v>
      </c>
    </row>
    <row r="258" spans="2:3">
      <c r="B258" s="643">
        <v>46077</v>
      </c>
      <c r="C258" s="644">
        <v>2358.6</v>
      </c>
    </row>
    <row r="259" spans="2:3">
      <c r="B259" s="643">
        <v>46078</v>
      </c>
      <c r="C259" s="644">
        <v>2374.9</v>
      </c>
    </row>
    <row r="260" spans="2:3">
      <c r="B260" s="643">
        <v>46079</v>
      </c>
      <c r="C260" s="644">
        <v>2383.3000000000002</v>
      </c>
    </row>
    <row r="261" spans="2:3">
      <c r="B261" s="643">
        <v>46080</v>
      </c>
      <c r="C261" s="644">
        <v>2338.1</v>
      </c>
    </row>
    <row r="262" spans="2:3">
      <c r="B262" s="643">
        <v>46083</v>
      </c>
      <c r="C262" s="644">
        <v>2320.6</v>
      </c>
    </row>
    <row r="263" spans="2:3">
      <c r="B263" s="643">
        <v>46085</v>
      </c>
      <c r="C263" s="644">
        <v>2261.3000000000002</v>
      </c>
    </row>
    <row r="264" spans="2:3">
      <c r="B264" s="643">
        <v>46086</v>
      </c>
      <c r="C264" s="644">
        <v>2255</v>
      </c>
    </row>
    <row r="265" spans="2:3">
      <c r="B265" s="643">
        <v>46087</v>
      </c>
      <c r="C265" s="644">
        <v>2225.6999999999998</v>
      </c>
    </row>
    <row r="266" spans="2:3">
      <c r="B266" s="643">
        <v>46090</v>
      </c>
      <c r="C266" s="644">
        <v>2194.6</v>
      </c>
    </row>
    <row r="267" spans="2:3">
      <c r="B267" s="643">
        <v>46091</v>
      </c>
      <c r="C267" s="644">
        <v>2190.1999999999998</v>
      </c>
    </row>
    <row r="268" spans="2:3">
      <c r="B268" s="643">
        <v>46092</v>
      </c>
      <c r="C268" s="644">
        <v>2161.4</v>
      </c>
    </row>
    <row r="269" spans="2:3">
      <c r="B269" s="643">
        <v>46093</v>
      </c>
      <c r="C269" s="644">
        <v>2136.9</v>
      </c>
    </row>
    <row r="270" spans="2:3">
      <c r="B270" s="643">
        <v>46094</v>
      </c>
      <c r="C270" s="644">
        <v>2160</v>
      </c>
    </row>
    <row r="271" spans="2:3">
      <c r="B271" s="643">
        <v>46097</v>
      </c>
      <c r="C271" s="644">
        <v>2175.6999999999998</v>
      </c>
    </row>
    <row r="272" spans="2:3">
      <c r="B272" s="643">
        <v>46098</v>
      </c>
      <c r="C272" s="644">
        <v>2158.1999999999998</v>
      </c>
    </row>
    <row r="273" spans="2:3">
      <c r="B273" s="643">
        <v>46099</v>
      </c>
      <c r="C273" s="644">
        <v>2135.3000000000002</v>
      </c>
    </row>
    <row r="274" spans="2:3">
      <c r="B274" s="643">
        <v>46100</v>
      </c>
      <c r="C274" s="644">
        <v>2077.3000000000002</v>
      </c>
    </row>
    <row r="275" spans="2:3">
      <c r="B275" s="643">
        <v>46101</v>
      </c>
      <c r="C275" s="644">
        <v>2078.1</v>
      </c>
    </row>
    <row r="283" spans="2:3">
      <c r="B283" s="642" t="s">
        <v>1285</v>
      </c>
      <c r="C283" s="51">
        <v>0.95899999999999996</v>
      </c>
    </row>
    <row r="284" spans="2:3">
      <c r="B284" s="642" t="s">
        <v>1286</v>
      </c>
      <c r="C284" s="51">
        <v>4.1000000000000002E-2</v>
      </c>
    </row>
    <row r="285" spans="2:3">
      <c r="B285" s="642"/>
    </row>
    <row r="286" spans="2:3">
      <c r="B286" s="642"/>
    </row>
    <row r="287" spans="2:3">
      <c r="B287" s="642"/>
    </row>
    <row r="303" spans="2:5">
      <c r="B303" t="s">
        <v>1288</v>
      </c>
      <c r="C303">
        <v>2025</v>
      </c>
      <c r="D303">
        <v>2026</v>
      </c>
      <c r="E303">
        <v>2027</v>
      </c>
    </row>
    <row r="304" spans="2:5">
      <c r="B304" t="s">
        <v>1287</v>
      </c>
      <c r="C304" s="51">
        <v>2.8000000000000001E-2</v>
      </c>
      <c r="D304" s="51">
        <v>3.3000000000000002E-2</v>
      </c>
      <c r="E304" s="51">
        <v>3.2000000000000001E-2</v>
      </c>
    </row>
    <row r="305" spans="2:5">
      <c r="B305" t="s">
        <v>923</v>
      </c>
      <c r="C305" s="51">
        <v>2.1000000000000001E-2</v>
      </c>
      <c r="D305" s="51">
        <v>2.4E-2</v>
      </c>
      <c r="E305" s="51">
        <v>0.02</v>
      </c>
    </row>
    <row r="306" spans="2:5">
      <c r="B306" t="s">
        <v>836</v>
      </c>
      <c r="C306" s="51">
        <v>7.4999999999999997E-2</v>
      </c>
      <c r="D306" s="51">
        <v>6.4000000000000001E-2</v>
      </c>
      <c r="E306" s="51">
        <v>6.4000000000000001E-2</v>
      </c>
    </row>
    <row r="327" spans="2:18">
      <c r="C327" s="19">
        <v>2020</v>
      </c>
      <c r="D327" s="19">
        <f>C327+1</f>
        <v>2021</v>
      </c>
      <c r="E327" s="19">
        <f t="shared" ref="E327:H327" si="0">D327+1</f>
        <v>2022</v>
      </c>
      <c r="F327" s="19">
        <f t="shared" si="0"/>
        <v>2023</v>
      </c>
      <c r="G327" s="19">
        <f t="shared" si="0"/>
        <v>2024</v>
      </c>
      <c r="H327" s="19">
        <f t="shared" si="0"/>
        <v>2025</v>
      </c>
      <c r="I327" s="19">
        <f>H327+1</f>
        <v>2026</v>
      </c>
      <c r="J327" s="19">
        <f>I327+1</f>
        <v>2027</v>
      </c>
      <c r="K327" s="19">
        <f t="shared" ref="K327:R327" si="1">J327+1</f>
        <v>2028</v>
      </c>
      <c r="L327" s="19">
        <f t="shared" si="1"/>
        <v>2029</v>
      </c>
      <c r="M327" s="19">
        <f t="shared" si="1"/>
        <v>2030</v>
      </c>
      <c r="N327" s="19">
        <f t="shared" si="1"/>
        <v>2031</v>
      </c>
      <c r="O327" s="19">
        <f t="shared" si="1"/>
        <v>2032</v>
      </c>
      <c r="P327" s="19">
        <f t="shared" si="1"/>
        <v>2033</v>
      </c>
      <c r="Q327" s="19">
        <f t="shared" si="1"/>
        <v>2034</v>
      </c>
      <c r="R327" s="19">
        <f t="shared" si="1"/>
        <v>2035</v>
      </c>
    </row>
    <row r="328" spans="2:18">
      <c r="B328" t="s">
        <v>642</v>
      </c>
      <c r="C328" s="46">
        <v>39783</v>
      </c>
      <c r="D328" s="46">
        <v>47028</v>
      </c>
      <c r="E328" s="46">
        <v>52446</v>
      </c>
      <c r="F328" s="46">
        <v>60590</v>
      </c>
      <c r="G328" s="46">
        <v>61836</v>
      </c>
      <c r="H328" s="46">
        <v>63121</v>
      </c>
      <c r="I328" s="46">
        <v>68610.580000000016</v>
      </c>
      <c r="J328" s="46">
        <v>74637.470400000006</v>
      </c>
      <c r="K328" s="46">
        <v>81258.607912000007</v>
      </c>
      <c r="L328" s="46">
        <v>88537.282247160038</v>
      </c>
      <c r="M328" s="46">
        <v>96543.868598924819</v>
      </c>
      <c r="N328" s="46">
        <v>105356.64638480304</v>
      </c>
      <c r="O328" s="46">
        <v>114845.76623983758</v>
      </c>
      <c r="P328" s="46">
        <v>124596.8134866242</v>
      </c>
      <c r="Q328" s="46">
        <v>134538.36988544796</v>
      </c>
      <c r="R328" s="46">
        <v>144600.84860186314</v>
      </c>
    </row>
    <row r="329" spans="2:18">
      <c r="B329" s="154" t="s">
        <v>536</v>
      </c>
      <c r="C329" s="217">
        <v>1.2032561689137689E-2</v>
      </c>
      <c r="D329" s="217">
        <v>0.18211296282331646</v>
      </c>
      <c r="E329" s="217">
        <v>0.11520796121459553</v>
      </c>
      <c r="F329" s="217">
        <v>0.15509285741524614</v>
      </c>
      <c r="G329" s="217">
        <v>2.1723341036645749E-2</v>
      </c>
      <c r="H329" s="217">
        <v>1.9791262763344974E-2</v>
      </c>
      <c r="I329" s="51">
        <f>I328/H328-1</f>
        <v>8.6969154481076227E-2</v>
      </c>
      <c r="J329" s="51">
        <f t="shared" ref="J329:R329" si="2">J328/I328-1</f>
        <v>8.7841997546150852E-2</v>
      </c>
      <c r="K329" s="51">
        <f t="shared" si="2"/>
        <v>8.8710636581273983E-2</v>
      </c>
      <c r="L329" s="51">
        <f t="shared" si="2"/>
        <v>8.9574194318496891E-2</v>
      </c>
      <c r="M329" s="51">
        <f t="shared" si="2"/>
        <v>9.0431806223887135E-2</v>
      </c>
      <c r="N329" s="51">
        <f t="shared" si="2"/>
        <v>9.1282625336772227E-2</v>
      </c>
      <c r="O329" s="51">
        <f t="shared" si="2"/>
        <v>9.0066646772113623E-2</v>
      </c>
      <c r="P329" s="51">
        <f t="shared" si="2"/>
        <v>8.4905587433001806E-2</v>
      </c>
      <c r="Q329" s="51">
        <f t="shared" si="2"/>
        <v>7.9789812601355203E-2</v>
      </c>
      <c r="R329" s="51">
        <f t="shared" si="2"/>
        <v>7.479263146255466E-2</v>
      </c>
    </row>
    <row r="330" spans="2:18">
      <c r="B330" s="154"/>
      <c r="C330" s="217"/>
      <c r="D330" s="217"/>
      <c r="E330" s="217"/>
      <c r="F330" s="217"/>
      <c r="G330" s="217"/>
      <c r="H330" s="217"/>
      <c r="I330" s="51"/>
      <c r="J330" s="51"/>
      <c r="K330" s="51"/>
      <c r="L330" s="51"/>
      <c r="M330" s="51"/>
      <c r="N330" s="51"/>
      <c r="O330" s="51"/>
      <c r="P330" s="51"/>
      <c r="Q330" s="51"/>
      <c r="R330" s="51"/>
    </row>
    <row r="331" spans="2:18">
      <c r="C331" s="19">
        <v>2020</v>
      </c>
      <c r="D331" s="19">
        <f>C331+1</f>
        <v>2021</v>
      </c>
      <c r="E331" s="19">
        <f t="shared" ref="E331" si="3">D331+1</f>
        <v>2022</v>
      </c>
      <c r="F331" s="19">
        <f t="shared" ref="F331" si="4">E331+1</f>
        <v>2023</v>
      </c>
      <c r="G331" s="19">
        <f t="shared" ref="G331" si="5">F331+1</f>
        <v>2024</v>
      </c>
      <c r="H331" s="19">
        <f t="shared" ref="H331" si="6">G331+1</f>
        <v>2025</v>
      </c>
      <c r="I331" s="19">
        <f>H331+1</f>
        <v>2026</v>
      </c>
      <c r="J331" s="19">
        <f>I331+1</f>
        <v>2027</v>
      </c>
      <c r="K331" s="19">
        <f t="shared" ref="K331" si="7">J331+1</f>
        <v>2028</v>
      </c>
      <c r="L331" s="19">
        <f t="shared" ref="L331" si="8">K331+1</f>
        <v>2029</v>
      </c>
      <c r="M331" s="19">
        <f t="shared" ref="M331" si="9">L331+1</f>
        <v>2030</v>
      </c>
      <c r="N331" s="19">
        <f t="shared" ref="N331" si="10">M331+1</f>
        <v>2031</v>
      </c>
      <c r="O331" s="19">
        <f t="shared" ref="O331" si="11">N331+1</f>
        <v>2032</v>
      </c>
      <c r="P331" s="19">
        <f t="shared" ref="P331" si="12">O331+1</f>
        <v>2033</v>
      </c>
      <c r="Q331" s="19">
        <f t="shared" ref="Q331" si="13">P331+1</f>
        <v>2034</v>
      </c>
      <c r="R331" s="19">
        <f t="shared" ref="R331" si="14">Q331+1</f>
        <v>2035</v>
      </c>
    </row>
    <row r="332" spans="2:18">
      <c r="B332" t="s">
        <v>642</v>
      </c>
      <c r="C332" s="46">
        <v>39783</v>
      </c>
      <c r="D332" s="46">
        <v>47028</v>
      </c>
      <c r="E332" s="46">
        <v>52446</v>
      </c>
      <c r="F332" s="46">
        <v>60590</v>
      </c>
      <c r="G332" s="46">
        <v>61836</v>
      </c>
      <c r="H332" s="46">
        <v>63121</v>
      </c>
      <c r="I332" s="46">
        <v>68610.580000000016</v>
      </c>
      <c r="J332" s="46">
        <v>74637.470400000006</v>
      </c>
      <c r="K332" s="46">
        <v>81258.607912000007</v>
      </c>
      <c r="L332" s="46">
        <v>88537.282247160038</v>
      </c>
      <c r="M332" s="46">
        <v>96543.868598924819</v>
      </c>
      <c r="N332" s="46">
        <v>105356.64638480304</v>
      </c>
      <c r="O332" s="46">
        <v>114845.76623983758</v>
      </c>
      <c r="P332" s="46">
        <v>124596.8134866242</v>
      </c>
      <c r="Q332" s="46">
        <v>134538.36988544796</v>
      </c>
      <c r="R332" s="46">
        <v>144600.84860186314</v>
      </c>
    </row>
    <row r="333" spans="2:18">
      <c r="B333" t="s">
        <v>3</v>
      </c>
      <c r="C333" s="51">
        <v>0.54103511550159611</v>
      </c>
      <c r="D333" s="51">
        <v>0.52904652547418562</v>
      </c>
      <c r="E333" s="51">
        <v>0.50930480875567252</v>
      </c>
      <c r="F333" s="51">
        <v>0.47654728503053312</v>
      </c>
      <c r="G333" s="51">
        <v>0.51872695517174461</v>
      </c>
      <c r="H333" s="51">
        <v>0.51556534275439236</v>
      </c>
      <c r="I333" s="51">
        <v>0.51</v>
      </c>
      <c r="J333" s="51">
        <v>0.51224999999999998</v>
      </c>
      <c r="K333" s="51">
        <v>0.51449999999999996</v>
      </c>
      <c r="L333" s="51">
        <v>0.51674999999999993</v>
      </c>
      <c r="M333" s="51">
        <v>0.51900000000000002</v>
      </c>
      <c r="N333" s="51">
        <v>0.51900000000000002</v>
      </c>
      <c r="O333" s="51">
        <v>0.51900000000000002</v>
      </c>
      <c r="P333" s="51">
        <v>0.51900000000000002</v>
      </c>
      <c r="Q333" s="51">
        <v>0.51900000000000002</v>
      </c>
      <c r="R333" s="51">
        <v>0.51900000000000002</v>
      </c>
    </row>
    <row r="335" spans="2:18">
      <c r="C335" s="19">
        <v>2020</v>
      </c>
      <c r="D335" s="19">
        <f>C335+1</f>
        <v>2021</v>
      </c>
      <c r="E335" s="19">
        <f t="shared" ref="E335" si="15">D335+1</f>
        <v>2022</v>
      </c>
      <c r="F335" s="19">
        <f t="shared" ref="F335" si="16">E335+1</f>
        <v>2023</v>
      </c>
      <c r="G335" s="19">
        <f t="shared" ref="G335" si="17">F335+1</f>
        <v>2024</v>
      </c>
      <c r="H335" s="19">
        <f t="shared" ref="H335" si="18">G335+1</f>
        <v>2025</v>
      </c>
      <c r="I335" s="19">
        <f>H335+1</f>
        <v>2026</v>
      </c>
      <c r="J335" s="19">
        <f>I335+1</f>
        <v>2027</v>
      </c>
      <c r="K335" s="19">
        <f t="shared" ref="K335" si="19">J335+1</f>
        <v>2028</v>
      </c>
      <c r="L335" s="19">
        <f t="shared" ref="L335" si="20">K335+1</f>
        <v>2029</v>
      </c>
      <c r="M335" s="19">
        <f t="shared" ref="M335" si="21">L335+1</f>
        <v>2030</v>
      </c>
      <c r="N335" s="19">
        <f t="shared" ref="N335" si="22">M335+1</f>
        <v>2031</v>
      </c>
      <c r="O335" s="19">
        <f t="shared" ref="O335" si="23">N335+1</f>
        <v>2032</v>
      </c>
      <c r="P335" s="19">
        <f t="shared" ref="P335" si="24">O335+1</f>
        <v>2033</v>
      </c>
      <c r="Q335" s="19">
        <f t="shared" ref="Q335" si="25">P335+1</f>
        <v>2034</v>
      </c>
      <c r="R335" s="19">
        <f t="shared" ref="R335" si="26">Q335+1</f>
        <v>2035</v>
      </c>
    </row>
    <row r="336" spans="2:18">
      <c r="B336" t="s">
        <v>642</v>
      </c>
      <c r="C336" s="46">
        <v>39783</v>
      </c>
      <c r="D336" s="46">
        <v>47028</v>
      </c>
      <c r="E336" s="46">
        <v>52446</v>
      </c>
      <c r="F336" s="46">
        <v>60590</v>
      </c>
      <c r="G336" s="46">
        <v>61836</v>
      </c>
      <c r="H336" s="46">
        <v>63121</v>
      </c>
      <c r="I336" s="46">
        <v>68610.580000000016</v>
      </c>
      <c r="J336" s="46">
        <v>74637.470400000006</v>
      </c>
      <c r="K336" s="46">
        <v>81258.607912000007</v>
      </c>
      <c r="L336" s="46">
        <v>88537.282247160038</v>
      </c>
      <c r="M336" s="46">
        <v>96543.868598924819</v>
      </c>
      <c r="N336" s="46">
        <v>105356.64638480304</v>
      </c>
      <c r="O336" s="46">
        <v>114845.76623983758</v>
      </c>
      <c r="P336" s="46">
        <v>124596.8134866242</v>
      </c>
      <c r="Q336" s="46">
        <v>134538.36988544796</v>
      </c>
      <c r="R336" s="46">
        <v>144600.84860186314</v>
      </c>
    </row>
    <row r="337" spans="2:18">
      <c r="B337" t="s">
        <v>496</v>
      </c>
      <c r="C337" s="46">
        <v>11663</v>
      </c>
      <c r="D337" s="46">
        <v>13254</v>
      </c>
      <c r="E337" s="46">
        <v>13854</v>
      </c>
      <c r="F337" s="46">
        <v>14715</v>
      </c>
      <c r="G337" s="46">
        <v>17473</v>
      </c>
      <c r="H337" s="46">
        <v>17692</v>
      </c>
      <c r="I337" s="46">
        <v>19210.962400000004</v>
      </c>
      <c r="J337" s="46">
        <v>20898.491712000003</v>
      </c>
      <c r="K337" s="46">
        <v>22752.410215360003</v>
      </c>
      <c r="L337" s="46">
        <v>24790.439029204812</v>
      </c>
      <c r="M337" s="46">
        <v>27032.283207698951</v>
      </c>
      <c r="N337" s="46">
        <v>29499.860987744854</v>
      </c>
      <c r="O337" s="46">
        <v>32156.814547154525</v>
      </c>
      <c r="P337" s="46">
        <v>34887.107776254779</v>
      </c>
      <c r="Q337" s="46">
        <v>37670.743567925427</v>
      </c>
      <c r="R337" s="46">
        <v>40488.237608521682</v>
      </c>
    </row>
    <row r="338" spans="2:18">
      <c r="B338" t="s">
        <v>1320</v>
      </c>
      <c r="D338" s="51">
        <f>D337/C337-1</f>
        <v>0.13641430163765755</v>
      </c>
      <c r="E338" s="51">
        <f t="shared" ref="E338:R338" si="27">E337/D337-1</f>
        <v>4.5269352648257044E-2</v>
      </c>
      <c r="F338" s="51">
        <f t="shared" si="27"/>
        <v>6.2148116067561654E-2</v>
      </c>
      <c r="G338" s="51">
        <f t="shared" si="27"/>
        <v>0.18742779476724425</v>
      </c>
      <c r="H338" s="51">
        <f t="shared" si="27"/>
        <v>1.2533623304527008E-2</v>
      </c>
      <c r="I338" s="51">
        <f t="shared" si="27"/>
        <v>8.5855889667646679E-2</v>
      </c>
      <c r="J338" s="51">
        <f t="shared" si="27"/>
        <v>8.7841997546150852E-2</v>
      </c>
      <c r="K338" s="51">
        <f t="shared" si="27"/>
        <v>8.8710636581273983E-2</v>
      </c>
      <c r="L338" s="51">
        <f t="shared" si="27"/>
        <v>8.9574194318496891E-2</v>
      </c>
      <c r="M338" s="51">
        <f t="shared" si="27"/>
        <v>9.0431806223887135E-2</v>
      </c>
      <c r="N338" s="51">
        <f t="shared" si="27"/>
        <v>9.1282625336772227E-2</v>
      </c>
      <c r="O338" s="51">
        <f t="shared" si="27"/>
        <v>9.0066646772113623E-2</v>
      </c>
      <c r="P338" s="51">
        <f t="shared" si="27"/>
        <v>8.4905587433001806E-2</v>
      </c>
      <c r="Q338" s="51">
        <f t="shared" si="27"/>
        <v>7.9789812601355203E-2</v>
      </c>
      <c r="R338" s="51">
        <f t="shared" si="27"/>
        <v>7.4792631462554882E-2</v>
      </c>
    </row>
    <row r="339" spans="2:18">
      <c r="B339" t="s">
        <v>498</v>
      </c>
      <c r="C339" s="14">
        <f>C337/C336</f>
        <v>0.29316542241661009</v>
      </c>
      <c r="D339" s="14">
        <f t="shared" ref="D339:R339" si="28">D337/D336</f>
        <v>0.28183210002551673</v>
      </c>
      <c r="E339" s="14">
        <f t="shared" si="28"/>
        <v>0.26415741905960416</v>
      </c>
      <c r="F339" s="14">
        <f t="shared" si="28"/>
        <v>0.24286185839247401</v>
      </c>
      <c r="G339" s="14">
        <f t="shared" si="28"/>
        <v>0.28257002393427777</v>
      </c>
      <c r="H339" s="14">
        <f t="shared" si="28"/>
        <v>0.2802870676953787</v>
      </c>
      <c r="I339" s="14">
        <f t="shared" si="28"/>
        <v>0.27999999999999997</v>
      </c>
      <c r="J339" s="14">
        <f t="shared" si="28"/>
        <v>0.28000000000000003</v>
      </c>
      <c r="K339" s="14">
        <f t="shared" si="28"/>
        <v>0.28000000000000003</v>
      </c>
      <c r="L339" s="14">
        <f t="shared" si="28"/>
        <v>0.28000000000000003</v>
      </c>
      <c r="M339" s="14">
        <f t="shared" si="28"/>
        <v>0.28000000000000003</v>
      </c>
      <c r="N339" s="14">
        <f t="shared" si="28"/>
        <v>0.28000000000000003</v>
      </c>
      <c r="O339" s="14">
        <f t="shared" si="28"/>
        <v>0.28000000000000003</v>
      </c>
      <c r="P339" s="14">
        <f t="shared" si="28"/>
        <v>0.28000000000000003</v>
      </c>
      <c r="Q339" s="14">
        <f t="shared" si="28"/>
        <v>0.27999999999999997</v>
      </c>
      <c r="R339" s="14">
        <f t="shared" si="28"/>
        <v>0.28000000000000003</v>
      </c>
    </row>
    <row r="343" spans="2:18">
      <c r="C343" s="19">
        <v>2020</v>
      </c>
      <c r="D343" s="19">
        <v>2021</v>
      </c>
      <c r="E343" s="19">
        <v>2022</v>
      </c>
      <c r="F343" s="19">
        <v>2023</v>
      </c>
      <c r="G343" s="19">
        <v>2024</v>
      </c>
      <c r="H343" s="19">
        <v>2025</v>
      </c>
      <c r="I343" s="19">
        <v>2026</v>
      </c>
      <c r="J343" s="19">
        <v>2027</v>
      </c>
      <c r="K343" s="19">
        <v>2028</v>
      </c>
      <c r="L343" s="19">
        <v>2029</v>
      </c>
      <c r="M343" s="19">
        <v>2030</v>
      </c>
      <c r="N343" s="19">
        <v>2031</v>
      </c>
      <c r="O343" s="19">
        <v>2032</v>
      </c>
      <c r="P343" s="19">
        <v>2033</v>
      </c>
      <c r="Q343" s="19">
        <v>2034</v>
      </c>
      <c r="R343" s="19">
        <v>2035</v>
      </c>
    </row>
    <row r="344" spans="2:18">
      <c r="B344" t="s">
        <v>1321</v>
      </c>
      <c r="C344" s="14">
        <v>0.15604904398525252</v>
      </c>
      <c r="D344" s="14">
        <v>0.17790855590765053</v>
      </c>
      <c r="E344" s="14">
        <v>0.18370145806265339</v>
      </c>
      <c r="F344" s="14">
        <v>0.19395174991505268</v>
      </c>
      <c r="G344" s="14">
        <v>0.17220855033480226</v>
      </c>
      <c r="H344" s="14">
        <v>0.1739204160072349</v>
      </c>
    </row>
    <row r="345" spans="2:18">
      <c r="B345" t="s">
        <v>1322</v>
      </c>
      <c r="C345" s="14">
        <v>0.40409843093543685</v>
      </c>
      <c r="D345" s="14">
        <v>0.35868417081635734</v>
      </c>
      <c r="E345" s="14">
        <v>0.34242817958712285</v>
      </c>
      <c r="F345" s="14">
        <v>0.33346924906557934</v>
      </c>
      <c r="G345" s="14">
        <v>0.36513477937389116</v>
      </c>
      <c r="H345" s="14">
        <v>0.34071896902554827</v>
      </c>
    </row>
    <row r="346" spans="2:18">
      <c r="B346" t="s">
        <v>1323</v>
      </c>
      <c r="C346" s="14">
        <v>0.31064048701020319</v>
      </c>
      <c r="D346" s="14">
        <v>0.33189980383280521</v>
      </c>
      <c r="E346" s="14">
        <v>0.33860256965497332</v>
      </c>
      <c r="F346" s="14">
        <v>0.33856608902480462</v>
      </c>
      <c r="G346" s="14">
        <v>0.35294454300921424</v>
      </c>
      <c r="H346" s="14">
        <v>0.37468912502826135</v>
      </c>
    </row>
    <row r="347" spans="2:18">
      <c r="B347" t="s">
        <v>1324</v>
      </c>
      <c r="C347" s="14">
        <v>0.12921203806910744</v>
      </c>
      <c r="D347" s="14">
        <v>0.13150746944318698</v>
      </c>
      <c r="E347" s="14">
        <v>0.13526779269525047</v>
      </c>
      <c r="F347" s="14">
        <v>0.13401291199456336</v>
      </c>
      <c r="G347" s="14">
        <v>0.10971212728209237</v>
      </c>
      <c r="H347" s="14">
        <v>0.11067148993895547</v>
      </c>
    </row>
    <row r="351" spans="2:18">
      <c r="C351" s="19">
        <v>2020</v>
      </c>
      <c r="D351" s="19">
        <v>2021</v>
      </c>
      <c r="E351" s="19">
        <v>2022</v>
      </c>
      <c r="F351" s="19">
        <v>2023</v>
      </c>
      <c r="G351" s="19">
        <v>2024</v>
      </c>
      <c r="H351" s="19">
        <v>2025</v>
      </c>
      <c r="I351" s="19">
        <v>2026</v>
      </c>
      <c r="J351" s="19">
        <v>2027</v>
      </c>
      <c r="K351" s="19">
        <v>2028</v>
      </c>
      <c r="L351" s="19">
        <v>2029</v>
      </c>
      <c r="M351" s="19">
        <v>2030</v>
      </c>
      <c r="N351" s="19">
        <v>2031</v>
      </c>
      <c r="O351" s="19">
        <v>2032</v>
      </c>
      <c r="P351" s="19">
        <v>2033</v>
      </c>
      <c r="Q351" s="19">
        <v>2034</v>
      </c>
      <c r="R351" s="19">
        <v>2035</v>
      </c>
    </row>
    <row r="352" spans="2:18">
      <c r="B352" t="s">
        <v>52</v>
      </c>
      <c r="C352" s="46">
        <v>39783</v>
      </c>
      <c r="D352" s="46">
        <v>47028</v>
      </c>
      <c r="E352" s="46">
        <v>52446</v>
      </c>
      <c r="F352" s="46">
        <v>60590</v>
      </c>
      <c r="G352" s="46">
        <v>61836</v>
      </c>
      <c r="H352" s="46">
        <v>63121</v>
      </c>
      <c r="I352" s="46">
        <v>68610.580000000016</v>
      </c>
      <c r="J352" s="46">
        <v>74637.470400000006</v>
      </c>
      <c r="K352" s="46">
        <v>81258.607912000007</v>
      </c>
      <c r="L352" s="46">
        <v>88537.282247160038</v>
      </c>
      <c r="M352" s="46">
        <v>96543.868598924819</v>
      </c>
      <c r="N352" s="46">
        <v>105356.64638480304</v>
      </c>
      <c r="O352" s="46">
        <v>114845.76623983758</v>
      </c>
      <c r="P352" s="46">
        <v>124596.8134866242</v>
      </c>
      <c r="Q352" s="46">
        <v>134538.36988544796</v>
      </c>
      <c r="R352" s="46">
        <v>144600.84860186314</v>
      </c>
    </row>
    <row r="353" spans="2:18">
      <c r="B353" s="154" t="s">
        <v>536</v>
      </c>
      <c r="C353" s="217">
        <v>1.2032561689137689E-2</v>
      </c>
      <c r="D353" s="217">
        <v>0.18211296282331646</v>
      </c>
      <c r="E353" s="217">
        <v>0.11520796121459553</v>
      </c>
      <c r="F353" s="217">
        <v>0.15509285741524614</v>
      </c>
      <c r="G353" s="217">
        <v>2.1723341036645749E-2</v>
      </c>
      <c r="H353" s="217">
        <v>1.9791262763344974E-2</v>
      </c>
      <c r="I353" s="51">
        <f>I352/H352-1</f>
        <v>8.6969154481076227E-2</v>
      </c>
      <c r="J353" s="51">
        <f t="shared" ref="J353" si="29">J352/I352-1</f>
        <v>8.7841997546150852E-2</v>
      </c>
      <c r="K353" s="51">
        <f t="shared" ref="K353" si="30">K352/J352-1</f>
        <v>8.8710636581273983E-2</v>
      </c>
      <c r="L353" s="51">
        <f t="shared" ref="L353" si="31">L352/K352-1</f>
        <v>8.9574194318496891E-2</v>
      </c>
      <c r="M353" s="51">
        <f t="shared" ref="M353" si="32">M352/L352-1</f>
        <v>9.0431806223887135E-2</v>
      </c>
      <c r="N353" s="51">
        <f t="shared" ref="N353" si="33">N352/M352-1</f>
        <v>9.1282625336772227E-2</v>
      </c>
      <c r="O353" s="51">
        <f t="shared" ref="O353" si="34">O352/N352-1</f>
        <v>9.0066646772113623E-2</v>
      </c>
      <c r="P353" s="51">
        <f t="shared" ref="P353" si="35">P352/O352-1</f>
        <v>8.4905587433001806E-2</v>
      </c>
      <c r="Q353" s="51">
        <f t="shared" ref="Q353" si="36">Q352/P352-1</f>
        <v>7.9789812601355203E-2</v>
      </c>
      <c r="R353" s="51">
        <f t="shared" ref="R353" si="37">R352/Q352-1</f>
        <v>7.479263146255466E-2</v>
      </c>
    </row>
    <row r="354" spans="2:18">
      <c r="B354" s="234" t="s">
        <v>181</v>
      </c>
      <c r="C354" s="46">
        <f>'3Statement Model'!D98</f>
        <v>2767</v>
      </c>
      <c r="D354" s="46">
        <f>'3Statement Model'!E98</f>
        <v>3579</v>
      </c>
      <c r="E354" s="46">
        <f>'3Statement Model'!F98</f>
        <v>4096</v>
      </c>
      <c r="F354" s="46">
        <f>'3Statement Model'!G98</f>
        <v>4251</v>
      </c>
      <c r="G354" s="46">
        <f>'3Statement Model'!H98</f>
        <v>4022</v>
      </c>
      <c r="H354" s="46">
        <f>'3Statement Model'!I98</f>
        <v>4415</v>
      </c>
      <c r="I354" s="46">
        <f>'3Statement Model'!J98</f>
        <v>5526.4412383561657</v>
      </c>
      <c r="J354" s="46">
        <f>'3Statement Model'!K98</f>
        <v>5984.289236317808</v>
      </c>
      <c r="K354" s="46">
        <f>'3Statement Model'!L98</f>
        <v>6485.1047903467406</v>
      </c>
      <c r="L354" s="46">
        <f>'3Statement Model'!M98</f>
        <v>7033.2561609764534</v>
      </c>
      <c r="M354" s="46">
        <f>'3Statement Model'!N98</f>
        <v>7633.5782130547123</v>
      </c>
      <c r="N354" s="46">
        <f>'3Statement Model'!O98</f>
        <v>8330.3912730559332</v>
      </c>
      <c r="O354" s="46">
        <f>'3Statement Model'!P98</f>
        <v>9080.6816813197602</v>
      </c>
      <c r="P354" s="46">
        <f>'3Statement Model'!Q98</f>
        <v>9851.6822937643119</v>
      </c>
      <c r="Q354" s="46">
        <f>'3Statement Model'!R98</f>
        <v>10637.746177791856</v>
      </c>
      <c r="R354" s="46">
        <f>'3Statement Model'!S98</f>
        <v>11433.371207259645</v>
      </c>
    </row>
    <row r="355" spans="2:18">
      <c r="B355" s="154" t="s">
        <v>537</v>
      </c>
      <c r="D355" s="217">
        <f>D354/C354-1</f>
        <v>0.29345861944344054</v>
      </c>
      <c r="E355" s="217">
        <f t="shared" ref="E355:R355" si="38">E354/D354-1</f>
        <v>0.14445375803297011</v>
      </c>
      <c r="F355" s="217">
        <f t="shared" si="38"/>
        <v>3.7841796875E-2</v>
      </c>
      <c r="G355" s="217">
        <f t="shared" si="38"/>
        <v>-5.3869677722888754E-2</v>
      </c>
      <c r="H355" s="217">
        <f t="shared" si="38"/>
        <v>9.7712580805569438E-2</v>
      </c>
      <c r="I355" s="217">
        <f t="shared" si="38"/>
        <v>0.25174206984284608</v>
      </c>
      <c r="J355" s="217">
        <f t="shared" si="38"/>
        <v>8.28468047002755E-2</v>
      </c>
      <c r="K355" s="217">
        <f t="shared" si="38"/>
        <v>8.3688393767726632E-2</v>
      </c>
      <c r="L355" s="217">
        <f t="shared" si="38"/>
        <v>8.4524674365424435E-2</v>
      </c>
      <c r="M355" s="217">
        <f t="shared" si="38"/>
        <v>8.5354782811566832E-2</v>
      </c>
      <c r="N355" s="217">
        <f t="shared" si="38"/>
        <v>9.1282625336772227E-2</v>
      </c>
      <c r="O355" s="217">
        <f t="shared" si="38"/>
        <v>9.0066646772113623E-2</v>
      </c>
      <c r="P355" s="217">
        <f t="shared" si="38"/>
        <v>8.4905587433001806E-2</v>
      </c>
      <c r="Q355" s="217">
        <f t="shared" si="38"/>
        <v>7.9789812601355203E-2</v>
      </c>
      <c r="R355" s="217">
        <f t="shared" si="38"/>
        <v>7.4792631462554882E-2</v>
      </c>
    </row>
    <row r="356" spans="2:18">
      <c r="B356" t="s">
        <v>79</v>
      </c>
      <c r="C356" s="46">
        <f>-'3Statement Model'!D14</f>
        <v>18259</v>
      </c>
      <c r="D356" s="46">
        <f>-'3Statement Model'!E14</f>
        <v>22148</v>
      </c>
      <c r="E356" s="46">
        <f>-'3Statement Model'!F14</f>
        <v>25735</v>
      </c>
      <c r="F356" s="46">
        <f>-'3Statement Model'!G14</f>
        <v>31716</v>
      </c>
      <c r="G356" s="46">
        <f>-'3Statement Model'!H14</f>
        <v>29760</v>
      </c>
      <c r="H356" s="46">
        <f>-'3Statement Model'!I14</f>
        <v>30578</v>
      </c>
      <c r="I356" s="46">
        <f>-'3Statement Model'!J14</f>
        <v>33619.184200000011</v>
      </c>
      <c r="J356" s="46">
        <f>-'3Statement Model'!K14</f>
        <v>36404.426187600002</v>
      </c>
      <c r="K356" s="46">
        <f>-'3Statement Model'!L14</f>
        <v>39451.054141276007</v>
      </c>
      <c r="L356" s="46">
        <f>-'3Statement Model'!M14</f>
        <v>42785.641645940093</v>
      </c>
      <c r="M356" s="46">
        <f>-'3Statement Model'!N14</f>
        <v>46437.600796082836</v>
      </c>
      <c r="N356" s="46">
        <f>-'3Statement Model'!O14</f>
        <v>50676.546911090263</v>
      </c>
      <c r="O356" s="46">
        <f>-'3Statement Model'!P14</f>
        <v>55240.813561361872</v>
      </c>
      <c r="P356" s="46">
        <f>-'3Statement Model'!Q14</f>
        <v>59931.067287066238</v>
      </c>
      <c r="Q356" s="46">
        <f>-'3Statement Model'!R14</f>
        <v>64712.955914900464</v>
      </c>
      <c r="R356" s="46">
        <f>-'3Statement Model'!S14</f>
        <v>69553.008177496173</v>
      </c>
    </row>
    <row r="357" spans="2:18">
      <c r="B357" t="s">
        <v>80</v>
      </c>
      <c r="C357" s="689">
        <f>'3Statement Model'!D115</f>
        <v>55.312722493017148</v>
      </c>
      <c r="D357" s="689">
        <f>'3Statement Model'!E115</f>
        <v>58.982075130937332</v>
      </c>
      <c r="E357" s="689">
        <f>'3Statement Model'!F115</f>
        <v>58.093646784534677</v>
      </c>
      <c r="F357" s="689">
        <f>'3Statement Model'!G115</f>
        <v>48.922152856602345</v>
      </c>
      <c r="G357" s="689">
        <f>'3Statement Model'!H115</f>
        <v>49.328965053763447</v>
      </c>
      <c r="H357" s="689">
        <f>'3Statement Model'!I115</f>
        <v>52.700470926810127</v>
      </c>
      <c r="I357" s="689">
        <f>'3Statement Model'!J115</f>
        <v>60</v>
      </c>
      <c r="J357" s="689">
        <f>'3Statement Model'!K115</f>
        <v>60</v>
      </c>
      <c r="K357" s="689">
        <f>'3Statement Model'!L115</f>
        <v>60</v>
      </c>
      <c r="L357" s="689">
        <f>'3Statement Model'!M115</f>
        <v>60</v>
      </c>
      <c r="M357" s="689">
        <f>'3Statement Model'!N115</f>
        <v>60</v>
      </c>
      <c r="N357" s="689">
        <f>'3Statement Model'!O115</f>
        <v>60</v>
      </c>
      <c r="O357" s="689">
        <f>'3Statement Model'!P115</f>
        <v>60.000000000000007</v>
      </c>
      <c r="P357" s="689">
        <f>'3Statement Model'!Q115</f>
        <v>60</v>
      </c>
      <c r="Q357" s="689">
        <f>'3Statement Model'!R115</f>
        <v>60</v>
      </c>
      <c r="R357" s="689">
        <f>'3Statement Model'!S115</f>
        <v>60</v>
      </c>
    </row>
    <row r="358" spans="2:18">
      <c r="B358" t="s">
        <v>78</v>
      </c>
      <c r="C358" s="689">
        <f>'3Statement Model'!D114</f>
        <v>10.541814342809742</v>
      </c>
      <c r="D358" s="689">
        <f>'3Statement Model'!E114</f>
        <v>13.644424598111764</v>
      </c>
      <c r="E358" s="689">
        <f>'3Statement Model'!F114</f>
        <v>15.561529954619989</v>
      </c>
      <c r="F358" s="689">
        <f>'3Statement Model'!G114</f>
        <v>18.548192771084338</v>
      </c>
      <c r="G358" s="689">
        <f>'3Statement Model'!H114</f>
        <v>17.69042305453134</v>
      </c>
      <c r="H358" s="689">
        <f>'3Statement Model'!I114</f>
        <v>22.08353796676225</v>
      </c>
      <c r="I358" s="689">
        <f>'3Statement Model'!J114</f>
        <v>18</v>
      </c>
      <c r="J358" s="689">
        <f>'3Statement Model'!K114</f>
        <v>16</v>
      </c>
      <c r="K358" s="689">
        <f>'3Statement Model'!L114</f>
        <v>16</v>
      </c>
      <c r="L358" s="689">
        <f>'3Statement Model'!M114</f>
        <v>16</v>
      </c>
      <c r="M358" s="689">
        <f>'3Statement Model'!N114</f>
        <v>16</v>
      </c>
      <c r="N358" s="689">
        <f>'3Statement Model'!O114</f>
        <v>16</v>
      </c>
      <c r="O358" s="689">
        <f>'3Statement Model'!P114</f>
        <v>16</v>
      </c>
      <c r="P358" s="689">
        <f>'3Statement Model'!Q114</f>
        <v>16</v>
      </c>
      <c r="Q358" s="689">
        <f>'3Statement Model'!R114</f>
        <v>16</v>
      </c>
      <c r="R358" s="689">
        <f>'3Statement Model'!S114</f>
        <v>16</v>
      </c>
    </row>
    <row r="359" spans="2:18">
      <c r="B359" t="s">
        <v>182</v>
      </c>
      <c r="C359" s="46">
        <f>'3Statement Model'!D101</f>
        <v>1149</v>
      </c>
      <c r="D359" s="46">
        <f>'3Statement Model'!E101</f>
        <v>1758</v>
      </c>
      <c r="E359" s="46">
        <f>'3Statement Model'!F101</f>
        <v>2236</v>
      </c>
      <c r="F359" s="46">
        <f>'3Statement Model'!G101</f>
        <v>3079</v>
      </c>
      <c r="G359" s="46">
        <f>'3Statement Model'!H101</f>
        <v>2997</v>
      </c>
      <c r="H359" s="46">
        <f>'3Statement Model'!I101</f>
        <v>3819</v>
      </c>
      <c r="I359" s="46">
        <f>'3Statement Model'!J101</f>
        <v>3383.5354520547953</v>
      </c>
      <c r="J359" s="46">
        <f>'3Statement Model'!K101</f>
        <v>3271.7795243835617</v>
      </c>
      <c r="K359" s="46">
        <f>'3Statement Model'!L101</f>
        <v>3562.0211687452056</v>
      </c>
      <c r="L359" s="46">
        <f>'3Statement Model'!M101</f>
        <v>3881.0863450809879</v>
      </c>
      <c r="M359" s="46">
        <f>'3Statement Model'!N101</f>
        <v>4232.0599933775266</v>
      </c>
      <c r="N359" s="46">
        <f>'3Statement Model'!O101</f>
        <v>4618.3735401557497</v>
      </c>
      <c r="O359" s="46">
        <f>'3Statement Model'!P101</f>
        <v>5034.334958458634</v>
      </c>
      <c r="P359" s="46">
        <f>'3Statement Model'!Q101</f>
        <v>5461.7781254410611</v>
      </c>
      <c r="Q359" s="46">
        <f>'3Statement Model'!R101</f>
        <v>5897.5723785401842</v>
      </c>
      <c r="R359" s="46">
        <f>'3Statement Model'!S101</f>
        <v>6338.6673359720826</v>
      </c>
    </row>
    <row r="362" spans="2:18">
      <c r="C362" s="19">
        <v>2020</v>
      </c>
      <c r="D362" s="19">
        <v>2021</v>
      </c>
      <c r="E362" s="19">
        <v>2022</v>
      </c>
      <c r="F362" s="19">
        <v>2023</v>
      </c>
      <c r="G362" s="19">
        <v>2024</v>
      </c>
      <c r="H362" s="19">
        <v>2025</v>
      </c>
      <c r="I362" s="19">
        <v>2026</v>
      </c>
      <c r="J362" s="19">
        <v>2027</v>
      </c>
      <c r="K362" s="19">
        <v>2028</v>
      </c>
      <c r="L362" s="19">
        <v>2029</v>
      </c>
      <c r="M362" s="19">
        <v>2030</v>
      </c>
      <c r="N362" s="19">
        <v>2031</v>
      </c>
      <c r="O362" s="19">
        <v>2032</v>
      </c>
      <c r="P362" s="19">
        <v>2033</v>
      </c>
      <c r="Q362" s="19">
        <v>2034</v>
      </c>
      <c r="R362" s="19">
        <v>2035</v>
      </c>
    </row>
    <row r="363" spans="2:18">
      <c r="B363" s="154" t="s">
        <v>536</v>
      </c>
      <c r="C363" s="217">
        <v>1.2032561689137689E-2</v>
      </c>
      <c r="D363" s="217">
        <v>0.18211296282331646</v>
      </c>
      <c r="E363" s="217">
        <v>0.11520796121459553</v>
      </c>
      <c r="F363" s="217">
        <v>0.15509285741524614</v>
      </c>
      <c r="G363" s="217">
        <v>2.1723341036645749E-2</v>
      </c>
      <c r="H363" s="217">
        <v>1.9791262763344974E-2</v>
      </c>
      <c r="I363" s="51">
        <v>8.6969154481076227E-2</v>
      </c>
      <c r="J363" s="51">
        <v>8.7841997546150852E-2</v>
      </c>
      <c r="K363" s="51">
        <v>8.8710636581273983E-2</v>
      </c>
      <c r="L363" s="51">
        <v>8.9574194318496891E-2</v>
      </c>
      <c r="M363" s="51">
        <v>9.0431806223887135E-2</v>
      </c>
      <c r="N363" s="51">
        <v>9.1282625336772227E-2</v>
      </c>
      <c r="O363" s="51">
        <v>9.0066646772113623E-2</v>
      </c>
      <c r="P363" s="51">
        <v>8.4905587433001806E-2</v>
      </c>
      <c r="Q363" s="51">
        <v>7.9789812601355203E-2</v>
      </c>
      <c r="R363" s="51">
        <v>7.479263146255466E-2</v>
      </c>
    </row>
    <row r="364" spans="2:18">
      <c r="B364" s="154" t="s">
        <v>537</v>
      </c>
      <c r="D364" s="217">
        <v>0.29345861944344054</v>
      </c>
      <c r="E364" s="217">
        <v>0.14445375803297011</v>
      </c>
      <c r="F364" s="217">
        <v>3.7841796875E-2</v>
      </c>
      <c r="G364" s="217">
        <v>-5.3869677722888754E-2</v>
      </c>
      <c r="H364" s="217">
        <v>9.7712580805569438E-2</v>
      </c>
      <c r="I364" s="217">
        <v>0.25174206984284608</v>
      </c>
      <c r="J364" s="217">
        <v>8.28468047002755E-2</v>
      </c>
      <c r="K364" s="217">
        <v>8.3688393767726632E-2</v>
      </c>
      <c r="L364" s="217">
        <v>8.4524674365424435E-2</v>
      </c>
      <c r="M364" s="217">
        <v>8.5354782811566832E-2</v>
      </c>
      <c r="N364" s="217">
        <v>9.1282625336772227E-2</v>
      </c>
      <c r="O364" s="217">
        <v>9.0066646772113623E-2</v>
      </c>
      <c r="P364" s="217">
        <v>8.4905587433001806E-2</v>
      </c>
      <c r="Q364" s="217">
        <v>7.9789812601355203E-2</v>
      </c>
      <c r="R364" s="217">
        <v>7.4792631462554882E-2</v>
      </c>
    </row>
    <row r="365" spans="2:18">
      <c r="B365" s="154" t="s">
        <v>550</v>
      </c>
      <c r="C365" s="217"/>
      <c r="D365" s="217">
        <v>0.53002610966057451</v>
      </c>
      <c r="E365" s="217">
        <v>0.27189988623435712</v>
      </c>
      <c r="F365" s="217">
        <v>0.37701252236135963</v>
      </c>
      <c r="G365" s="217">
        <v>-2.6632023384215664E-2</v>
      </c>
      <c r="H365" s="217">
        <v>0.27427427427427431</v>
      </c>
      <c r="I365" s="217">
        <v>-0.11402580464655787</v>
      </c>
      <c r="J365" s="217">
        <v>-3.3029335514532576E-2</v>
      </c>
      <c r="K365" s="217">
        <v>8.8710636581273983E-2</v>
      </c>
      <c r="L365" s="217">
        <v>8.9574194318496891E-2</v>
      </c>
      <c r="M365" s="217">
        <v>9.0431806223887135E-2</v>
      </c>
      <c r="N365" s="217">
        <v>9.1282625336772227E-2</v>
      </c>
      <c r="O365" s="217">
        <v>9.0066646772113845E-2</v>
      </c>
      <c r="P365" s="217">
        <v>8.4905587433001806E-2</v>
      </c>
      <c r="Q365" s="217">
        <v>7.9789812601355203E-2</v>
      </c>
      <c r="R365" s="217">
        <v>7.479263146255466E-2</v>
      </c>
    </row>
    <row r="367" spans="2:18">
      <c r="C367" s="19">
        <v>2020</v>
      </c>
      <c r="D367" s="19">
        <v>2021</v>
      </c>
      <c r="E367" s="19">
        <v>2022</v>
      </c>
      <c r="F367" s="19">
        <v>2023</v>
      </c>
      <c r="G367" s="19">
        <v>2024</v>
      </c>
      <c r="H367" s="19">
        <v>2025</v>
      </c>
      <c r="I367" s="19">
        <v>2026</v>
      </c>
      <c r="J367" s="19">
        <v>2027</v>
      </c>
      <c r="K367" s="19">
        <v>2028</v>
      </c>
      <c r="L367" s="19">
        <v>2029</v>
      </c>
      <c r="M367" s="19">
        <v>2030</v>
      </c>
      <c r="N367" s="19">
        <v>2031</v>
      </c>
      <c r="O367" s="19">
        <v>2032</v>
      </c>
      <c r="P367" s="19">
        <v>2033</v>
      </c>
      <c r="Q367" s="19">
        <v>2034</v>
      </c>
      <c r="R367" s="19">
        <v>2035</v>
      </c>
    </row>
    <row r="368" spans="2:18">
      <c r="B368" t="s">
        <v>205</v>
      </c>
      <c r="C368" s="46">
        <v>39783</v>
      </c>
      <c r="D368" s="46">
        <v>47028</v>
      </c>
      <c r="E368" s="46">
        <v>52446</v>
      </c>
      <c r="F368" s="46">
        <v>60590</v>
      </c>
      <c r="G368" s="46">
        <v>61836</v>
      </c>
      <c r="H368" s="46">
        <v>63121</v>
      </c>
      <c r="I368" s="46">
        <v>68610.580000000016</v>
      </c>
      <c r="J368" s="46">
        <v>74637.470400000006</v>
      </c>
      <c r="K368" s="46">
        <v>81258.607912000007</v>
      </c>
      <c r="L368" s="46">
        <v>88537.282247160038</v>
      </c>
      <c r="M368" s="46">
        <v>96543.868598924819</v>
      </c>
      <c r="N368" s="46">
        <v>105356.64638480304</v>
      </c>
      <c r="O368" s="46">
        <v>114845.76623983758</v>
      </c>
      <c r="P368" s="46">
        <v>124596.8134866242</v>
      </c>
      <c r="Q368" s="46">
        <v>134538.36988544796</v>
      </c>
      <c r="R368" s="46">
        <v>144600.84860186314</v>
      </c>
    </row>
    <row r="369" spans="2:18">
      <c r="B369" t="s">
        <v>663</v>
      </c>
      <c r="C369" s="51">
        <v>1.5559409798154991E-2</v>
      </c>
      <c r="D369" s="51">
        <v>1.0929658926596921E-2</v>
      </c>
      <c r="E369" s="51">
        <v>1.3366128970750868E-2</v>
      </c>
      <c r="F369" s="51">
        <v>1.2493810859877868E-2</v>
      </c>
      <c r="G369" s="51">
        <v>1.1724561743967915E-2</v>
      </c>
      <c r="H369" s="51">
        <v>1.5494051108189034E-2</v>
      </c>
      <c r="I369" s="51">
        <v>0.01</v>
      </c>
      <c r="J369" s="51">
        <v>0.01</v>
      </c>
      <c r="K369" s="51">
        <v>0.01</v>
      </c>
      <c r="L369" s="51">
        <v>0.01</v>
      </c>
      <c r="M369" s="51">
        <v>0.01</v>
      </c>
      <c r="N369" s="51">
        <v>0.01</v>
      </c>
      <c r="O369" s="51">
        <v>0.01</v>
      </c>
      <c r="P369" s="51">
        <v>0.01</v>
      </c>
      <c r="Q369" s="51">
        <v>0.01</v>
      </c>
      <c r="R369" s="51">
        <v>0.01</v>
      </c>
    </row>
    <row r="370" spans="2:18">
      <c r="B370" s="118" t="s">
        <v>664</v>
      </c>
      <c r="C370" s="51">
        <v>3.1495865067993865E-2</v>
      </c>
      <c r="D370" s="51">
        <v>5.7561452751552264E-2</v>
      </c>
      <c r="E370" s="51">
        <v>6.7097586088548225E-2</v>
      </c>
      <c r="F370" s="51">
        <v>4.6393794355504211E-2</v>
      </c>
      <c r="G370" s="51">
        <v>7.3711106798628634E-2</v>
      </c>
      <c r="H370" s="51">
        <v>5.9425547757481663E-2</v>
      </c>
      <c r="I370" s="51">
        <v>5.4670868545346786E-2</v>
      </c>
      <c r="J370" s="51">
        <v>5.0256258416817939E-2</v>
      </c>
      <c r="K370" s="51">
        <v>4.6161263358857819E-2</v>
      </c>
      <c r="L370" s="51">
        <v>4.2366333196548041E-2</v>
      </c>
      <c r="M370" s="51">
        <v>3.8852803957783122E-2</v>
      </c>
      <c r="N370" s="51">
        <v>3.5602879635138571E-2</v>
      </c>
      <c r="O370" s="51">
        <v>3.2661195295319967E-2</v>
      </c>
      <c r="P370" s="51">
        <v>3.01051037746056E-2</v>
      </c>
      <c r="Q370" s="51">
        <v>2.788052213798763E-2</v>
      </c>
      <c r="R370" s="51">
        <v>2.5940373353740259E-2</v>
      </c>
    </row>
    <row r="371" spans="2:18">
      <c r="B371" s="118" t="s">
        <v>667</v>
      </c>
      <c r="C371" s="51">
        <v>0</v>
      </c>
      <c r="D371" s="51">
        <v>0</v>
      </c>
      <c r="E371" s="51">
        <v>6.6735308698470804E-4</v>
      </c>
      <c r="F371" s="51">
        <v>5.9415745172470701E-4</v>
      </c>
      <c r="G371" s="51">
        <v>6.1452875347693897E-4</v>
      </c>
      <c r="H371" s="51">
        <v>7.2875905007842084E-4</v>
      </c>
      <c r="I371" s="51">
        <v>6.7045053401385024E-4</v>
      </c>
      <c r="J371" s="51">
        <v>6.1631241993431751E-4</v>
      </c>
      <c r="K371" s="51">
        <v>5.6609387216941074E-4</v>
      </c>
      <c r="L371" s="51">
        <v>5.195551391738763E-4</v>
      </c>
      <c r="M371" s="51">
        <v>4.7646733725887063E-4</v>
      </c>
      <c r="N371" s="51">
        <v>4.3661222693051834E-4</v>
      </c>
      <c r="O371" s="51">
        <v>4.0053718570640323E-4</v>
      </c>
      <c r="P371" s="51">
        <v>3.6919082208260667E-4</v>
      </c>
      <c r="Q371" s="51">
        <v>3.4190989558715836E-4</v>
      </c>
      <c r="R371" s="51">
        <v>3.1811708191736924E-4</v>
      </c>
    </row>
    <row r="372" spans="2:18">
      <c r="B372" s="118" t="s">
        <v>668</v>
      </c>
      <c r="C372" s="51">
        <v>3.5693637986074452E-2</v>
      </c>
      <c r="D372" s="51">
        <v>2.5261546312834907E-2</v>
      </c>
      <c r="E372" s="51">
        <v>2.0764214620752775E-2</v>
      </c>
      <c r="F372" s="51">
        <v>2.2875061891401222E-2</v>
      </c>
      <c r="G372" s="51">
        <v>2.3044828255385213E-2</v>
      </c>
      <c r="H372" s="51">
        <v>2.3573771011232394E-2</v>
      </c>
      <c r="I372" s="51">
        <v>9.8000000000000014E-3</v>
      </c>
      <c r="J372" s="51">
        <v>9.7549999999999998E-3</v>
      </c>
      <c r="K372" s="51">
        <v>9.7099999999999999E-3</v>
      </c>
      <c r="L372" s="51">
        <v>9.665E-3</v>
      </c>
      <c r="M372" s="51">
        <v>9.6200000000000001E-3</v>
      </c>
      <c r="N372" s="51">
        <v>9.6200000000000001E-3</v>
      </c>
      <c r="O372" s="51">
        <v>9.6199999999999983E-3</v>
      </c>
      <c r="P372" s="51">
        <v>9.6200000000000001E-3</v>
      </c>
      <c r="Q372" s="51">
        <v>9.6200000000000001E-3</v>
      </c>
      <c r="R372" s="51">
        <v>9.6200000000000018E-3</v>
      </c>
    </row>
    <row r="375" spans="2:18">
      <c r="C375" s="19">
        <v>2020</v>
      </c>
      <c r="D375" s="19">
        <v>2021</v>
      </c>
      <c r="E375" s="19">
        <v>2022</v>
      </c>
      <c r="F375" s="19">
        <v>2023</v>
      </c>
      <c r="G375" s="19">
        <v>2024</v>
      </c>
      <c r="H375" s="19">
        <v>2025</v>
      </c>
      <c r="I375" s="19">
        <v>2026</v>
      </c>
      <c r="J375" s="19">
        <v>2027</v>
      </c>
      <c r="K375" s="19">
        <v>2028</v>
      </c>
      <c r="L375" s="19">
        <v>2029</v>
      </c>
      <c r="M375" s="19">
        <v>2030</v>
      </c>
      <c r="N375" s="19">
        <v>2031</v>
      </c>
      <c r="O375" s="19">
        <v>2032</v>
      </c>
      <c r="P375" s="19">
        <v>2033</v>
      </c>
      <c r="Q375" s="19">
        <v>2034</v>
      </c>
      <c r="R375" s="19">
        <v>2035</v>
      </c>
    </row>
    <row r="376" spans="2:18">
      <c r="B376" t="s">
        <v>205</v>
      </c>
      <c r="C376" s="46">
        <v>39783</v>
      </c>
      <c r="D376" s="46">
        <v>47028</v>
      </c>
      <c r="E376" s="46">
        <v>52446</v>
      </c>
      <c r="F376" s="46">
        <v>60590</v>
      </c>
      <c r="G376" s="46">
        <v>61836</v>
      </c>
      <c r="H376" s="46">
        <v>63121</v>
      </c>
      <c r="I376" s="46">
        <v>68610.580000000016</v>
      </c>
      <c r="J376" s="46">
        <v>74637.470400000006</v>
      </c>
      <c r="K376" s="46">
        <v>81258.607912000007</v>
      </c>
      <c r="L376" s="46">
        <v>88537.282247160038</v>
      </c>
      <c r="M376" s="46">
        <v>96543.868598924819</v>
      </c>
      <c r="N376" s="46">
        <v>105356.64638480304</v>
      </c>
      <c r="O376" s="46">
        <v>114845.76623983758</v>
      </c>
      <c r="P376" s="46">
        <v>124596.8134866242</v>
      </c>
      <c r="Q376" s="46">
        <v>134538.36988544796</v>
      </c>
      <c r="R376" s="46">
        <v>144600.84860186314</v>
      </c>
    </row>
    <row r="377" spans="2:18">
      <c r="B377" t="s">
        <v>650</v>
      </c>
      <c r="C377" s="46">
        <f>'3Statement Model'!D72</f>
        <v>7535</v>
      </c>
      <c r="D377" s="46">
        <f>'3Statement Model'!E72</f>
        <v>8802</v>
      </c>
      <c r="E377" s="46">
        <f>'3Statement Model'!F72</f>
        <v>9068</v>
      </c>
      <c r="F377" s="46">
        <f>'3Statement Model'!G72</f>
        <v>9574</v>
      </c>
      <c r="G377" s="46">
        <f>'3Statement Model'!H72</f>
        <v>10486</v>
      </c>
      <c r="H377" s="46">
        <f>'3Statement Model'!I72</f>
        <v>11315</v>
      </c>
      <c r="I377" s="46">
        <f>'3Statement Model'!J72</f>
        <v>14737.176635616443</v>
      </c>
      <c r="J377" s="46">
        <f>'3Statement Model'!K72</f>
        <v>15958.104630180822</v>
      </c>
      <c r="K377" s="46">
        <f>'3Statement Model'!L72</f>
        <v>17293.612774257974</v>
      </c>
      <c r="L377" s="46">
        <f>'3Statement Model'!M72</f>
        <v>18755.349762603877</v>
      </c>
      <c r="M377" s="46">
        <f>'3Statement Model'!N72</f>
        <v>20356.208568145899</v>
      </c>
      <c r="N377" s="46">
        <f>'3Statement Model'!O72</f>
        <v>22214.376728149156</v>
      </c>
      <c r="O377" s="46">
        <f>'3Statement Model'!P72</f>
        <v>24215.151150186026</v>
      </c>
      <c r="P377" s="46">
        <f>'3Statement Model'!Q72</f>
        <v>26271.152783371501</v>
      </c>
      <c r="Q377" s="46">
        <f>'3Statement Model'!R72</f>
        <v>28367.323140778284</v>
      </c>
      <c r="R377" s="46">
        <f>'3Statement Model'!S72</f>
        <v>30488.989886025716</v>
      </c>
    </row>
    <row r="378" spans="2:18">
      <c r="B378" t="s">
        <v>1326</v>
      </c>
      <c r="C378" s="51">
        <f>C377/C376</f>
        <v>0.18940250860920493</v>
      </c>
      <c r="D378" s="51">
        <f t="shared" ref="D378:R378" si="39">D377/D376</f>
        <v>0.18716509313600407</v>
      </c>
      <c r="E378" s="51">
        <f t="shared" si="39"/>
        <v>0.17290165122220952</v>
      </c>
      <c r="F378" s="51">
        <f t="shared" si="39"/>
        <v>0.15801287341145404</v>
      </c>
      <c r="G378" s="51">
        <f t="shared" si="39"/>
        <v>0.16957759234103112</v>
      </c>
      <c r="H378" s="51">
        <f t="shared" si="39"/>
        <v>0.17925888373124635</v>
      </c>
      <c r="I378" s="51">
        <f t="shared" si="39"/>
        <v>0.21479452054794521</v>
      </c>
      <c r="J378" s="51">
        <f t="shared" si="39"/>
        <v>0.21380821917808218</v>
      </c>
      <c r="K378" s="51">
        <f t="shared" si="39"/>
        <v>0.21282191780821919</v>
      </c>
      <c r="L378" s="51">
        <f t="shared" si="39"/>
        <v>0.21183561643835619</v>
      </c>
      <c r="M378" s="51">
        <f t="shared" si="39"/>
        <v>0.21084931506849314</v>
      </c>
      <c r="N378" s="51">
        <f t="shared" si="39"/>
        <v>0.21084931506849316</v>
      </c>
      <c r="O378" s="51">
        <f t="shared" si="39"/>
        <v>0.21084931506849314</v>
      </c>
      <c r="P378" s="51">
        <f t="shared" si="39"/>
        <v>0.21084931506849314</v>
      </c>
      <c r="Q378" s="51">
        <f t="shared" si="39"/>
        <v>0.21084931506849314</v>
      </c>
      <c r="R378" s="51">
        <f t="shared" si="39"/>
        <v>0.21084931506849314</v>
      </c>
    </row>
    <row r="379" spans="2:18">
      <c r="B379" t="s">
        <v>79</v>
      </c>
      <c r="C379" s="46">
        <f>-'3Statement Model'!D14</f>
        <v>18259</v>
      </c>
      <c r="D379" s="46">
        <f>-'3Statement Model'!E14</f>
        <v>22148</v>
      </c>
      <c r="E379" s="46">
        <f>-'3Statement Model'!F14</f>
        <v>25735</v>
      </c>
      <c r="F379" s="46">
        <f>-'3Statement Model'!G14</f>
        <v>31716</v>
      </c>
      <c r="G379" s="46">
        <f>-'3Statement Model'!H14</f>
        <v>29760</v>
      </c>
      <c r="H379" s="46">
        <f>-'3Statement Model'!I14</f>
        <v>30578</v>
      </c>
      <c r="I379" s="46">
        <f>-'3Statement Model'!J14</f>
        <v>33619.184200000011</v>
      </c>
      <c r="J379" s="46">
        <f>-'3Statement Model'!K14</f>
        <v>36404.426187600002</v>
      </c>
      <c r="K379" s="46">
        <f>-'3Statement Model'!L14</f>
        <v>39451.054141276007</v>
      </c>
      <c r="L379" s="46">
        <f>-'3Statement Model'!M14</f>
        <v>42785.641645940093</v>
      </c>
      <c r="M379" s="46">
        <f>-'3Statement Model'!N14</f>
        <v>46437.600796082836</v>
      </c>
      <c r="N379" s="46">
        <f>-'3Statement Model'!O14</f>
        <v>50676.546911090263</v>
      </c>
      <c r="O379" s="46">
        <f>-'3Statement Model'!P14</f>
        <v>55240.813561361872</v>
      </c>
      <c r="P379" s="46">
        <f>-'3Statement Model'!Q14</f>
        <v>59931.067287066238</v>
      </c>
      <c r="Q379" s="46">
        <f>-'3Statement Model'!R14</f>
        <v>64712.955914900464</v>
      </c>
      <c r="R379" s="46">
        <f>-'3Statement Model'!S14</f>
        <v>69553.008177496173</v>
      </c>
    </row>
    <row r="380" spans="2:18">
      <c r="B380" t="s">
        <v>1325</v>
      </c>
      <c r="D380" s="51">
        <f t="shared" ref="D380:R380" si="40">D377/C377-1</f>
        <v>0.16814863968148641</v>
      </c>
      <c r="E380" s="51">
        <f t="shared" si="40"/>
        <v>3.0220404453533245E-2</v>
      </c>
      <c r="F380" s="51">
        <f t="shared" si="40"/>
        <v>5.5800617556241772E-2</v>
      </c>
      <c r="G380" s="51">
        <f t="shared" si="40"/>
        <v>9.5257990390641423E-2</v>
      </c>
      <c r="H380" s="51">
        <f t="shared" si="40"/>
        <v>7.9057791340835459E-2</v>
      </c>
      <c r="I380" s="51">
        <f t="shared" si="40"/>
        <v>0.3024460128693276</v>
      </c>
      <c r="J380" s="51">
        <f t="shared" si="40"/>
        <v>8.28468047002755E-2</v>
      </c>
      <c r="K380" s="51">
        <f t="shared" si="40"/>
        <v>8.368839376772641E-2</v>
      </c>
      <c r="L380" s="51">
        <f t="shared" si="40"/>
        <v>8.4524674365424657E-2</v>
      </c>
      <c r="M380" s="51">
        <f t="shared" si="40"/>
        <v>8.535478281156661E-2</v>
      </c>
      <c r="N380" s="51">
        <f t="shared" si="40"/>
        <v>9.1282625336772449E-2</v>
      </c>
      <c r="O380" s="51">
        <f t="shared" si="40"/>
        <v>9.0066646772113623E-2</v>
      </c>
      <c r="P380" s="51">
        <f t="shared" si="40"/>
        <v>8.4905587433001806E-2</v>
      </c>
      <c r="Q380" s="51">
        <f t="shared" si="40"/>
        <v>7.9789812601355203E-2</v>
      </c>
      <c r="R380" s="51">
        <f t="shared" si="40"/>
        <v>7.4792631462554882E-2</v>
      </c>
    </row>
    <row r="381" spans="2:18">
      <c r="B381" t="s">
        <v>658</v>
      </c>
      <c r="C381" s="689">
        <f>'3Statement Model'!D116</f>
        <v>150.62571882359384</v>
      </c>
      <c r="D381" s="689">
        <f>'3Statement Model'!E116</f>
        <v>145.05734152067905</v>
      </c>
      <c r="E381" s="689">
        <f>'3Statement Model'!F116</f>
        <v>128.61161841849619</v>
      </c>
      <c r="F381" s="689">
        <f>'3Statement Model'!G116</f>
        <v>110.18129650649514</v>
      </c>
      <c r="G381" s="689">
        <f>'3Statement Model'!H116</f>
        <v>128.60853494623657</v>
      </c>
      <c r="H381" s="689">
        <f>'3Statement Model'!I116</f>
        <v>135.06360782261757</v>
      </c>
      <c r="I381" s="689">
        <f>'3Statement Model'!J116</f>
        <v>160</v>
      </c>
      <c r="J381" s="689">
        <f>'3Statement Model'!K116</f>
        <v>160</v>
      </c>
      <c r="K381" s="689">
        <f>'3Statement Model'!L116</f>
        <v>160</v>
      </c>
      <c r="L381" s="689">
        <f>'3Statement Model'!M116</f>
        <v>160</v>
      </c>
      <c r="M381" s="689">
        <f>'3Statement Model'!N116</f>
        <v>160</v>
      </c>
      <c r="N381" s="689">
        <f>'3Statement Model'!O116</f>
        <v>160</v>
      </c>
      <c r="O381" s="689">
        <f>'3Statement Model'!P116</f>
        <v>160</v>
      </c>
      <c r="P381" s="689">
        <f>'3Statement Model'!Q116</f>
        <v>160</v>
      </c>
      <c r="Q381" s="689">
        <f>'3Statement Model'!R116</f>
        <v>160</v>
      </c>
      <c r="R381" s="689">
        <f>'3Statement Model'!S116</f>
        <v>160</v>
      </c>
    </row>
    <row r="386" spans="2:18">
      <c r="C386" s="19">
        <v>2020</v>
      </c>
      <c r="D386" s="19">
        <v>2021</v>
      </c>
      <c r="E386" s="19">
        <v>2022</v>
      </c>
      <c r="F386" s="19">
        <v>2023</v>
      </c>
      <c r="G386" s="19">
        <v>2024</v>
      </c>
      <c r="H386" s="19">
        <v>2025</v>
      </c>
      <c r="I386" s="19">
        <v>2026</v>
      </c>
      <c r="J386" s="19">
        <v>2027</v>
      </c>
      <c r="K386" s="19">
        <v>2028</v>
      </c>
      <c r="L386" s="19">
        <v>2029</v>
      </c>
      <c r="M386" s="19">
        <v>2030</v>
      </c>
      <c r="N386" s="19">
        <v>2031</v>
      </c>
      <c r="O386" s="19">
        <v>2032</v>
      </c>
      <c r="P386" s="19">
        <v>2033</v>
      </c>
      <c r="Q386" s="19">
        <v>2034</v>
      </c>
      <c r="R386" s="19">
        <v>2035</v>
      </c>
    </row>
    <row r="387" spans="2:18">
      <c r="B387" t="s">
        <v>688</v>
      </c>
      <c r="C387" s="51">
        <f>'3Statement Model'!D61/Report!C376</f>
        <v>0</v>
      </c>
      <c r="D387" s="51">
        <f>'3Statement Model'!E61/Report!D376</f>
        <v>0</v>
      </c>
      <c r="E387" s="51">
        <f>'3Statement Model'!F61/Report!E376</f>
        <v>1.4128818213019105E-2</v>
      </c>
      <c r="F387" s="51">
        <f>'3Statement Model'!G61/Report!F376</f>
        <v>1.3319029542828849E-2</v>
      </c>
      <c r="G387" s="51">
        <f>'3Statement Model'!H61/Report!G376</f>
        <v>1.7886021088039331E-2</v>
      </c>
      <c r="H387" s="51">
        <f>'3Statement Model'!I61/Report!H376</f>
        <v>1.9692336940162546E-2</v>
      </c>
      <c r="I387" s="51">
        <f>'3Statement Model'!J61/Report!I376</f>
        <v>0.02</v>
      </c>
      <c r="J387" s="51">
        <f>'3Statement Model'!K61/Report!J376</f>
        <v>0.02</v>
      </c>
      <c r="K387" s="51">
        <f>'3Statement Model'!L61/Report!K376</f>
        <v>0.02</v>
      </c>
      <c r="L387" s="51">
        <f>'3Statement Model'!M61/Report!L376</f>
        <v>0.02</v>
      </c>
      <c r="M387" s="51">
        <f>'3Statement Model'!N61/Report!M376</f>
        <v>0.02</v>
      </c>
      <c r="N387" s="51">
        <f>'3Statement Model'!O61/Report!N376</f>
        <v>0.02</v>
      </c>
      <c r="O387" s="51">
        <f>'3Statement Model'!P61/Report!O376</f>
        <v>0.02</v>
      </c>
      <c r="P387" s="51">
        <f>'3Statement Model'!Q61/Report!P376</f>
        <v>0.02</v>
      </c>
      <c r="Q387" s="51">
        <f>'3Statement Model'!R61/Report!Q376</f>
        <v>0.02</v>
      </c>
      <c r="R387" s="51">
        <f>'3Statement Model'!S61/Report!R376</f>
        <v>0.02</v>
      </c>
    </row>
    <row r="388" spans="2:18">
      <c r="B388" t="s">
        <v>687</v>
      </c>
      <c r="C388" s="51">
        <f>'3Statement Model'!D71/Report!C376</f>
        <v>0</v>
      </c>
      <c r="D388" s="51">
        <f>'3Statement Model'!E71/Report!D376</f>
        <v>0</v>
      </c>
      <c r="E388" s="51">
        <f>'3Statement Model'!F71/Report!E376</f>
        <v>5.7583037791251951E-3</v>
      </c>
      <c r="F388" s="51">
        <f>'3Statement Model'!G71/Report!F376</f>
        <v>5.1823733289321668E-3</v>
      </c>
      <c r="G388" s="51">
        <f>'3Statement Model'!H71/Report!G376</f>
        <v>5.9027103952390197E-3</v>
      </c>
      <c r="H388" s="51">
        <f>'3Statement Model'!I71/Report!H376</f>
        <v>6.4004055702539565E-3</v>
      </c>
      <c r="I388" s="51">
        <f>'3Statement Model'!J71/Report!I376</f>
        <v>0.01</v>
      </c>
      <c r="J388" s="51">
        <f>'3Statement Model'!K71/Report!J376</f>
        <v>0.01</v>
      </c>
      <c r="K388" s="51">
        <f>'3Statement Model'!L71/Report!K376</f>
        <v>0.01</v>
      </c>
      <c r="L388" s="51">
        <f>'3Statement Model'!M71/Report!L376</f>
        <v>0.01</v>
      </c>
      <c r="M388" s="51">
        <f>'3Statement Model'!N71/Report!M376</f>
        <v>0.01</v>
      </c>
      <c r="N388" s="51">
        <f>'3Statement Model'!O71/Report!N376</f>
        <v>0.01</v>
      </c>
      <c r="O388" s="51">
        <f>'3Statement Model'!P71/Report!O376</f>
        <v>0.01</v>
      </c>
      <c r="P388" s="51">
        <f>'3Statement Model'!Q71/Report!P376</f>
        <v>0.01</v>
      </c>
      <c r="Q388" s="51">
        <f>'3Statement Model'!R71/Report!Q376</f>
        <v>0.01</v>
      </c>
      <c r="R388" s="51">
        <f>'3Statement Model'!S71/Report!R376</f>
        <v>0.01</v>
      </c>
    </row>
    <row r="389" spans="2:18">
      <c r="B389" t="s">
        <v>689</v>
      </c>
      <c r="C389" s="51">
        <f>'3Statement Model'!D70/Report!C376</f>
        <v>0</v>
      </c>
      <c r="D389" s="51">
        <f>'3Statement Model'!E70/Report!D376</f>
        <v>0</v>
      </c>
      <c r="E389" s="51">
        <f>'3Statement Model'!F70/Report!E376</f>
        <v>0</v>
      </c>
      <c r="F389" s="51">
        <f>'3Statement Model'!G70/Report!F376</f>
        <v>1.6174286185839247E-3</v>
      </c>
      <c r="G389" s="51">
        <f>'3Statement Model'!H70/Report!G376</f>
        <v>2.1023352092632125E-4</v>
      </c>
      <c r="H389" s="51">
        <f>'3Statement Model'!I70/Report!H376</f>
        <v>1.5842588045183062E-5</v>
      </c>
      <c r="I389" s="51">
        <f>'3Statement Model'!J70/Report!I376</f>
        <v>0</v>
      </c>
      <c r="J389" s="51">
        <f>'3Statement Model'!K70/Report!J376</f>
        <v>0</v>
      </c>
      <c r="K389" s="51">
        <f>'3Statement Model'!L70/Report!K376</f>
        <v>0</v>
      </c>
      <c r="L389" s="51">
        <f>'3Statement Model'!M70/Report!L376</f>
        <v>0</v>
      </c>
      <c r="M389" s="51">
        <f>'3Statement Model'!N70/Report!M376</f>
        <v>0</v>
      </c>
      <c r="N389" s="51">
        <f>'3Statement Model'!O70/Report!N376</f>
        <v>0</v>
      </c>
      <c r="O389" s="51">
        <f>'3Statement Model'!P70/Report!O376</f>
        <v>0</v>
      </c>
      <c r="P389" s="51">
        <f>'3Statement Model'!Q70/Report!P376</f>
        <v>0</v>
      </c>
      <c r="Q389" s="51">
        <f>'3Statement Model'!R70/Report!Q376</f>
        <v>0</v>
      </c>
      <c r="R389" s="51">
        <f>'3Statement Model'!S70/Report!R376</f>
        <v>0</v>
      </c>
    </row>
    <row r="392" spans="2:18">
      <c r="B392" t="s">
        <v>684</v>
      </c>
      <c r="C392" s="51"/>
      <c r="D392" s="51"/>
      <c r="E392" s="51">
        <f>'3Statement Model'!F61/SUM('3Statement Model'!F61,'3Statement Model'!F70,'3Statement Model'!F71)</f>
        <v>0.71045062320230101</v>
      </c>
      <c r="F392" s="51">
        <f>'3Statement Model'!G61/SUM('3Statement Model'!G61,'3Statement Model'!G70,'3Statement Model'!G71)</f>
        <v>0.66201804757998362</v>
      </c>
      <c r="G392" s="51">
        <f>'3Statement Model'!H61/SUM('3Statement Model'!H61,'3Statement Model'!H70,'3Statement Model'!H71)</f>
        <v>0.74528301886792447</v>
      </c>
      <c r="H392" s="51">
        <f>'3Statement Model'!I61/SUM('3Statement Model'!I61,'3Statement Model'!I70,'3Statement Model'!I71)</f>
        <v>0.75424757281553401</v>
      </c>
      <c r="I392" s="51">
        <f>'3Statement Model'!J61/SUM('3Statement Model'!J61,'3Statement Model'!J70,'3Statement Model'!J71)</f>
        <v>0.66666666666666674</v>
      </c>
      <c r="J392" s="51">
        <f>'3Statement Model'!K61/SUM('3Statement Model'!K61,'3Statement Model'!K70,'3Statement Model'!K71)</f>
        <v>0.66666666666666663</v>
      </c>
      <c r="K392" s="51">
        <f>'3Statement Model'!L61/SUM('3Statement Model'!L61,'3Statement Model'!L70,'3Statement Model'!L71)</f>
        <v>0.66666666666666674</v>
      </c>
      <c r="L392" s="51">
        <f>'3Statement Model'!M61/SUM('3Statement Model'!M61,'3Statement Model'!M70,'3Statement Model'!M71)</f>
        <v>0.66666666666666674</v>
      </c>
      <c r="M392" s="51">
        <f>'3Statement Model'!N61/SUM('3Statement Model'!N61,'3Statement Model'!N70,'3Statement Model'!N71)</f>
        <v>0.66666666666666674</v>
      </c>
      <c r="N392" s="51">
        <f>'3Statement Model'!O61/SUM('3Statement Model'!O61,'3Statement Model'!O70,'3Statement Model'!O71)</f>
        <v>0.66666666666666663</v>
      </c>
      <c r="O392" s="51">
        <f>'3Statement Model'!P61/SUM('3Statement Model'!P61,'3Statement Model'!P70,'3Statement Model'!P71)</f>
        <v>0.66666666666666663</v>
      </c>
      <c r="P392" s="51">
        <f>'3Statement Model'!Q61/SUM('3Statement Model'!Q61,'3Statement Model'!Q70,'3Statement Model'!Q71)</f>
        <v>0.66666666666666663</v>
      </c>
      <c r="Q392" s="51">
        <f>'3Statement Model'!R61/SUM('3Statement Model'!R61,'3Statement Model'!R70,'3Statement Model'!R71)</f>
        <v>0.66666666666666674</v>
      </c>
      <c r="R392" s="51">
        <f>'3Statement Model'!S61/SUM('3Statement Model'!S61,'3Statement Model'!S70,'3Statement Model'!S71)</f>
        <v>0.66666666666666674</v>
      </c>
    </row>
    <row r="393" spans="2:18">
      <c r="B393" t="s">
        <v>685</v>
      </c>
      <c r="C393" s="51"/>
      <c r="D393" s="51"/>
      <c r="E393" s="51">
        <f>'3Statement Model'!F71/SUM('3Statement Model'!F70,'3Statement Model'!F71,'3Statement Model'!F61)</f>
        <v>0.28954937679769893</v>
      </c>
      <c r="F393" s="51">
        <f>'3Statement Model'!G71/SUM('3Statement Model'!G70,'3Statement Model'!G71,'3Statement Model'!G61)</f>
        <v>0.25758818703855618</v>
      </c>
      <c r="G393" s="51">
        <f>'3Statement Model'!H71/SUM('3Statement Model'!H70,'3Statement Model'!H71,'3Statement Model'!H61)</f>
        <v>0.24595687331536389</v>
      </c>
      <c r="H393" s="51">
        <f>'3Statement Model'!I71/SUM('3Statement Model'!I70,'3Statement Model'!I71,'3Statement Model'!I61)</f>
        <v>0.24514563106796117</v>
      </c>
      <c r="I393" s="51">
        <f>'3Statement Model'!J71/SUM('3Statement Model'!J70,'3Statement Model'!J71,'3Statement Model'!J61)</f>
        <v>0.33333333333333337</v>
      </c>
      <c r="J393" s="51">
        <f>'3Statement Model'!K71/SUM('3Statement Model'!K70,'3Statement Model'!K71,'3Statement Model'!K61)</f>
        <v>0.33333333333333331</v>
      </c>
      <c r="K393" s="51">
        <f>'3Statement Model'!L71/SUM('3Statement Model'!L70,'3Statement Model'!L71,'3Statement Model'!L61)</f>
        <v>0.33333333333333337</v>
      </c>
      <c r="L393" s="51">
        <f>'3Statement Model'!M71/SUM('3Statement Model'!M70,'3Statement Model'!M71,'3Statement Model'!M61)</f>
        <v>0.33333333333333337</v>
      </c>
      <c r="M393" s="51">
        <f>'3Statement Model'!N71/SUM('3Statement Model'!N70,'3Statement Model'!N71,'3Statement Model'!N61)</f>
        <v>0.33333333333333337</v>
      </c>
      <c r="N393" s="51">
        <f>'3Statement Model'!O71/SUM('3Statement Model'!O70,'3Statement Model'!O71,'3Statement Model'!O61)</f>
        <v>0.33333333333333331</v>
      </c>
      <c r="O393" s="51">
        <f>'3Statement Model'!P71/SUM('3Statement Model'!P70,'3Statement Model'!P71,'3Statement Model'!P61)</f>
        <v>0.33333333333333331</v>
      </c>
      <c r="P393" s="51">
        <f>'3Statement Model'!Q71/SUM('3Statement Model'!Q70,'3Statement Model'!Q71,'3Statement Model'!Q61)</f>
        <v>0.33333333333333331</v>
      </c>
      <c r="Q393" s="51">
        <f>'3Statement Model'!R71/SUM('3Statement Model'!R70,'3Statement Model'!R71,'3Statement Model'!R61)</f>
        <v>0.33333333333333337</v>
      </c>
      <c r="R393" s="51">
        <f>'3Statement Model'!S71/SUM('3Statement Model'!S70,'3Statement Model'!S71,'3Statement Model'!S61)</f>
        <v>0.33333333333333337</v>
      </c>
    </row>
    <row r="394" spans="2:18">
      <c r="B394" t="s">
        <v>686</v>
      </c>
      <c r="C394" s="51"/>
      <c r="D394" s="51"/>
      <c r="E394" s="51">
        <f>'3Statement Model'!F70/SUM('3Statement Model'!F70,'3Statement Model'!F71,'3Statement Model'!F61)</f>
        <v>0</v>
      </c>
      <c r="F394" s="51">
        <f>'3Statement Model'!G70/SUM('3Statement Model'!G70,'3Statement Model'!G71,'3Statement Model'!G61)</f>
        <v>8.0393765381460217E-2</v>
      </c>
      <c r="G394" s="51">
        <f>'3Statement Model'!H70/SUM('3Statement Model'!H70,'3Statement Model'!H71,'3Statement Model'!H61)</f>
        <v>8.7601078167115903E-3</v>
      </c>
      <c r="H394" s="51">
        <f>'3Statement Model'!I70/SUM('3Statement Model'!I70,'3Statement Model'!I71,'3Statement Model'!I61)</f>
        <v>6.0679611650485432E-4</v>
      </c>
      <c r="I394" s="51">
        <f>'3Statement Model'!J70/SUM('3Statement Model'!J70,'3Statement Model'!J71,'3Statement Model'!J61)</f>
        <v>0</v>
      </c>
      <c r="J394" s="51">
        <f>'3Statement Model'!K70/SUM('3Statement Model'!K70,'3Statement Model'!K71,'3Statement Model'!K61)</f>
        <v>0</v>
      </c>
      <c r="K394" s="51">
        <f>'3Statement Model'!L70/SUM('3Statement Model'!L70,'3Statement Model'!L71,'3Statement Model'!L61)</f>
        <v>0</v>
      </c>
      <c r="L394" s="51">
        <f>'3Statement Model'!M70/SUM('3Statement Model'!M70,'3Statement Model'!M71,'3Statement Model'!M61)</f>
        <v>0</v>
      </c>
      <c r="M394" s="51">
        <f>'3Statement Model'!N70/SUM('3Statement Model'!N70,'3Statement Model'!N71,'3Statement Model'!N61)</f>
        <v>0</v>
      </c>
      <c r="N394" s="51">
        <f>'3Statement Model'!O70/SUM('3Statement Model'!O70,'3Statement Model'!O71,'3Statement Model'!O61)</f>
        <v>0</v>
      </c>
      <c r="O394" s="51">
        <f>'3Statement Model'!P70/SUM('3Statement Model'!P70,'3Statement Model'!P71,'3Statement Model'!P61)</f>
        <v>0</v>
      </c>
      <c r="P394" s="51">
        <f>'3Statement Model'!Q70/SUM('3Statement Model'!Q70,'3Statement Model'!Q71,'3Statement Model'!Q61)</f>
        <v>0</v>
      </c>
      <c r="Q394" s="51">
        <f>'3Statement Model'!R70/SUM('3Statement Model'!R70,'3Statement Model'!R71,'3Statement Model'!R61)</f>
        <v>0</v>
      </c>
      <c r="R394" s="51">
        <f>'3Statement Model'!S70/SUM('3Statement Model'!S70,'3Statement Model'!S71,'3Statement Model'!S61)</f>
        <v>0</v>
      </c>
    </row>
    <row r="397" spans="2:18">
      <c r="C397" s="19">
        <v>2020</v>
      </c>
      <c r="D397" s="19">
        <v>2021</v>
      </c>
      <c r="E397" s="19">
        <v>2022</v>
      </c>
      <c r="F397" s="19">
        <v>2023</v>
      </c>
      <c r="G397" s="19">
        <v>2024</v>
      </c>
      <c r="H397" s="19">
        <v>2025</v>
      </c>
      <c r="I397" s="19">
        <v>2026</v>
      </c>
      <c r="J397" s="19">
        <v>2027</v>
      </c>
      <c r="K397" s="19">
        <v>2028</v>
      </c>
      <c r="L397" s="19">
        <v>2029</v>
      </c>
      <c r="M397" s="19">
        <v>2030</v>
      </c>
      <c r="N397" s="19">
        <v>2031</v>
      </c>
      <c r="O397" s="19">
        <v>2032</v>
      </c>
      <c r="P397" s="19">
        <v>2033</v>
      </c>
      <c r="Q397" s="19">
        <v>2034</v>
      </c>
      <c r="R397" s="19">
        <v>2035</v>
      </c>
    </row>
    <row r="398" spans="2:18">
      <c r="B398" t="s">
        <v>94</v>
      </c>
      <c r="C398" s="46">
        <f>Schedules!E74</f>
        <v>850</v>
      </c>
      <c r="D398" s="46">
        <f>Schedules!F74</f>
        <v>741</v>
      </c>
      <c r="E398" s="46">
        <f>Schedules!G74</f>
        <v>1225</v>
      </c>
      <c r="F398" s="46">
        <f>Schedules!H74</f>
        <v>1174</v>
      </c>
      <c r="G398" s="46">
        <f>Schedules!I74</f>
        <v>1468</v>
      </c>
      <c r="H398" s="46">
        <f>Schedules!J74</f>
        <v>1254</v>
      </c>
      <c r="I398" s="46">
        <f>Schedules!K74</f>
        <v>1411.5824117793791</v>
      </c>
      <c r="J398" s="46">
        <f>Schedules!L74</f>
        <v>1535.578630531093</v>
      </c>
      <c r="K398" s="46">
        <f>Schedules!M74</f>
        <v>1671.8007883661073</v>
      </c>
      <c r="L398" s="46">
        <f>Schedules!N74</f>
        <v>1821.5509970450291</v>
      </c>
      <c r="M398" s="46">
        <f>Schedules!O74</f>
        <v>1986.2771438367338</v>
      </c>
      <c r="N398" s="46">
        <f>Schedules!P74</f>
        <v>2167.5897361725765</v>
      </c>
      <c r="O398" s="46">
        <f>Schedules!Q74</f>
        <v>2362.8172752872911</v>
      </c>
      <c r="P398" s="46">
        <f>Schedules!R74</f>
        <v>2563.4336640424031</v>
      </c>
      <c r="Q398" s="46">
        <f>Schedules!S74</f>
        <v>2767.9695557123518</v>
      </c>
      <c r="R398" s="46">
        <f>Schedules!T74</f>
        <v>2974.993282592317</v>
      </c>
    </row>
    <row r="399" spans="2:18">
      <c r="B399" t="s">
        <v>1327</v>
      </c>
      <c r="D399" s="51">
        <f>D398/C398-1</f>
        <v>-0.12823529411764711</v>
      </c>
      <c r="E399" s="51">
        <f t="shared" ref="E399:R399" si="41">E398/D398-1</f>
        <v>0.65317139001349522</v>
      </c>
      <c r="F399" s="51">
        <f t="shared" si="41"/>
        <v>-4.1632653061224545E-2</v>
      </c>
      <c r="G399" s="51">
        <f t="shared" si="41"/>
        <v>0.25042589437819429</v>
      </c>
      <c r="H399" s="51">
        <f t="shared" si="41"/>
        <v>-0.14577656675749318</v>
      </c>
      <c r="I399" s="51">
        <f t="shared" si="41"/>
        <v>0.12566380524671383</v>
      </c>
      <c r="J399" s="51">
        <f t="shared" si="41"/>
        <v>8.7841997546150852E-2</v>
      </c>
      <c r="K399" s="51">
        <f t="shared" si="41"/>
        <v>8.8710636581273983E-2</v>
      </c>
      <c r="L399" s="51">
        <f t="shared" si="41"/>
        <v>8.9574194318496669E-2</v>
      </c>
      <c r="M399" s="51">
        <f t="shared" si="41"/>
        <v>9.0431806223887135E-2</v>
      </c>
      <c r="N399" s="51">
        <f t="shared" si="41"/>
        <v>9.1282625336772227E-2</v>
      </c>
      <c r="O399" s="51">
        <f t="shared" si="41"/>
        <v>9.0066646772113623E-2</v>
      </c>
      <c r="P399" s="51">
        <f t="shared" si="41"/>
        <v>8.4905587433001806E-2</v>
      </c>
      <c r="Q399" s="51">
        <f t="shared" si="41"/>
        <v>7.9789812601355203E-2</v>
      </c>
      <c r="R399" s="51">
        <f t="shared" si="41"/>
        <v>7.479263146255466E-2</v>
      </c>
    </row>
    <row r="402" spans="2:18">
      <c r="C402" s="19">
        <v>2020</v>
      </c>
      <c r="D402" s="19">
        <v>2021</v>
      </c>
      <c r="E402" s="19">
        <v>2022</v>
      </c>
      <c r="F402" s="19">
        <v>2023</v>
      </c>
      <c r="G402" s="19">
        <v>2024</v>
      </c>
      <c r="H402" s="19">
        <v>2025</v>
      </c>
      <c r="I402" s="19">
        <v>2026</v>
      </c>
      <c r="J402" s="19">
        <v>2027</v>
      </c>
      <c r="K402" s="19">
        <v>2028</v>
      </c>
      <c r="L402" s="19">
        <v>2029</v>
      </c>
      <c r="M402" s="19">
        <v>2030</v>
      </c>
      <c r="N402" s="19">
        <v>2031</v>
      </c>
      <c r="O402" s="19">
        <v>2032</v>
      </c>
      <c r="P402" s="19">
        <v>2033</v>
      </c>
      <c r="Q402" s="19">
        <v>2034</v>
      </c>
      <c r="R402" s="19">
        <v>2035</v>
      </c>
    </row>
    <row r="403" spans="2:18">
      <c r="B403" t="s">
        <v>582</v>
      </c>
      <c r="C403" s="46">
        <v>5557</v>
      </c>
      <c r="D403" s="46">
        <v>6861</v>
      </c>
      <c r="E403" s="46">
        <v>7482</v>
      </c>
      <c r="F403" s="46">
        <v>8081</v>
      </c>
      <c r="G403" s="46">
        <v>9056</v>
      </c>
      <c r="H403" s="46">
        <v>9634</v>
      </c>
      <c r="I403" s="46">
        <v>10782.14711587322</v>
      </c>
      <c r="J403" s="46">
        <v>11677.449681152228</v>
      </c>
      <c r="K403" s="46">
        <v>12615.983535212174</v>
      </c>
      <c r="L403" s="46">
        <v>13603.863015991456</v>
      </c>
      <c r="M403" s="46">
        <v>14647.975606690459</v>
      </c>
      <c r="N403" s="46">
        <v>15756.152926060369</v>
      </c>
      <c r="O403" s="46">
        <v>16924.56514200777</v>
      </c>
      <c r="P403" s="46">
        <v>18127.819600618921</v>
      </c>
      <c r="Q403" s="46">
        <v>19348.259916514075</v>
      </c>
      <c r="R403" s="46">
        <v>20565.935334212831</v>
      </c>
    </row>
    <row r="404" spans="2:18">
      <c r="B404" t="s">
        <v>174</v>
      </c>
      <c r="C404" s="46">
        <v>519</v>
      </c>
      <c r="D404" s="46">
        <v>45327</v>
      </c>
      <c r="E404" s="46">
        <v>45304</v>
      </c>
      <c r="F404" s="46">
        <v>45729</v>
      </c>
      <c r="G404" s="46">
        <v>45713</v>
      </c>
      <c r="H404" s="46">
        <v>45710</v>
      </c>
      <c r="I404" s="46">
        <v>45718.284562852445</v>
      </c>
      <c r="J404" s="46">
        <v>45727.38745626263</v>
      </c>
      <c r="K404" s="46">
        <v>45737.427676362684</v>
      </c>
      <c r="L404" s="46">
        <v>45748.539365664721</v>
      </c>
      <c r="M404" s="46">
        <v>45760.873676820978</v>
      </c>
      <c r="N404" s="46">
        <v>45778.402187874148</v>
      </c>
      <c r="O404" s="46">
        <v>45801.880482027089</v>
      </c>
      <c r="P404" s="46">
        <v>45832.174054690069</v>
      </c>
      <c r="Q404" s="46">
        <v>45870.274302048674</v>
      </c>
      <c r="R404" s="46">
        <v>45917.316835436155</v>
      </c>
    </row>
    <row r="405" spans="2:18">
      <c r="B405" t="s">
        <v>602</v>
      </c>
      <c r="C405" s="46">
        <v>1756</v>
      </c>
      <c r="D405" s="46">
        <v>2352</v>
      </c>
      <c r="E405" s="46">
        <v>2209</v>
      </c>
      <c r="F405" s="46">
        <v>2279</v>
      </c>
      <c r="G405" s="46">
        <v>2406</v>
      </c>
      <c r="H405" s="46">
        <v>2485</v>
      </c>
      <c r="I405" s="46">
        <v>2500.0750000000003</v>
      </c>
      <c r="J405" s="46">
        <v>2515.3602850000002</v>
      </c>
      <c r="K405" s="46">
        <v>2530.8589459149998</v>
      </c>
      <c r="L405" s="46">
        <v>2546.5741197702851</v>
      </c>
      <c r="M405" s="46">
        <v>2562.5089903920657</v>
      </c>
      <c r="N405" s="46">
        <v>2578.6667891084735</v>
      </c>
      <c r="O405" s="46">
        <v>2595.0507954610698</v>
      </c>
      <c r="P405" s="46">
        <v>2611.664337927019</v>
      </c>
      <c r="Q405" s="46">
        <v>2628.5107946520939</v>
      </c>
      <c r="R405" s="46">
        <v>2645.5935941946686</v>
      </c>
    </row>
    <row r="406" spans="2:18">
      <c r="C406" s="46"/>
      <c r="D406" s="46"/>
      <c r="E406" s="46"/>
      <c r="F406" s="46"/>
      <c r="G406" s="46"/>
      <c r="H406" s="46"/>
      <c r="I406" s="46"/>
      <c r="J406" s="46"/>
      <c r="K406" s="46"/>
      <c r="L406" s="46"/>
      <c r="M406" s="46"/>
      <c r="N406" s="46"/>
      <c r="O406" s="46"/>
      <c r="P406" s="46"/>
      <c r="Q406" s="46"/>
      <c r="R406" s="46"/>
    </row>
    <row r="407" spans="2:18">
      <c r="C407" s="46"/>
      <c r="D407" s="46"/>
      <c r="E407" s="46"/>
      <c r="F407" s="46"/>
      <c r="G407" s="46"/>
      <c r="H407" s="46"/>
      <c r="I407" s="46"/>
      <c r="J407" s="46"/>
      <c r="K407" s="46"/>
      <c r="L407" s="46"/>
      <c r="M407" s="46"/>
      <c r="N407" s="46"/>
      <c r="O407" s="46"/>
      <c r="P407" s="46"/>
      <c r="Q407" s="46"/>
      <c r="R407" s="46"/>
    </row>
    <row r="408" spans="2:18">
      <c r="B408" t="s">
        <v>12</v>
      </c>
      <c r="C408" s="46">
        <f>'3Statement Model'!D109</f>
        <v>20153</v>
      </c>
      <c r="D408" s="46">
        <f>'3Statement Model'!E109</f>
        <v>68757</v>
      </c>
      <c r="E408" s="46">
        <f>'3Statement Model'!F109</f>
        <v>70517</v>
      </c>
      <c r="F408" s="46">
        <f>'3Statement Model'!G109</f>
        <v>73087</v>
      </c>
      <c r="G408" s="46">
        <f>'3Statement Model'!H109</f>
        <v>78499</v>
      </c>
      <c r="H408" s="46">
        <f>'3Statement Model'!I109</f>
        <v>79880</v>
      </c>
      <c r="I408" s="46">
        <f>'3Statement Model'!J109</f>
        <v>84762.475246437869</v>
      </c>
      <c r="J408" s="46">
        <f>'3Statement Model'!K109</f>
        <v>87080.195191281731</v>
      </c>
      <c r="K408" s="46">
        <f>'3Statement Model'!L109</f>
        <v>89364.569787007902</v>
      </c>
      <c r="L408" s="46">
        <f>'3Statement Model'!M109</f>
        <v>91591.627876575076</v>
      </c>
      <c r="M408" s="46">
        <f>'3Statement Model'!N109</f>
        <v>93732.159325287212</v>
      </c>
      <c r="N408" s="46">
        <f>'3Statement Model'!O109</f>
        <v>95854.710818866821</v>
      </c>
      <c r="O408" s="46">
        <f>'3Statement Model'!P109</f>
        <v>97787.636699571449</v>
      </c>
      <c r="P408" s="46">
        <f>'3Statement Model'!Q109</f>
        <v>99375.057004216898</v>
      </c>
      <c r="Q408" s="46">
        <f>'3Statement Model'!R109</f>
        <v>100542.76471645244</v>
      </c>
      <c r="R408" s="46">
        <f>'3Statement Model'!S109</f>
        <v>101216.9880267869</v>
      </c>
    </row>
    <row r="410" spans="2:18" hidden="1">
      <c r="B410" t="s">
        <v>188</v>
      </c>
      <c r="C410" s="46">
        <v>4109</v>
      </c>
      <c r="D410" s="46">
        <v>5067</v>
      </c>
      <c r="E410" s="46">
        <v>5101</v>
      </c>
      <c r="F410" s="46">
        <v>5767</v>
      </c>
      <c r="G410" s="46">
        <v>6517</v>
      </c>
      <c r="H410" s="46">
        <v>6941</v>
      </c>
      <c r="I410" s="46">
        <v>7201.4916400702832</v>
      </c>
      <c r="J410" s="46">
        <v>7483.6075901902077</v>
      </c>
      <c r="K410" s="46">
        <v>7790.4923122540722</v>
      </c>
      <c r="L410" s="46">
        <v>8125.6905098605239</v>
      </c>
      <c r="M410" s="46">
        <v>8493.1963780028982</v>
      </c>
      <c r="N410" s="46">
        <v>8897.5088560696095</v>
      </c>
      <c r="O410" s="46">
        <v>9339.5277215652168</v>
      </c>
      <c r="P410" s="46">
        <v>9811.2673982131091</v>
      </c>
      <c r="Q410" s="46">
        <v>10303.011662816794</v>
      </c>
      <c r="R410" s="46">
        <v>10803.446768794289</v>
      </c>
    </row>
    <row r="411" spans="2:18" hidden="1">
      <c r="B411" t="s">
        <v>722</v>
      </c>
      <c r="C411" s="46">
        <v>851</v>
      </c>
      <c r="D411" s="46">
        <v>1049</v>
      </c>
      <c r="E411" s="46">
        <v>1068</v>
      </c>
      <c r="F411" s="46">
        <v>1182</v>
      </c>
      <c r="G411" s="46">
        <v>1514</v>
      </c>
      <c r="H411" s="46">
        <v>1684</v>
      </c>
      <c r="I411" s="46">
        <v>2522.2599517444824</v>
      </c>
      <c r="J411" s="46">
        <v>3129.6221900329642</v>
      </c>
      <c r="K411" s="46">
        <v>3754.9328231857658</v>
      </c>
      <c r="L411" s="46">
        <v>4400.6879086204262</v>
      </c>
      <c r="M411" s="46">
        <v>5069.6978275910842</v>
      </c>
      <c r="N411" s="46">
        <v>5765.1258491118842</v>
      </c>
      <c r="O411" s="46">
        <v>6482.2092563707065</v>
      </c>
      <c r="P411" s="46">
        <v>7203.6833733477488</v>
      </c>
      <c r="Q411" s="46">
        <v>7921.7825343999702</v>
      </c>
      <c r="R411" s="46">
        <v>8628.0732933339314</v>
      </c>
    </row>
    <row r="412" spans="2:18" hidden="1">
      <c r="B412" t="s">
        <v>175</v>
      </c>
      <c r="C412" s="46">
        <v>597</v>
      </c>
      <c r="D412" s="46">
        <v>745</v>
      </c>
      <c r="E412" s="46">
        <v>1313</v>
      </c>
      <c r="F412" s="46">
        <v>1132</v>
      </c>
      <c r="G412" s="46">
        <v>1025</v>
      </c>
      <c r="H412" s="46">
        <v>1009</v>
      </c>
      <c r="I412" s="46">
        <v>1058.3955240584546</v>
      </c>
      <c r="J412" s="46">
        <v>1064.2199009290568</v>
      </c>
      <c r="K412" s="46">
        <v>1070.5583997723352</v>
      </c>
      <c r="L412" s="46">
        <v>1077.484597510505</v>
      </c>
      <c r="M412" s="46">
        <v>1085.0814010964775</v>
      </c>
      <c r="N412" s="46">
        <v>1093.5182208788754</v>
      </c>
      <c r="O412" s="46">
        <v>1102.8281640718462</v>
      </c>
      <c r="P412" s="46">
        <v>1112.8688290580635</v>
      </c>
      <c r="Q412" s="46">
        <v>1123.4657192973095</v>
      </c>
      <c r="R412" s="46">
        <v>1134.4152720846087</v>
      </c>
    </row>
    <row r="413" spans="2:18" hidden="1">
      <c r="B413" t="s">
        <v>15</v>
      </c>
      <c r="C413" s="46">
        <v>117</v>
      </c>
      <c r="D413" s="46">
        <v>17397</v>
      </c>
      <c r="E413" s="46">
        <v>17397</v>
      </c>
      <c r="F413" s="46">
        <v>17466</v>
      </c>
      <c r="G413" s="46">
        <v>17466</v>
      </c>
      <c r="H413" s="46">
        <v>17466</v>
      </c>
      <c r="I413" s="46">
        <v>17466</v>
      </c>
      <c r="J413" s="46">
        <v>17466</v>
      </c>
      <c r="K413" s="46">
        <v>17466</v>
      </c>
      <c r="L413" s="46">
        <v>17466</v>
      </c>
      <c r="M413" s="46">
        <v>17466</v>
      </c>
      <c r="N413" s="46">
        <v>17466</v>
      </c>
      <c r="O413" s="46">
        <v>17466</v>
      </c>
      <c r="P413" s="46">
        <v>17466</v>
      </c>
      <c r="Q413" s="46">
        <v>17466</v>
      </c>
      <c r="R413" s="46">
        <v>17466</v>
      </c>
    </row>
    <row r="414" spans="2:18" hidden="1">
      <c r="B414" t="s">
        <v>174</v>
      </c>
      <c r="C414" s="46">
        <v>402</v>
      </c>
      <c r="D414" s="46">
        <v>27930</v>
      </c>
      <c r="E414" s="46">
        <v>27907</v>
      </c>
      <c r="F414" s="46">
        <v>28263</v>
      </c>
      <c r="G414" s="46">
        <v>28247</v>
      </c>
      <c r="H414" s="46">
        <v>28244</v>
      </c>
      <c r="I414" s="46">
        <v>28252.284562852445</v>
      </c>
      <c r="J414" s="46">
        <v>28261.38745626263</v>
      </c>
      <c r="K414" s="46">
        <v>28271.427676362684</v>
      </c>
      <c r="L414" s="46">
        <v>28282.539365664725</v>
      </c>
      <c r="M414" s="46">
        <v>28294.873676820978</v>
      </c>
      <c r="N414" s="46">
        <v>28312.402187874151</v>
      </c>
      <c r="O414" s="46">
        <v>28335.880482027093</v>
      </c>
      <c r="P414" s="46">
        <v>28366.174054690073</v>
      </c>
      <c r="Q414" s="46">
        <v>28404.274302048674</v>
      </c>
      <c r="R414" s="46">
        <v>28451.316835436151</v>
      </c>
    </row>
    <row r="415" spans="2:18" hidden="1">
      <c r="B415" t="s">
        <v>189</v>
      </c>
      <c r="C415" s="46"/>
      <c r="D415" s="46"/>
      <c r="E415" s="46"/>
      <c r="F415" s="46"/>
      <c r="G415" s="46"/>
      <c r="H415" s="46"/>
      <c r="I415" s="46"/>
      <c r="J415" s="46"/>
      <c r="K415" s="46"/>
      <c r="L415" s="46"/>
      <c r="M415" s="46"/>
      <c r="N415" s="46"/>
      <c r="O415" s="46"/>
      <c r="P415" s="46"/>
      <c r="Q415" s="46"/>
      <c r="R415" s="46"/>
    </row>
    <row r="416" spans="2:18" hidden="1">
      <c r="B416" t="s">
        <v>176</v>
      </c>
      <c r="C416" s="46">
        <v>2</v>
      </c>
      <c r="D416" s="46">
        <v>2</v>
      </c>
      <c r="E416" s="46">
        <v>2</v>
      </c>
      <c r="F416" s="46">
        <v>71</v>
      </c>
      <c r="G416" s="46">
        <v>67</v>
      </c>
      <c r="H416" s="46">
        <v>59</v>
      </c>
      <c r="I416" s="46">
        <v>59.884999999999998</v>
      </c>
      <c r="J416" s="46">
        <v>60.783274999999996</v>
      </c>
      <c r="K416" s="46">
        <v>61.695024124999996</v>
      </c>
      <c r="L416" s="46">
        <v>62.620449486874996</v>
      </c>
      <c r="M416" s="46">
        <v>63.55975622917812</v>
      </c>
      <c r="N416" s="46">
        <v>64.513152572615795</v>
      </c>
      <c r="O416" s="46">
        <v>65.48084986120503</v>
      </c>
      <c r="P416" s="46">
        <v>66.463062609123099</v>
      </c>
      <c r="Q416" s="46">
        <v>67.46000854825995</v>
      </c>
      <c r="R416" s="46">
        <v>68.471908676483849</v>
      </c>
    </row>
    <row r="417" spans="2:18" hidden="1">
      <c r="B417" t="s">
        <v>178</v>
      </c>
      <c r="C417" s="46">
        <v>238</v>
      </c>
      <c r="D417" s="46">
        <v>111</v>
      </c>
      <c r="E417" s="46">
        <v>115</v>
      </c>
      <c r="F417" s="46">
        <v>98</v>
      </c>
      <c r="G417" s="46">
        <v>102</v>
      </c>
      <c r="H417" s="46">
        <v>87</v>
      </c>
      <c r="I417" s="46">
        <v>88.305000000000007</v>
      </c>
      <c r="J417" s="46">
        <v>89.629575000000003</v>
      </c>
      <c r="K417" s="46">
        <v>90.974018624999999</v>
      </c>
      <c r="L417" s="46">
        <v>92.338628904375</v>
      </c>
      <c r="M417" s="46">
        <v>93.723708337940622</v>
      </c>
      <c r="N417" s="46">
        <v>95.12956396300973</v>
      </c>
      <c r="O417" s="46">
        <v>96.556507422454871</v>
      </c>
      <c r="P417" s="46">
        <v>98.004855033791699</v>
      </c>
      <c r="Q417" s="46">
        <v>99.474927859298575</v>
      </c>
      <c r="R417" s="46">
        <v>100.96705177718805</v>
      </c>
    </row>
    <row r="418" spans="2:18" hidden="1">
      <c r="B418" t="s">
        <v>580</v>
      </c>
      <c r="C418" s="46">
        <v>3</v>
      </c>
      <c r="D418" s="46">
        <v>757</v>
      </c>
      <c r="E418" s="46">
        <v>729</v>
      </c>
      <c r="F418" s="46">
        <v>725</v>
      </c>
      <c r="G418" s="46">
        <v>760</v>
      </c>
      <c r="H418" s="46">
        <v>763</v>
      </c>
      <c r="I418" s="46">
        <v>774.44500000000005</v>
      </c>
      <c r="J418" s="46">
        <v>786.06167500000004</v>
      </c>
      <c r="K418" s="46">
        <v>797.85260012499998</v>
      </c>
      <c r="L418" s="46">
        <v>809.82038912687494</v>
      </c>
      <c r="M418" s="46">
        <v>821.96769496377806</v>
      </c>
      <c r="N418" s="46">
        <v>834.2972103882347</v>
      </c>
      <c r="O418" s="46">
        <v>846.81166854405819</v>
      </c>
      <c r="P418" s="46">
        <v>859.51384357221912</v>
      </c>
      <c r="Q418" s="46">
        <v>872.40655122580245</v>
      </c>
      <c r="R418" s="46">
        <v>885.49264949418944</v>
      </c>
    </row>
    <row r="419" spans="2:18" hidden="1">
      <c r="B419" t="s">
        <v>192</v>
      </c>
      <c r="C419" s="46">
        <v>284</v>
      </c>
      <c r="D419" s="46">
        <v>17</v>
      </c>
      <c r="E419" s="46">
        <v>11</v>
      </c>
      <c r="F419" s="46">
        <v>10</v>
      </c>
      <c r="G419" s="46">
        <v>10</v>
      </c>
      <c r="H419" s="46">
        <v>17</v>
      </c>
      <c r="I419" s="46">
        <v>17</v>
      </c>
      <c r="J419" s="46">
        <v>17</v>
      </c>
      <c r="K419" s="46">
        <v>17</v>
      </c>
      <c r="L419" s="46">
        <v>17</v>
      </c>
      <c r="M419" s="46">
        <v>17</v>
      </c>
      <c r="N419" s="46">
        <v>17</v>
      </c>
      <c r="O419" s="46">
        <v>17</v>
      </c>
      <c r="P419" s="46">
        <v>17</v>
      </c>
      <c r="Q419" s="46">
        <v>17</v>
      </c>
      <c r="R419" s="46">
        <v>17</v>
      </c>
    </row>
    <row r="420" spans="2:18" hidden="1">
      <c r="B420" t="s">
        <v>14</v>
      </c>
      <c r="C420" s="46">
        <v>1083</v>
      </c>
      <c r="D420" s="46">
        <v>1246</v>
      </c>
      <c r="E420" s="46">
        <v>1158</v>
      </c>
      <c r="F420" s="46">
        <v>1164</v>
      </c>
      <c r="G420" s="46">
        <v>1175</v>
      </c>
      <c r="H420" s="46">
        <v>1199</v>
      </c>
      <c r="I420" s="46">
        <v>1199</v>
      </c>
      <c r="J420" s="46">
        <v>1199</v>
      </c>
      <c r="K420" s="46">
        <v>1199</v>
      </c>
      <c r="L420" s="46">
        <v>1199</v>
      </c>
      <c r="M420" s="46">
        <v>1199</v>
      </c>
      <c r="N420" s="46">
        <v>1199</v>
      </c>
      <c r="O420" s="46">
        <v>1199</v>
      </c>
      <c r="P420" s="46">
        <v>1199</v>
      </c>
      <c r="Q420" s="46">
        <v>1199</v>
      </c>
      <c r="R420" s="46">
        <v>1199</v>
      </c>
    </row>
    <row r="421" spans="2:18" hidden="1">
      <c r="C421" s="46">
        <v>146</v>
      </c>
      <c r="D421" s="46">
        <v>219</v>
      </c>
      <c r="E421" s="46">
        <v>194</v>
      </c>
      <c r="F421" s="46">
        <v>211</v>
      </c>
      <c r="G421" s="46">
        <v>292</v>
      </c>
      <c r="H421" s="46">
        <v>360</v>
      </c>
      <c r="I421" s="46">
        <v>361.44</v>
      </c>
      <c r="J421" s="46">
        <v>362.88576</v>
      </c>
      <c r="K421" s="46">
        <v>364.33730303999999</v>
      </c>
      <c r="L421" s="46">
        <v>365.79465225216001</v>
      </c>
      <c r="M421" s="46">
        <v>367.25783086116866</v>
      </c>
      <c r="N421" s="46">
        <v>368.72686218461331</v>
      </c>
      <c r="O421" s="46">
        <v>370.20176963335177</v>
      </c>
      <c r="P421" s="46">
        <v>371.68257671188519</v>
      </c>
      <c r="Q421" s="46">
        <v>373.16930701873275</v>
      </c>
      <c r="R421" s="46">
        <v>374.66198424680766</v>
      </c>
    </row>
    <row r="422" spans="2:18">
      <c r="B422" t="s">
        <v>582</v>
      </c>
      <c r="C422" s="14">
        <v>0.27574058452835803</v>
      </c>
      <c r="D422" s="14">
        <v>9.9786203586543915E-2</v>
      </c>
      <c r="E422" s="14">
        <v>0.10610207467702823</v>
      </c>
      <c r="F422" s="14">
        <v>0.11056685867527741</v>
      </c>
      <c r="G422" s="14">
        <v>0.11536452693664888</v>
      </c>
      <c r="H422" s="14">
        <v>0.12060590886329495</v>
      </c>
      <c r="I422" s="14">
        <v>0.12720425028322116</v>
      </c>
      <c r="J422" s="14">
        <v>0.1340999483924141</v>
      </c>
      <c r="K422" s="14">
        <v>0.14117433301901627</v>
      </c>
      <c r="L422" s="14">
        <v>0.14852736359619501</v>
      </c>
      <c r="M422" s="14">
        <v>0.15627481231768342</v>
      </c>
      <c r="N422" s="14">
        <v>0.16437536341676728</v>
      </c>
      <c r="O422" s="14">
        <v>0.17307469239699849</v>
      </c>
      <c r="P422" s="14">
        <v>0.18241820580640958</v>
      </c>
      <c r="Q422" s="14">
        <v>0.1924381129868413</v>
      </c>
      <c r="R422" s="14">
        <v>0.20318659678719239</v>
      </c>
    </row>
    <row r="423" spans="2:18">
      <c r="B423" t="s">
        <v>174</v>
      </c>
      <c r="C423" s="14">
        <v>2.5752989629335584E-2</v>
      </c>
      <c r="D423" s="14">
        <v>0.65923469610366947</v>
      </c>
      <c r="E423" s="14">
        <v>0.64245501084844792</v>
      </c>
      <c r="F423" s="14">
        <v>0.62567898531886657</v>
      </c>
      <c r="G423" s="14">
        <v>0.58233862851756069</v>
      </c>
      <c r="H423" s="14">
        <v>0.5722333500250375</v>
      </c>
      <c r="I423" s="14">
        <v>0.53936938993264882</v>
      </c>
      <c r="J423" s="14">
        <v>0.52511810929933178</v>
      </c>
      <c r="K423" s="14">
        <v>0.51180717129141406</v>
      </c>
      <c r="L423" s="14">
        <v>0.49948385487059449</v>
      </c>
      <c r="M423" s="14">
        <v>0.48820889229717701</v>
      </c>
      <c r="N423" s="14">
        <v>0.4775811412584608</v>
      </c>
      <c r="O423" s="14">
        <v>0.46838109630097863</v>
      </c>
      <c r="P423" s="14">
        <v>0.46120400265778183</v>
      </c>
      <c r="Q423" s="14">
        <v>0.45622650651601421</v>
      </c>
      <c r="R423" s="14">
        <v>0.45365227449056494</v>
      </c>
    </row>
    <row r="424" spans="2:18">
      <c r="B424" t="s">
        <v>602</v>
      </c>
      <c r="C424" s="14">
        <v>8.7133429266114226E-2</v>
      </c>
      <c r="D424" s="14">
        <v>3.4207426152973515E-2</v>
      </c>
      <c r="E424" s="14">
        <v>3.1325779599245575E-2</v>
      </c>
      <c r="F424" s="14">
        <v>3.1182015953589558E-2</v>
      </c>
      <c r="G424" s="14">
        <v>3.0650071975439178E-2</v>
      </c>
      <c r="H424" s="14">
        <v>3.1109163745618427E-2</v>
      </c>
      <c r="I424" s="14">
        <v>2.9495068339277473E-2</v>
      </c>
      <c r="J424" s="14">
        <v>2.8885560941551865E-2</v>
      </c>
      <c r="K424" s="14">
        <v>2.8320607953991897E-2</v>
      </c>
      <c r="L424" s="14">
        <v>2.7803568719205848E-2</v>
      </c>
      <c r="M424" s="14">
        <v>2.7338631786974613E-2</v>
      </c>
      <c r="N424" s="14">
        <v>2.690182638995476E-2</v>
      </c>
      <c r="O424" s="14">
        <v>2.6537616441572542E-2</v>
      </c>
      <c r="P424" s="14">
        <v>2.6280883922574206E-2</v>
      </c>
      <c r="Q424" s="14">
        <v>2.6143211817030672E-2</v>
      </c>
      <c r="R424" s="14">
        <v>2.6137841539945021E-2</v>
      </c>
    </row>
    <row r="425" spans="2:18">
      <c r="B425" t="s">
        <v>97</v>
      </c>
      <c r="C425" s="14">
        <v>0.61137299657619215</v>
      </c>
      <c r="D425" s="14">
        <v>0.20677167415681308</v>
      </c>
      <c r="E425" s="14">
        <v>0.22011713487527829</v>
      </c>
      <c r="F425" s="14">
        <v>0.23257214005226645</v>
      </c>
      <c r="G425" s="14">
        <v>0.27164677257035119</v>
      </c>
      <c r="H425" s="14">
        <v>0.27605157736604913</v>
      </c>
      <c r="I425" s="14">
        <v>0.30393129144485254</v>
      </c>
      <c r="J425" s="14">
        <v>0.31189638136670228</v>
      </c>
      <c r="K425" s="14">
        <v>0.31869788773557772</v>
      </c>
      <c r="L425" s="14">
        <v>0.3241852128140047</v>
      </c>
      <c r="M425" s="14">
        <v>0.32817766359816503</v>
      </c>
      <c r="N425" s="14">
        <v>0.33114166893481722</v>
      </c>
      <c r="O425" s="14">
        <v>0.33200659486045025</v>
      </c>
      <c r="P425" s="14">
        <v>0.3300969076132344</v>
      </c>
      <c r="Q425" s="14">
        <v>0.3251921686801138</v>
      </c>
      <c r="R425" s="14">
        <v>0.31702328718229766</v>
      </c>
    </row>
    <row r="426" spans="2:18">
      <c r="C426" s="19">
        <v>2025</v>
      </c>
    </row>
    <row r="427" spans="2:18">
      <c r="B427" t="s">
        <v>582</v>
      </c>
      <c r="C427" s="14">
        <v>0.12060590886329495</v>
      </c>
    </row>
    <row r="428" spans="2:18">
      <c r="B428" t="s">
        <v>174</v>
      </c>
      <c r="C428" s="14">
        <v>0.5722333500250375</v>
      </c>
    </row>
    <row r="429" spans="2:18">
      <c r="B429" t="s">
        <v>602</v>
      </c>
      <c r="C429" s="14">
        <v>3.1109163745618427E-2</v>
      </c>
    </row>
    <row r="430" spans="2:18">
      <c r="B430" t="s">
        <v>97</v>
      </c>
      <c r="C430" s="14">
        <v>0.27605157736604913</v>
      </c>
    </row>
    <row r="458" spans="1:18" ht="15.6">
      <c r="A458" t="s">
        <v>27</v>
      </c>
      <c r="B458" s="20" t="s">
        <v>460</v>
      </c>
      <c r="K458" s="202"/>
      <c r="L458" s="203"/>
    </row>
    <row r="459" spans="1:18" ht="16.2" thickBot="1">
      <c r="B459" s="157" t="s">
        <v>308</v>
      </c>
      <c r="C459" s="138">
        <v>2019</v>
      </c>
      <c r="D459" s="138">
        <f>C459+1</f>
        <v>2020</v>
      </c>
      <c r="E459" s="138">
        <f>D459+1</f>
        <v>2021</v>
      </c>
      <c r="F459" s="138">
        <f t="shared" ref="F459:I459" si="42">E459+1</f>
        <v>2022</v>
      </c>
      <c r="G459" s="138">
        <f t="shared" si="42"/>
        <v>2023</v>
      </c>
      <c r="H459" s="138">
        <f t="shared" si="42"/>
        <v>2024</v>
      </c>
      <c r="I459" s="138">
        <f t="shared" si="42"/>
        <v>2025</v>
      </c>
      <c r="K459" s="138" t="s">
        <v>444</v>
      </c>
      <c r="L459" s="138" t="s">
        <v>445</v>
      </c>
    </row>
    <row r="460" spans="1:18" ht="42" thickBot="1">
      <c r="B460" t="s">
        <v>538</v>
      </c>
      <c r="C460" s="426">
        <f>' Income Statement'!C25</f>
        <v>0.53004324599338593</v>
      </c>
      <c r="D460" s="426">
        <f>' Income Statement'!D25</f>
        <v>0.54103511550159622</v>
      </c>
      <c r="E460" s="426">
        <f>' Income Statement'!E25</f>
        <v>0.52904652547418562</v>
      </c>
      <c r="F460" s="426">
        <f>' Income Statement'!F25</f>
        <v>0.50930480875567252</v>
      </c>
      <c r="G460" s="426">
        <f>' Income Statement'!G25</f>
        <v>0.4764608781776164</v>
      </c>
      <c r="H460" s="426">
        <f>' Income Statement'!H25</f>
        <v>0.51919348584722758</v>
      </c>
      <c r="I460" s="426">
        <f>' Income Statement'!I25</f>
        <v>0.51556534275439236</v>
      </c>
      <c r="K460" s="54">
        <f>AVERAGE(C460:I460)</f>
        <v>0.51723562892915376</v>
      </c>
      <c r="L460" s="54">
        <f>MEDIAN(C460:I460)</f>
        <v>0.51919348584722758</v>
      </c>
      <c r="P460" s="652" t="s">
        <v>1290</v>
      </c>
      <c r="Q460" s="653" t="s">
        <v>1291</v>
      </c>
      <c r="R460" s="656"/>
    </row>
    <row r="461" spans="1:18" ht="28.2" thickBot="1">
      <c r="P461" s="652" t="s">
        <v>359</v>
      </c>
      <c r="Q461" s="654">
        <v>0.33</v>
      </c>
      <c r="R461" s="657"/>
    </row>
    <row r="462" spans="1:18" ht="42" thickBot="1">
      <c r="P462" s="652" t="s">
        <v>1292</v>
      </c>
      <c r="Q462" s="654">
        <v>0.32</v>
      </c>
      <c r="R462" s="657"/>
    </row>
    <row r="463" spans="1:18" ht="55.8" thickBot="1">
      <c r="A463" t="s">
        <v>27</v>
      </c>
      <c r="B463" s="157" t="s">
        <v>448</v>
      </c>
      <c r="C463" s="21"/>
      <c r="D463" s="21"/>
      <c r="E463" s="21"/>
      <c r="F463" s="21"/>
      <c r="G463" s="21"/>
      <c r="H463" s="21"/>
      <c r="I463" s="21"/>
      <c r="P463" s="652" t="s">
        <v>1293</v>
      </c>
      <c r="Q463" s="654">
        <v>0.215</v>
      </c>
      <c r="R463" s="657"/>
    </row>
    <row r="464" spans="1:18" ht="28.2" thickBot="1">
      <c r="P464" s="652" t="s">
        <v>431</v>
      </c>
      <c r="Q464" s="654">
        <v>0.123</v>
      </c>
      <c r="R464" s="657"/>
    </row>
    <row r="465" spans="1:18" ht="15" thickBot="1">
      <c r="B465" s="157" t="s">
        <v>449</v>
      </c>
      <c r="C465" s="635">
        <v>0.52580000000000005</v>
      </c>
      <c r="P465" s="652" t="s">
        <v>433</v>
      </c>
      <c r="Q465" s="654">
        <v>1.2E-2</v>
      </c>
      <c r="R465" s="657"/>
    </row>
    <row r="466" spans="1:18" ht="15" thickBot="1">
      <c r="P466" s="652" t="s">
        <v>1294</v>
      </c>
      <c r="Q466" s="655">
        <v>1</v>
      </c>
      <c r="R466" s="658"/>
    </row>
    <row r="467" spans="1:18">
      <c r="B467" s="157" t="s">
        <v>450</v>
      </c>
      <c r="C467" s="635">
        <v>0.51659999999999995</v>
      </c>
    </row>
    <row r="469" spans="1:18">
      <c r="B469" s="154" t="s">
        <v>471</v>
      </c>
    </row>
    <row r="471" spans="1:18">
      <c r="A471" t="s">
        <v>27</v>
      </c>
      <c r="B471" s="157" t="s">
        <v>1267</v>
      </c>
      <c r="C471" s="21"/>
      <c r="D471" s="21"/>
      <c r="E471" s="21"/>
      <c r="F471" s="21"/>
      <c r="G471" s="21"/>
      <c r="H471" s="21"/>
      <c r="I471" s="21"/>
    </row>
    <row r="473" spans="1:18" ht="15.6">
      <c r="B473" s="157"/>
      <c r="C473" s="138">
        <v>2019</v>
      </c>
      <c r="D473" s="138">
        <f>C473+1</f>
        <v>2020</v>
      </c>
      <c r="E473" s="138">
        <f>D473+1</f>
        <v>2021</v>
      </c>
      <c r="F473" s="138">
        <f t="shared" ref="F473:I473" si="43">E473+1</f>
        <v>2022</v>
      </c>
      <c r="G473" s="138">
        <f t="shared" si="43"/>
        <v>2023</v>
      </c>
      <c r="H473" s="138">
        <f t="shared" si="43"/>
        <v>2024</v>
      </c>
      <c r="I473" s="138">
        <f t="shared" si="43"/>
        <v>2025</v>
      </c>
      <c r="K473" s="138" t="s">
        <v>444</v>
      </c>
      <c r="L473" s="138" t="s">
        <v>445</v>
      </c>
    </row>
    <row r="474" spans="1:18">
      <c r="B474" t="s">
        <v>1268</v>
      </c>
      <c r="C474" s="361">
        <v>0.63819999999999999</v>
      </c>
      <c r="D474" s="361">
        <v>0.64610000000000001</v>
      </c>
      <c r="E474" s="361">
        <v>0.628</v>
      </c>
      <c r="F474" s="361">
        <v>0.62090000000000001</v>
      </c>
      <c r="G474" s="361">
        <v>0.59489999999999998</v>
      </c>
      <c r="H474" s="361">
        <v>0.6159</v>
      </c>
      <c r="I474" s="361">
        <v>0.61899999999999999</v>
      </c>
      <c r="K474" s="44">
        <f>AVERAGE(C474:I474)</f>
        <v>0.62328571428571422</v>
      </c>
      <c r="L474" s="44">
        <f>MEDIAN(C474:I474)</f>
        <v>0.62090000000000001</v>
      </c>
    </row>
    <row r="475" spans="1:18">
      <c r="B475" t="s">
        <v>1269</v>
      </c>
      <c r="C475" s="361">
        <v>0.55840000000000001</v>
      </c>
      <c r="D475" s="361">
        <v>0.56999999999999995</v>
      </c>
      <c r="E475" s="361">
        <v>0.55300000000000005</v>
      </c>
      <c r="F475" s="361">
        <v>0.50509999999999999</v>
      </c>
      <c r="G475" s="361">
        <v>0.49659999999999999</v>
      </c>
      <c r="H475" s="361">
        <v>0.55159999999999998</v>
      </c>
      <c r="I475" s="361">
        <v>0.54500000000000004</v>
      </c>
      <c r="K475" s="44">
        <f t="shared" ref="K475:K477" si="44">AVERAGE(C475:I475)</f>
        <v>0.53995714285714291</v>
      </c>
      <c r="L475" s="44">
        <f t="shared" ref="L475:L477" si="45">MEDIAN(C475:I475)</f>
        <v>0.55159999999999998</v>
      </c>
    </row>
    <row r="476" spans="1:18">
      <c r="B476" t="s">
        <v>1270</v>
      </c>
      <c r="C476" s="361">
        <v>0.5222</v>
      </c>
      <c r="D476" s="361">
        <v>0.56089999999999995</v>
      </c>
      <c r="E476" s="361">
        <v>0.52749999999999997</v>
      </c>
      <c r="F476" s="361">
        <v>0.4874</v>
      </c>
      <c r="G476" s="361">
        <v>0.51449999999999996</v>
      </c>
      <c r="H476" s="361">
        <v>0.5645</v>
      </c>
      <c r="I476" s="361">
        <v>0.55300000000000005</v>
      </c>
      <c r="K476" s="44">
        <f t="shared" si="44"/>
        <v>0.53285714285714281</v>
      </c>
      <c r="L476" s="44">
        <f t="shared" si="45"/>
        <v>0.52749999999999997</v>
      </c>
    </row>
    <row r="477" spans="1:18">
      <c r="B477" t="s">
        <v>1271</v>
      </c>
      <c r="C477" s="361">
        <v>0.44729999999999998</v>
      </c>
      <c r="D477" s="361">
        <v>0.43859999999999999</v>
      </c>
      <c r="E477" s="361">
        <v>0.46400000000000002</v>
      </c>
      <c r="F477" s="361">
        <v>0.49430000000000002</v>
      </c>
      <c r="G477" s="361">
        <v>0.50419999999999998</v>
      </c>
      <c r="H477" s="361">
        <v>0.52370000000000005</v>
      </c>
      <c r="I477" s="361">
        <v>0.51049999999999995</v>
      </c>
      <c r="K477" s="44">
        <f t="shared" si="44"/>
        <v>0.4832285714285714</v>
      </c>
      <c r="L477" s="44">
        <f t="shared" si="45"/>
        <v>0.49430000000000002</v>
      </c>
    </row>
    <row r="479" spans="1:18">
      <c r="B479" t="s">
        <v>629</v>
      </c>
      <c r="C479" s="361">
        <f>AVERAGE(C474:C477)</f>
        <v>0.54152500000000003</v>
      </c>
      <c r="D479" s="361">
        <f t="shared" ref="D479:H479" si="46">AVERAGE(D474:D477)</f>
        <v>0.55389999999999995</v>
      </c>
      <c r="E479" s="361">
        <f t="shared" si="46"/>
        <v>0.54312499999999997</v>
      </c>
      <c r="F479" s="361">
        <f t="shared" si="46"/>
        <v>0.52692499999999998</v>
      </c>
      <c r="G479" s="361">
        <f t="shared" si="46"/>
        <v>0.52754999999999996</v>
      </c>
      <c r="H479" s="361">
        <f t="shared" si="46"/>
        <v>0.56392500000000001</v>
      </c>
      <c r="I479" s="636">
        <f>AVERAGE(I474:I477)</f>
        <v>0.55687500000000001</v>
      </c>
    </row>
    <row r="480" spans="1:18">
      <c r="B480" t="s">
        <v>445</v>
      </c>
      <c r="C480" s="361">
        <f>MEDIAN(C474:C477)</f>
        <v>0.5403</v>
      </c>
      <c r="D480" s="361">
        <f t="shared" ref="D480:I480" si="47">MEDIAN(D474:D477)</f>
        <v>0.56545000000000001</v>
      </c>
      <c r="E480" s="361">
        <f t="shared" si="47"/>
        <v>0.54025000000000001</v>
      </c>
      <c r="F480" s="361">
        <f t="shared" si="47"/>
        <v>0.49970000000000003</v>
      </c>
      <c r="G480" s="361">
        <f t="shared" si="47"/>
        <v>0.50934999999999997</v>
      </c>
      <c r="H480" s="361">
        <f t="shared" si="47"/>
        <v>0.55804999999999993</v>
      </c>
      <c r="I480" s="636">
        <f t="shared" si="47"/>
        <v>0.54900000000000004</v>
      </c>
    </row>
    <row r="545" spans="2:4">
      <c r="B545" t="s">
        <v>1303</v>
      </c>
      <c r="C545" t="s">
        <v>1304</v>
      </c>
      <c r="D545" t="s">
        <v>1305</v>
      </c>
    </row>
    <row r="546" spans="2:4">
      <c r="B546" t="s">
        <v>1306</v>
      </c>
      <c r="C546" s="51">
        <v>6.7000000000000004E-2</v>
      </c>
      <c r="D546" s="51">
        <v>6.9000000000000006E-2</v>
      </c>
    </row>
    <row r="547" spans="2:4">
      <c r="B547" t="s">
        <v>1307</v>
      </c>
      <c r="C547" s="51">
        <v>5.3999999999999999E-2</v>
      </c>
      <c r="D547" s="51">
        <v>6.5000000000000002E-2</v>
      </c>
    </row>
    <row r="548" spans="2:4">
      <c r="B548" t="s">
        <v>1308</v>
      </c>
      <c r="C548" s="51">
        <v>6.2E-2</v>
      </c>
      <c r="D548" s="51">
        <v>6.3E-2</v>
      </c>
    </row>
    <row r="549" spans="2:4">
      <c r="B549" t="s">
        <v>1309</v>
      </c>
      <c r="C549" s="51">
        <v>7.3999999999999996E-2</v>
      </c>
      <c r="D549" s="51">
        <v>6.7000000000000004E-2</v>
      </c>
    </row>
    <row r="550" spans="2:4">
      <c r="B550" t="s">
        <v>1310</v>
      </c>
      <c r="C550" s="51">
        <v>7.8E-2</v>
      </c>
      <c r="D550" s="51">
        <v>6.6000000000000003E-2</v>
      </c>
    </row>
    <row r="551" spans="2:4">
      <c r="B551" t="s">
        <v>1311</v>
      </c>
      <c r="C551" s="51">
        <v>8.2000000000000003E-2</v>
      </c>
      <c r="D551" s="51">
        <v>7.2999999999999995E-2</v>
      </c>
    </row>
    <row r="552" spans="2:4">
      <c r="B552" t="s">
        <v>1312</v>
      </c>
      <c r="C552" s="51">
        <v>7.8E-2</v>
      </c>
      <c r="D552" s="51">
        <v>7.1999999999999995E-2</v>
      </c>
    </row>
    <row r="564" spans="2:4">
      <c r="C564">
        <v>2020</v>
      </c>
      <c r="D564">
        <v>2030</v>
      </c>
    </row>
    <row r="565" spans="2:4">
      <c r="B565" t="s">
        <v>1313</v>
      </c>
      <c r="C565">
        <v>620000000</v>
      </c>
      <c r="D565">
        <v>900000000</v>
      </c>
    </row>
    <row r="566" spans="2:4">
      <c r="B566" t="s">
        <v>1314</v>
      </c>
      <c r="C566">
        <v>30000000</v>
      </c>
      <c r="D566">
        <v>300000000</v>
      </c>
    </row>
    <row r="587" spans="2:4">
      <c r="C587" t="s">
        <v>1315</v>
      </c>
      <c r="D587" t="s">
        <v>1316</v>
      </c>
    </row>
    <row r="588" spans="2:4">
      <c r="B588" t="s">
        <v>1317</v>
      </c>
      <c r="C588" s="687">
        <v>31</v>
      </c>
      <c r="D588" s="687">
        <v>49</v>
      </c>
    </row>
    <row r="589" spans="2:4">
      <c r="B589" t="s">
        <v>359</v>
      </c>
      <c r="C589" s="687">
        <v>11.9</v>
      </c>
      <c r="D589" s="687">
        <v>39.799999999999997</v>
      </c>
    </row>
    <row r="590" spans="2:4">
      <c r="B590" t="s">
        <v>393</v>
      </c>
      <c r="C590" s="687">
        <v>129</v>
      </c>
      <c r="D590" s="687">
        <v>238.8</v>
      </c>
    </row>
    <row r="597" spans="2:3" ht="15" thickBot="1"/>
    <row r="598" spans="2:3" ht="15" thickBot="1">
      <c r="C598" s="686" t="s">
        <v>1318</v>
      </c>
    </row>
    <row r="599" spans="2:3" ht="15" thickBot="1">
      <c r="B599" s="685" t="s">
        <v>741</v>
      </c>
      <c r="C599" t="s">
        <v>1319</v>
      </c>
    </row>
    <row r="600" spans="2:3" ht="15" thickBot="1">
      <c r="B600" s="685" t="s">
        <v>923</v>
      </c>
      <c r="C600" s="688">
        <v>36</v>
      </c>
    </row>
    <row r="601" spans="2:3" ht="15" thickBot="1">
      <c r="B601" s="685" t="s">
        <v>913</v>
      </c>
      <c r="C601" s="688">
        <v>19</v>
      </c>
    </row>
    <row r="602" spans="2:3" ht="15" thickBot="1">
      <c r="B602" s="685" t="s">
        <v>797</v>
      </c>
      <c r="C602" s="688">
        <v>15</v>
      </c>
    </row>
    <row r="603" spans="2:3" ht="15" thickBot="1">
      <c r="B603" s="685" t="s">
        <v>837</v>
      </c>
      <c r="C603" s="688">
        <v>4</v>
      </c>
    </row>
    <row r="604" spans="2:3" ht="15" thickBot="1">
      <c r="B604" s="685" t="s">
        <v>836</v>
      </c>
      <c r="C604" s="688">
        <v>1</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3D2D-E326-4DE4-8DD3-7F17FD667510}">
  <dimension ref="B3:S21"/>
  <sheetViews>
    <sheetView showGridLines="0" topLeftCell="A13" workbookViewId="0">
      <selection activeCell="J29" sqref="J29"/>
    </sheetView>
  </sheetViews>
  <sheetFormatPr defaultRowHeight="14.4"/>
  <cols>
    <col min="1" max="1" width="1.88671875" customWidth="1"/>
  </cols>
  <sheetData>
    <row r="3" spans="2:19">
      <c r="B3" t="s">
        <v>320</v>
      </c>
      <c r="M3" s="130"/>
      <c r="N3" s="130"/>
      <c r="O3" s="130"/>
      <c r="P3" s="130"/>
      <c r="Q3" s="130"/>
      <c r="R3" s="130"/>
      <c r="S3" s="130"/>
    </row>
    <row r="4" spans="2:19">
      <c r="B4" t="s">
        <v>321</v>
      </c>
    </row>
    <row r="5" spans="2:19">
      <c r="B5" t="s">
        <v>322</v>
      </c>
    </row>
    <row r="6" spans="2:19">
      <c r="B6" t="s">
        <v>323</v>
      </c>
      <c r="M6" s="357"/>
      <c r="N6" s="357"/>
      <c r="O6" s="357"/>
      <c r="P6" s="357"/>
      <c r="Q6" s="357"/>
      <c r="R6" s="357"/>
      <c r="S6" s="357"/>
    </row>
    <row r="7" spans="2:19">
      <c r="B7" t="s">
        <v>324</v>
      </c>
    </row>
    <row r="8" spans="2:19">
      <c r="B8" t="s">
        <v>325</v>
      </c>
      <c r="Q8" s="158"/>
      <c r="R8" s="158"/>
    </row>
    <row r="9" spans="2:19">
      <c r="B9" t="s">
        <v>341</v>
      </c>
    </row>
    <row r="10" spans="2:19">
      <c r="B10" t="s">
        <v>347</v>
      </c>
      <c r="M10" s="130"/>
      <c r="N10" s="130"/>
      <c r="O10" s="130"/>
      <c r="P10" s="130"/>
      <c r="Q10" s="130"/>
      <c r="R10" s="130"/>
      <c r="S10" s="130"/>
    </row>
    <row r="11" spans="2:19">
      <c r="B11" t="s">
        <v>379</v>
      </c>
      <c r="M11" s="358"/>
      <c r="N11" s="358"/>
      <c r="O11" s="358"/>
      <c r="P11" s="358"/>
      <c r="Q11" s="358"/>
      <c r="R11" s="358"/>
      <c r="S11" s="358"/>
    </row>
    <row r="13" spans="2:19">
      <c r="M13" s="357"/>
      <c r="N13" s="357"/>
      <c r="O13" s="357"/>
      <c r="P13" s="357"/>
      <c r="Q13" s="357"/>
      <c r="R13" s="357"/>
      <c r="S13" s="357"/>
    </row>
    <row r="14" spans="2:19">
      <c r="B14" s="20" t="s">
        <v>320</v>
      </c>
    </row>
    <row r="21" spans="11:11">
      <c r="K21" s="162" t="s">
        <v>381</v>
      </c>
    </row>
  </sheetData>
  <hyperlinks>
    <hyperlink ref="K21" r:id="rId1" xr:uid="{7A2C13A3-08E2-4BF9-89D4-6A2B7FF464B0}"/>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447C-0C60-4F46-BA3A-3C4F8219463C}">
  <dimension ref="B2:N37"/>
  <sheetViews>
    <sheetView showGridLines="0" topLeftCell="A16" zoomScale="130" zoomScaleNormal="130" workbookViewId="0">
      <selection activeCell="N10" sqref="N10"/>
    </sheetView>
  </sheetViews>
  <sheetFormatPr defaultColWidth="11.44140625" defaultRowHeight="11.4"/>
  <cols>
    <col min="1" max="2" width="11.44140625" style="449"/>
    <col min="3" max="3" width="11.5546875" style="449" bestFit="1" customWidth="1"/>
    <col min="4" max="4" width="35.44140625" style="449" customWidth="1"/>
    <col min="5" max="5" width="13.6640625" style="449" bestFit="1" customWidth="1"/>
    <col min="6" max="6" width="11.44140625" style="449"/>
    <col min="7" max="7" width="13.6640625" style="449" bestFit="1" customWidth="1"/>
    <col min="8" max="8" width="11.44140625" style="449"/>
    <col min="9" max="9" width="6.21875" style="449" customWidth="1"/>
    <col min="10" max="10" width="9.44140625" style="449" customWidth="1"/>
    <col min="11" max="11" width="17" style="449" customWidth="1"/>
    <col min="12" max="12" width="10.5546875" style="449" customWidth="1"/>
    <col min="13" max="13" width="7.109375" style="449" customWidth="1"/>
    <col min="14" max="14" width="14.21875" style="449" customWidth="1"/>
    <col min="15" max="16" width="11.44140625" style="449"/>
    <col min="17" max="17" width="14.6640625" style="449" bestFit="1" customWidth="1"/>
    <col min="18" max="16384" width="11.44140625" style="449"/>
  </cols>
  <sheetData>
    <row r="2" spans="2:14" s="446" customFormat="1" ht="17.399999999999999">
      <c r="B2" s="444" t="s">
        <v>1020</v>
      </c>
      <c r="C2" s="444"/>
      <c r="D2" s="444"/>
      <c r="E2" s="445"/>
      <c r="F2" s="444"/>
      <c r="G2" s="444"/>
      <c r="H2" s="444"/>
    </row>
    <row r="3" spans="2:14" ht="14.4">
      <c r="B3" s="447" t="s">
        <v>1021</v>
      </c>
      <c r="C3" s="447"/>
      <c r="D3" s="447"/>
      <c r="E3" s="448">
        <v>2166</v>
      </c>
      <c r="F3" s="447"/>
      <c r="G3" s="447"/>
      <c r="H3" s="447"/>
    </row>
    <row r="4" spans="2:14" ht="14.4">
      <c r="B4" s="447" t="s">
        <v>1022</v>
      </c>
      <c r="C4" s="447"/>
      <c r="D4" s="447"/>
      <c r="E4" s="450">
        <v>1</v>
      </c>
      <c r="F4" s="447"/>
      <c r="G4" s="447"/>
      <c r="H4" s="447"/>
      <c r="I4" s="475" t="s">
        <v>1049</v>
      </c>
      <c r="J4" s="475" t="s">
        <v>1050</v>
      </c>
      <c r="K4" s="475" t="s">
        <v>1051</v>
      </c>
      <c r="L4" s="475" t="s">
        <v>1052</v>
      </c>
      <c r="M4" s="475" t="s">
        <v>1053</v>
      </c>
      <c r="N4" s="475" t="s">
        <v>1054</v>
      </c>
    </row>
    <row r="5" spans="2:14" ht="14.4">
      <c r="B5" s="447" t="s">
        <v>1023</v>
      </c>
      <c r="C5" s="447"/>
      <c r="D5" s="447"/>
      <c r="E5" s="448">
        <v>2.5</v>
      </c>
      <c r="F5" s="447"/>
      <c r="G5" s="447"/>
      <c r="H5" s="447"/>
      <c r="I5" s="475">
        <v>1</v>
      </c>
      <c r="J5" s="476">
        <v>45460</v>
      </c>
      <c r="K5" s="475">
        <v>196994</v>
      </c>
      <c r="L5" s="475">
        <v>1</v>
      </c>
      <c r="M5" s="475">
        <v>3</v>
      </c>
      <c r="N5" s="477">
        <v>0.2273</v>
      </c>
    </row>
    <row r="6" spans="2:14" ht="14.4">
      <c r="B6" s="447" t="s">
        <v>1024</v>
      </c>
      <c r="C6" s="447"/>
      <c r="D6" s="447"/>
      <c r="E6" s="451">
        <v>0.2273</v>
      </c>
      <c r="F6" s="447" t="s">
        <v>1025</v>
      </c>
      <c r="G6" s="447"/>
      <c r="H6" s="447"/>
      <c r="I6" s="475">
        <v>2</v>
      </c>
      <c r="J6" s="476">
        <v>45725</v>
      </c>
      <c r="K6" s="475">
        <v>221395</v>
      </c>
      <c r="L6" s="475">
        <v>1</v>
      </c>
      <c r="M6" s="475">
        <v>3</v>
      </c>
      <c r="N6" s="477">
        <v>0.2273</v>
      </c>
    </row>
    <row r="7" spans="2:14" ht="14.4">
      <c r="B7" s="447" t="s">
        <v>1026</v>
      </c>
      <c r="C7" s="447"/>
      <c r="D7" s="447"/>
      <c r="E7" s="452">
        <v>0.02</v>
      </c>
      <c r="F7" s="447"/>
      <c r="G7" s="447"/>
      <c r="H7" s="447"/>
      <c r="I7" s="478"/>
      <c r="J7" s="478"/>
      <c r="K7" s="479" t="s">
        <v>1055</v>
      </c>
      <c r="L7" s="480" cm="1">
        <f t="array" ref="L7">SUMPRODUCT(L5:L6,$K$5:$K$6/SUM($K$5:$K$6))</f>
        <v>1</v>
      </c>
      <c r="M7" s="480">
        <v>2.5</v>
      </c>
      <c r="N7" s="481" cm="1">
        <f t="array" ref="N7">SUMPRODUCT(N5:N6,$K$5:$K$6/SUM($K$5:$K$6))</f>
        <v>0.2273</v>
      </c>
    </row>
    <row r="8" spans="2:14" ht="14.4">
      <c r="B8" s="447" t="s">
        <v>1027</v>
      </c>
      <c r="C8" s="447"/>
      <c r="D8" s="447"/>
      <c r="E8" s="452">
        <f>'Input Sheet'!C10</f>
        <v>6.6790000000000002E-2</v>
      </c>
      <c r="F8" s="447"/>
      <c r="G8" s="447"/>
      <c r="H8" s="447"/>
    </row>
    <row r="9" spans="2:14" ht="14.4">
      <c r="B9" s="447" t="s">
        <v>1028</v>
      </c>
      <c r="C9" s="447"/>
      <c r="D9" s="447"/>
      <c r="E9" s="448">
        <v>3.9677700000000003E-2</v>
      </c>
      <c r="F9" s="447"/>
      <c r="G9" s="447"/>
      <c r="H9" s="447"/>
    </row>
    <row r="10" spans="2:14" ht="14.4">
      <c r="B10" s="447" t="s">
        <v>1029</v>
      </c>
      <c r="C10" s="447"/>
      <c r="D10" s="447"/>
      <c r="E10" s="448">
        <v>234.959</v>
      </c>
      <c r="F10" s="447"/>
      <c r="G10" s="447"/>
      <c r="H10" s="447"/>
    </row>
    <row r="11" spans="2:14" ht="14.4">
      <c r="B11" s="447"/>
      <c r="C11" s="447"/>
      <c r="D11" s="447"/>
      <c r="E11" s="447"/>
      <c r="F11" s="447"/>
      <c r="G11" s="447"/>
      <c r="H11" s="447"/>
    </row>
    <row r="12" spans="2:14" s="455" customFormat="1" ht="14.4">
      <c r="B12" s="453" t="s">
        <v>1030</v>
      </c>
      <c r="C12" s="454"/>
      <c r="D12" s="454"/>
      <c r="E12" s="454"/>
      <c r="F12" s="454"/>
      <c r="G12" s="454"/>
      <c r="H12" s="454"/>
    </row>
    <row r="13" spans="2:14" s="456" customFormat="1" ht="14.4">
      <c r="B13" s="444" t="s">
        <v>1031</v>
      </c>
      <c r="C13" s="447"/>
      <c r="D13" s="447"/>
      <c r="E13" s="447"/>
      <c r="F13" s="447"/>
      <c r="G13" s="447"/>
      <c r="H13" s="447"/>
    </row>
    <row r="14" spans="2:14" s="456" customFormat="1" ht="14.4">
      <c r="B14" s="447" t="s">
        <v>1032</v>
      </c>
      <c r="C14" s="447"/>
      <c r="D14" s="457">
        <f>E3</f>
        <v>2166</v>
      </c>
      <c r="E14" s="447" t="s">
        <v>1033</v>
      </c>
      <c r="F14" s="447"/>
      <c r="G14" s="458">
        <f>E9</f>
        <v>3.9677700000000003E-2</v>
      </c>
      <c r="H14" s="459"/>
    </row>
    <row r="15" spans="2:14" s="456" customFormat="1" ht="14.4">
      <c r="B15" s="447" t="s">
        <v>1034</v>
      </c>
      <c r="C15" s="447"/>
      <c r="D15" s="457">
        <f>E4</f>
        <v>1</v>
      </c>
      <c r="E15" s="447" t="s">
        <v>1035</v>
      </c>
      <c r="F15" s="447"/>
      <c r="G15" s="458">
        <f>E10</f>
        <v>234.959</v>
      </c>
      <c r="H15" s="459"/>
    </row>
    <row r="16" spans="2:14" s="456" customFormat="1" ht="14.4">
      <c r="B16" s="447" t="s">
        <v>1036</v>
      </c>
      <c r="C16" s="447"/>
      <c r="D16" s="457">
        <f ca="1">(D14*G15+D27*G14)/(G15+G14)</f>
        <v>2165.9820182366634</v>
      </c>
      <c r="E16" s="447" t="s">
        <v>1037</v>
      </c>
      <c r="F16" s="447"/>
      <c r="G16" s="460">
        <f>E8</f>
        <v>6.6790000000000002E-2</v>
      </c>
      <c r="H16" s="447"/>
    </row>
    <row r="17" spans="2:8" s="456" customFormat="1" ht="14.4">
      <c r="B17" s="447" t="s">
        <v>1038</v>
      </c>
      <c r="C17" s="447"/>
      <c r="D17" s="457">
        <f>D15</f>
        <v>1</v>
      </c>
      <c r="E17" s="447" t="s">
        <v>1039</v>
      </c>
      <c r="F17" s="447"/>
      <c r="G17" s="461">
        <f>E6^2</f>
        <v>5.1665290000000003E-2</v>
      </c>
      <c r="H17" s="447"/>
    </row>
    <row r="18" spans="2:8" s="456" customFormat="1" ht="14.4">
      <c r="B18" s="447" t="s">
        <v>1040</v>
      </c>
      <c r="C18" s="447"/>
      <c r="D18" s="457">
        <f>E5</f>
        <v>2.5</v>
      </c>
      <c r="E18" s="447" t="s">
        <v>1041</v>
      </c>
      <c r="F18" s="447"/>
      <c r="G18" s="460">
        <f>E7</f>
        <v>0.02</v>
      </c>
      <c r="H18" s="447"/>
    </row>
    <row r="19" spans="2:8" s="456" customFormat="1" ht="14.4">
      <c r="B19" s="447"/>
      <c r="C19" s="447"/>
      <c r="D19" s="444"/>
      <c r="E19" s="447" t="s">
        <v>1042</v>
      </c>
      <c r="F19" s="447"/>
      <c r="G19" s="462">
        <f>G16-G18</f>
        <v>4.6789999999999998E-2</v>
      </c>
      <c r="H19" s="447"/>
    </row>
    <row r="20" spans="2:8" s="456" customFormat="1" ht="14.4">
      <c r="B20" s="447"/>
      <c r="C20" s="447"/>
      <c r="D20" s="447"/>
      <c r="E20" s="447"/>
      <c r="F20" s="447"/>
      <c r="G20" s="447"/>
      <c r="H20" s="447"/>
    </row>
    <row r="21" spans="2:8" s="456" customFormat="1" ht="14.4">
      <c r="B21" s="447" t="s">
        <v>1043</v>
      </c>
      <c r="C21" s="463">
        <f ca="1">(LN(D16/D17)+(G19+(G17/2))*D18)/(((G17)^(0.5))*(D18^0.5))</f>
        <v>21.876299445661065</v>
      </c>
      <c r="D21" s="447"/>
      <c r="E21" s="447"/>
      <c r="F21" s="447"/>
      <c r="G21" s="447"/>
      <c r="H21" s="447"/>
    </row>
    <row r="22" spans="2:8" s="456" customFormat="1" ht="14.4">
      <c r="B22" s="447" t="s">
        <v>1044</v>
      </c>
      <c r="C22" s="463">
        <f ca="1">NORMSDIST(C21)</f>
        <v>1</v>
      </c>
      <c r="D22" s="447"/>
      <c r="E22" s="447"/>
      <c r="F22" s="447"/>
      <c r="G22" s="447"/>
      <c r="H22" s="447"/>
    </row>
    <row r="23" spans="2:8" s="456" customFormat="1" ht="14.4">
      <c r="B23" s="447"/>
      <c r="C23" s="464"/>
      <c r="D23" s="447"/>
      <c r="E23" s="447"/>
      <c r="F23" s="447"/>
      <c r="G23" s="447"/>
      <c r="H23" s="447"/>
    </row>
    <row r="24" spans="2:8" s="456" customFormat="1" ht="15.75" customHeight="1">
      <c r="B24" s="447" t="s">
        <v>1045</v>
      </c>
      <c r="C24" s="463">
        <f ca="1">C21-((G17^0.5)*(D18^(0.5)))</f>
        <v>21.516906589582927</v>
      </c>
      <c r="D24" s="447"/>
      <c r="E24" s="447"/>
      <c r="F24" s="447"/>
      <c r="G24" s="447"/>
      <c r="H24" s="447"/>
    </row>
    <row r="25" spans="2:8" s="456" customFormat="1" ht="14.4">
      <c r="B25" s="447" t="s">
        <v>1046</v>
      </c>
      <c r="C25" s="463">
        <f ca="1">NORMSDIST(C24)</f>
        <v>1</v>
      </c>
      <c r="D25" s="447"/>
      <c r="E25" s="447"/>
      <c r="F25" s="447"/>
      <c r="G25" s="447"/>
      <c r="H25" s="447"/>
    </row>
    <row r="26" spans="2:8" ht="15" thickBot="1">
      <c r="B26" s="447"/>
      <c r="C26" s="447"/>
      <c r="D26" s="447"/>
      <c r="E26" s="447"/>
      <c r="F26" s="447"/>
      <c r="G26" s="447"/>
      <c r="H26" s="447"/>
    </row>
    <row r="27" spans="2:8" s="456" customFormat="1" ht="15" thickBot="1">
      <c r="B27" s="447" t="s">
        <v>1047</v>
      </c>
      <c r="C27" s="447"/>
      <c r="D27" s="465">
        <f ca="1">((EXP((0-G18)*D18))*D16*C22-D17*(EXP((0-G16)*D18))*C25)</f>
        <v>2059.4996079195644</v>
      </c>
      <c r="E27" s="466"/>
      <c r="F27" s="447"/>
      <c r="G27" s="447"/>
      <c r="H27" s="467"/>
    </row>
    <row r="28" spans="2:8" s="456" customFormat="1" ht="15" thickBot="1">
      <c r="B28" s="447" t="s">
        <v>1048</v>
      </c>
      <c r="C28" s="447"/>
      <c r="D28" s="447"/>
      <c r="E28" s="468">
        <f ca="1">D27*E9</f>
        <v>81.716207593150102</v>
      </c>
      <c r="F28" s="447"/>
      <c r="G28" s="447"/>
      <c r="H28" s="447"/>
    </row>
    <row r="29" spans="2:8" ht="14.4">
      <c r="B29" s="447"/>
      <c r="C29" s="447"/>
      <c r="D29" s="447"/>
      <c r="E29" s="447"/>
      <c r="F29" s="447"/>
      <c r="G29" s="447"/>
      <c r="H29" s="447"/>
    </row>
    <row r="30" spans="2:8" ht="14.4">
      <c r="B30" s="447"/>
      <c r="C30" s="447"/>
      <c r="D30" s="447"/>
      <c r="E30" s="447"/>
      <c r="F30" s="447"/>
      <c r="G30" s="447"/>
      <c r="H30" s="447"/>
    </row>
    <row r="31" spans="2:8" ht="14.4">
      <c r="B31" s="447"/>
      <c r="C31" s="447"/>
      <c r="D31" s="447"/>
      <c r="E31" s="447"/>
      <c r="F31" s="447"/>
      <c r="G31" s="447"/>
      <c r="H31" s="447"/>
    </row>
    <row r="32" spans="2:8" ht="14.4">
      <c r="B32" s="447"/>
      <c r="C32" s="447"/>
      <c r="D32" s="447"/>
      <c r="E32" s="447"/>
      <c r="F32" s="447"/>
      <c r="G32" s="447"/>
      <c r="H32" s="447"/>
    </row>
    <row r="33" spans="2:8" ht="14.4">
      <c r="B33" s="447"/>
      <c r="C33" s="447"/>
      <c r="D33" s="447"/>
      <c r="E33" s="447"/>
      <c r="F33" s="447"/>
      <c r="G33" s="447"/>
      <c r="H33" s="447"/>
    </row>
    <row r="34" spans="2:8" ht="14.4">
      <c r="B34" s="447"/>
      <c r="C34" s="447"/>
      <c r="D34" s="447"/>
      <c r="E34" s="447"/>
      <c r="F34" s="447"/>
      <c r="G34" s="447"/>
      <c r="H34" s="447"/>
    </row>
    <row r="35" spans="2:8" ht="14.4">
      <c r="B35" s="447"/>
      <c r="C35" s="447"/>
      <c r="D35" s="447"/>
      <c r="E35" s="447"/>
      <c r="F35" s="447"/>
      <c r="G35" s="447"/>
      <c r="H35" s="447"/>
    </row>
    <row r="36" spans="2:8" ht="14.4">
      <c r="B36" s="447"/>
      <c r="C36" s="447"/>
      <c r="D36" s="447"/>
      <c r="E36" s="447"/>
      <c r="F36" s="447"/>
      <c r="G36" s="447"/>
      <c r="H36" s="447"/>
    </row>
    <row r="37" spans="2:8" ht="14.4">
      <c r="B37" s="447"/>
      <c r="C37" s="447"/>
      <c r="D37" s="447"/>
      <c r="E37" s="447"/>
      <c r="F37" s="447"/>
      <c r="G37" s="447"/>
      <c r="H37" s="447"/>
    </row>
  </sheetData>
  <pageMargins left="0.75" right="0.75" top="1" bottom="1" header="0.5" footer="0.5"/>
  <pageSetup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BEEA-92FF-4D76-A1C5-EC02137F0B8F}">
  <sheetPr>
    <tabColor rgb="FFFF0000"/>
  </sheetPr>
  <dimension ref="A1"/>
  <sheetViews>
    <sheetView workbookViewId="0"/>
  </sheetViews>
  <sheetFormatPr defaultRowHeight="14.4"/>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174F-7D29-4238-AF5F-424D481A8DB3}">
  <sheetPr>
    <tabColor rgb="FFFF0000"/>
  </sheetPr>
  <dimension ref="A1:J231"/>
  <sheetViews>
    <sheetView showGridLines="0" zoomScaleNormal="100" zoomScaleSheetLayoutView="115" workbookViewId="0">
      <pane ySplit="6" topLeftCell="A10" activePane="bottomLeft" state="frozen"/>
      <selection activeCell="I10" sqref="I10"/>
      <selection pane="bottomLeft" activeCell="H41" sqref="H41"/>
    </sheetView>
  </sheetViews>
  <sheetFormatPr defaultColWidth="7.5546875" defaultRowHeight="13.8"/>
  <cols>
    <col min="1" max="1" width="2.33203125" style="1" customWidth="1"/>
    <col min="2" max="2" width="52.44140625" style="1" bestFit="1" customWidth="1"/>
    <col min="3" max="3" width="2.21875" style="1" customWidth="1"/>
    <col min="4" max="17" width="14.109375" style="1" customWidth="1"/>
    <col min="18" max="16384" width="7.5546875" style="1"/>
  </cols>
  <sheetData>
    <row r="1" spans="1:9" ht="14.4">
      <c r="A1" s="6"/>
      <c r="B1" s="8"/>
      <c r="C1" s="8"/>
      <c r="D1" s="6"/>
      <c r="E1" s="6"/>
      <c r="F1" s="6"/>
      <c r="G1" s="6"/>
      <c r="H1" s="4"/>
    </row>
    <row r="2" spans="1:9" ht="18">
      <c r="A2" s="6"/>
      <c r="B2" s="204" t="s">
        <v>162</v>
      </c>
      <c r="C2" s="8"/>
      <c r="D2" s="11"/>
      <c r="E2" s="8"/>
      <c r="F2" s="8"/>
      <c r="G2" s="6"/>
      <c r="H2" s="4"/>
    </row>
    <row r="3" spans="1:9" ht="18">
      <c r="A3" s="6"/>
      <c r="B3" s="140" t="s">
        <v>7</v>
      </c>
      <c r="C3" s="8"/>
      <c r="D3" s="6"/>
      <c r="E3" s="6"/>
      <c r="F3" s="6"/>
      <c r="G3" s="6"/>
      <c r="H3" s="4"/>
    </row>
    <row r="4" spans="1:9" ht="14.4">
      <c r="A4" s="6"/>
      <c r="B4" s="5"/>
      <c r="C4" s="8"/>
      <c r="D4" s="6"/>
      <c r="E4" s="6"/>
      <c r="F4" s="10"/>
      <c r="G4" s="10"/>
      <c r="H4" s="4"/>
    </row>
    <row r="5" spans="1:9" ht="14.4">
      <c r="A5" s="6"/>
      <c r="B5" s="9"/>
      <c r="C5" s="8"/>
      <c r="D5" s="6"/>
      <c r="E5" s="6"/>
      <c r="F5" s="7"/>
      <c r="G5" s="7"/>
      <c r="H5" s="4"/>
    </row>
    <row r="6" spans="1:9" customFormat="1" ht="18">
      <c r="B6" s="137" t="s">
        <v>6</v>
      </c>
      <c r="C6" s="138">
        <v>2019</v>
      </c>
      <c r="D6" s="138">
        <f>C6+1</f>
        <v>2020</v>
      </c>
      <c r="E6" s="138">
        <f t="shared" ref="E6:I6" si="0">D6+1</f>
        <v>2021</v>
      </c>
      <c r="F6" s="138">
        <f t="shared" si="0"/>
        <v>2022</v>
      </c>
      <c r="G6" s="138">
        <f t="shared" si="0"/>
        <v>2023</v>
      </c>
      <c r="H6" s="138">
        <f t="shared" si="0"/>
        <v>2024</v>
      </c>
      <c r="I6" s="138">
        <f t="shared" si="0"/>
        <v>2025</v>
      </c>
    </row>
    <row r="7" spans="1:9" customFormat="1" ht="14.4">
      <c r="B7" s="20" t="s">
        <v>200</v>
      </c>
    </row>
    <row r="8" spans="1:9" customFormat="1" ht="14.4">
      <c r="B8" t="s">
        <v>201</v>
      </c>
      <c r="C8" s="133">
        <v>38684</v>
      </c>
      <c r="D8" s="133">
        <v>39238</v>
      </c>
      <c r="E8" s="133">
        <v>46321</v>
      </c>
      <c r="F8" s="133">
        <v>51548</v>
      </c>
      <c r="G8" s="133">
        <v>59549</v>
      </c>
      <c r="H8" s="133">
        <v>60966</v>
      </c>
      <c r="I8" s="133">
        <v>62288</v>
      </c>
    </row>
    <row r="9" spans="1:9" customFormat="1" ht="14.4">
      <c r="B9" t="s">
        <v>203</v>
      </c>
      <c r="C9" s="133">
        <v>626</v>
      </c>
      <c r="D9" s="133">
        <v>545</v>
      </c>
      <c r="E9" s="133">
        <v>707</v>
      </c>
      <c r="F9" s="133">
        <v>898</v>
      </c>
      <c r="G9" s="133">
        <v>1031</v>
      </c>
      <c r="H9" s="133">
        <v>930</v>
      </c>
      <c r="I9" s="133">
        <v>833</v>
      </c>
    </row>
    <row r="10" spans="1:9" customFormat="1" ht="15" thickBot="1">
      <c r="B10" s="53" t="s">
        <v>642</v>
      </c>
      <c r="C10" s="134">
        <f>SUM(C8:C9)</f>
        <v>39310</v>
      </c>
      <c r="D10" s="134">
        <f t="shared" ref="D10:I10" si="1">SUM(D8:D9)</f>
        <v>39783</v>
      </c>
      <c r="E10" s="134">
        <f t="shared" si="1"/>
        <v>47028</v>
      </c>
      <c r="F10" s="134">
        <f t="shared" si="1"/>
        <v>52446</v>
      </c>
      <c r="G10" s="134">
        <f t="shared" si="1"/>
        <v>60580</v>
      </c>
      <c r="H10" s="134">
        <f t="shared" si="1"/>
        <v>61896</v>
      </c>
      <c r="I10" s="134">
        <f t="shared" si="1"/>
        <v>63121</v>
      </c>
    </row>
    <row r="11" spans="1:9" customFormat="1" ht="14.4">
      <c r="C11" s="133"/>
      <c r="D11" s="133"/>
      <c r="E11" s="133"/>
      <c r="F11" s="133"/>
      <c r="G11" s="133"/>
      <c r="H11" s="133"/>
      <c r="I11" s="133"/>
    </row>
    <row r="12" spans="1:9" customFormat="1" ht="14.4">
      <c r="B12" s="154" t="s">
        <v>307</v>
      </c>
      <c r="C12" s="159">
        <f>C10/35545-1</f>
        <v>0.1059220706147137</v>
      </c>
      <c r="D12" s="155">
        <f>D10/C10-1</f>
        <v>1.2032561689137689E-2</v>
      </c>
      <c r="E12" s="155">
        <f t="shared" ref="E12:I12" si="2">E10/D10-1</f>
        <v>0.18211296282331646</v>
      </c>
      <c r="F12" s="155">
        <f t="shared" si="2"/>
        <v>0.11520796121459553</v>
      </c>
      <c r="G12" s="155">
        <f t="shared" si="2"/>
        <v>0.15509285741524614</v>
      </c>
      <c r="H12" s="155">
        <f t="shared" si="2"/>
        <v>2.1723341036645749E-2</v>
      </c>
      <c r="I12" s="155">
        <f t="shared" si="2"/>
        <v>1.9791262763344974E-2</v>
      </c>
    </row>
    <row r="13" spans="1:9" customFormat="1" ht="14.4">
      <c r="C13" s="133"/>
      <c r="D13" s="133"/>
      <c r="E13" s="133"/>
      <c r="F13" s="133"/>
      <c r="G13" s="133"/>
      <c r="H13" s="133"/>
      <c r="I13" s="133"/>
    </row>
    <row r="14" spans="1:9" customFormat="1" ht="14.4">
      <c r="B14" s="20" t="s">
        <v>206</v>
      </c>
      <c r="C14" s="133"/>
      <c r="D14" s="133"/>
      <c r="E14" s="133"/>
      <c r="F14" s="133"/>
      <c r="G14" s="133"/>
      <c r="H14" s="133"/>
      <c r="I14" s="133"/>
    </row>
    <row r="15" spans="1:9" customFormat="1" ht="14.4">
      <c r="B15" s="20"/>
      <c r="C15" s="133"/>
      <c r="D15" s="133"/>
      <c r="E15" s="133"/>
      <c r="F15" s="133"/>
      <c r="G15" s="133"/>
      <c r="H15" s="133"/>
      <c r="I15" s="133"/>
    </row>
    <row r="16" spans="1:9" customFormat="1" ht="14.4">
      <c r="B16" s="20" t="s">
        <v>227</v>
      </c>
      <c r="C16" s="133"/>
      <c r="D16" s="133"/>
      <c r="E16" s="133"/>
      <c r="F16" s="133"/>
      <c r="G16" s="133"/>
      <c r="H16" s="133"/>
      <c r="I16" s="133"/>
    </row>
    <row r="17" spans="2:10" customFormat="1" ht="14.4">
      <c r="B17" t="s">
        <v>207</v>
      </c>
      <c r="C17" s="133">
        <v>-13707</v>
      </c>
      <c r="D17" s="133">
        <v>-11976</v>
      </c>
      <c r="E17" s="133">
        <v>-15432</v>
      </c>
      <c r="F17" s="133">
        <v>-16446</v>
      </c>
      <c r="G17" s="133">
        <v>-20212</v>
      </c>
      <c r="H17" s="133">
        <v>-19257</v>
      </c>
      <c r="I17" s="133">
        <v>-19458</v>
      </c>
      <c r="J17" s="133"/>
    </row>
    <row r="18" spans="2:10" customFormat="1" ht="14.4">
      <c r="B18" t="s">
        <v>208</v>
      </c>
      <c r="C18" s="133">
        <v>-4755</v>
      </c>
      <c r="D18" s="133">
        <v>-6391</v>
      </c>
      <c r="E18" s="133">
        <v>-7121</v>
      </c>
      <c r="F18" s="133">
        <v>-9311</v>
      </c>
      <c r="G18" s="133">
        <v>-11579</v>
      </c>
      <c r="H18" s="133">
        <v>-10514</v>
      </c>
      <c r="I18" s="133">
        <v>-11273</v>
      </c>
    </row>
    <row r="19" spans="2:10" customFormat="1" ht="14.4">
      <c r="B19" t="s">
        <v>209</v>
      </c>
      <c r="C19" s="133">
        <v>-12</v>
      </c>
      <c r="D19" s="133">
        <v>108</v>
      </c>
      <c r="E19" s="133">
        <v>405</v>
      </c>
      <c r="F19" s="133">
        <v>22</v>
      </c>
      <c r="G19" s="133">
        <v>75</v>
      </c>
      <c r="H19" s="133">
        <v>11</v>
      </c>
      <c r="I19" s="133">
        <v>153</v>
      </c>
    </row>
    <row r="20" spans="2:10" customFormat="1" ht="14.4">
      <c r="B20" s="135" t="s">
        <v>228</v>
      </c>
      <c r="C20" s="136">
        <f>SUM(C17:C19)</f>
        <v>-18474</v>
      </c>
      <c r="D20" s="136">
        <f t="shared" ref="D20:I20" si="3">SUM(D17:D19)</f>
        <v>-18259</v>
      </c>
      <c r="E20" s="136">
        <f t="shared" si="3"/>
        <v>-22148</v>
      </c>
      <c r="F20" s="136">
        <f t="shared" si="3"/>
        <v>-25735</v>
      </c>
      <c r="G20" s="136">
        <f t="shared" si="3"/>
        <v>-31716</v>
      </c>
      <c r="H20" s="136">
        <f t="shared" si="3"/>
        <v>-29760</v>
      </c>
      <c r="I20" s="136">
        <f t="shared" si="3"/>
        <v>-30578</v>
      </c>
    </row>
    <row r="21" spans="2:10" customFormat="1" ht="14.4">
      <c r="C21" s="133"/>
      <c r="D21" s="133"/>
      <c r="E21" s="133"/>
      <c r="F21" s="133"/>
      <c r="G21" s="133"/>
      <c r="H21" s="133"/>
      <c r="I21" s="133"/>
    </row>
    <row r="22" spans="2:10" customFormat="1" ht="14.4">
      <c r="B22" s="135" t="s">
        <v>3</v>
      </c>
      <c r="C22" s="136">
        <f t="shared" ref="C22:I22" si="4">C10+C20</f>
        <v>20836</v>
      </c>
      <c r="D22" s="136">
        <f t="shared" si="4"/>
        <v>21524</v>
      </c>
      <c r="E22" s="136">
        <f t="shared" si="4"/>
        <v>24880</v>
      </c>
      <c r="F22" s="136">
        <f t="shared" si="4"/>
        <v>26711</v>
      </c>
      <c r="G22" s="136">
        <f t="shared" si="4"/>
        <v>28864</v>
      </c>
      <c r="H22" s="136">
        <f t="shared" si="4"/>
        <v>32136</v>
      </c>
      <c r="I22" s="136">
        <f t="shared" si="4"/>
        <v>32543</v>
      </c>
    </row>
    <row r="23" spans="2:10" customFormat="1" ht="14.4">
      <c r="B23" s="20"/>
      <c r="C23" s="149"/>
      <c r="D23" s="149"/>
      <c r="E23" s="149"/>
      <c r="F23" s="149"/>
      <c r="G23" s="149"/>
      <c r="H23" s="149"/>
      <c r="I23" s="149"/>
    </row>
    <row r="24" spans="2:10" customFormat="1" ht="14.4">
      <c r="B24" s="209" t="s">
        <v>447</v>
      </c>
      <c r="C24" s="210">
        <f>-C20/C10</f>
        <v>0.46995675400661407</v>
      </c>
      <c r="D24" s="210">
        <f t="shared" ref="D24:I24" si="5">-D20/D10</f>
        <v>0.45896488449840384</v>
      </c>
      <c r="E24" s="210">
        <f t="shared" si="5"/>
        <v>0.47095347452581443</v>
      </c>
      <c r="F24" s="210">
        <f t="shared" si="5"/>
        <v>0.49069519124432748</v>
      </c>
      <c r="G24" s="210">
        <f t="shared" si="5"/>
        <v>0.5235391218223836</v>
      </c>
      <c r="H24" s="210">
        <f t="shared" si="5"/>
        <v>0.48080651415277237</v>
      </c>
      <c r="I24" s="210">
        <f t="shared" si="5"/>
        <v>0.48443465724560764</v>
      </c>
    </row>
    <row r="25" spans="2:10" customFormat="1" ht="14.4">
      <c r="B25" s="209" t="s">
        <v>442</v>
      </c>
      <c r="C25" s="210">
        <f>100%-C24</f>
        <v>0.53004324599338593</v>
      </c>
      <c r="D25" s="210">
        <f t="shared" ref="D25:I25" si="6">100%-D24</f>
        <v>0.54103511550159622</v>
      </c>
      <c r="E25" s="210">
        <f t="shared" si="6"/>
        <v>0.52904652547418562</v>
      </c>
      <c r="F25" s="210">
        <f t="shared" si="6"/>
        <v>0.50930480875567252</v>
      </c>
      <c r="G25" s="210">
        <f t="shared" si="6"/>
        <v>0.4764608781776164</v>
      </c>
      <c r="H25" s="210">
        <f t="shared" si="6"/>
        <v>0.51919348584722758</v>
      </c>
      <c r="I25" s="210">
        <f t="shared" si="6"/>
        <v>0.51556534275439236</v>
      </c>
    </row>
    <row r="26" spans="2:10" customFormat="1" ht="14.4">
      <c r="B26" s="209" t="s">
        <v>470</v>
      </c>
      <c r="C26" s="210">
        <f>-C17/C10</f>
        <v>0.3486899007886034</v>
      </c>
      <c r="D26" s="210">
        <f t="shared" ref="D26:I26" si="7">-D17/D10</f>
        <v>0.30103310459241384</v>
      </c>
      <c r="E26" s="210">
        <f t="shared" si="7"/>
        <v>0.32814493493238073</v>
      </c>
      <c r="F26" s="210">
        <f t="shared" si="7"/>
        <v>0.31357968195858599</v>
      </c>
      <c r="G26" s="210">
        <f t="shared" si="7"/>
        <v>0.33364146583030702</v>
      </c>
      <c r="H26" s="210">
        <f t="shared" si="7"/>
        <v>0.31111865063978283</v>
      </c>
      <c r="I26" s="210">
        <f t="shared" si="7"/>
        <v>0.308265078183172</v>
      </c>
    </row>
    <row r="27" spans="2:10" customFormat="1" ht="14.4">
      <c r="B27" s="209" t="s">
        <v>466</v>
      </c>
      <c r="C27" s="210">
        <f>C17/C20</f>
        <v>0.74196167586878858</v>
      </c>
      <c r="D27" s="210">
        <f t="shared" ref="D27:I27" si="8">D17/D20</f>
        <v>0.65589572265731966</v>
      </c>
      <c r="E27" s="210">
        <f t="shared" si="8"/>
        <v>0.69676720245620372</v>
      </c>
      <c r="F27" s="210">
        <f t="shared" si="8"/>
        <v>0.63905187487857007</v>
      </c>
      <c r="G27" s="210">
        <f t="shared" si="8"/>
        <v>0.63728086770084502</v>
      </c>
      <c r="H27" s="210">
        <f t="shared" si="8"/>
        <v>0.64707661290322582</v>
      </c>
      <c r="I27" s="210">
        <f t="shared" si="8"/>
        <v>0.63633985218130684</v>
      </c>
    </row>
    <row r="28" spans="2:10" customFormat="1" ht="14.4">
      <c r="B28" s="209" t="s">
        <v>467</v>
      </c>
      <c r="C28" s="210">
        <f>C18/C$20</f>
        <v>0.25738876258525495</v>
      </c>
      <c r="D28" s="210">
        <f t="shared" ref="D28:I28" si="9">D18/D$20</f>
        <v>0.35001916862916915</v>
      </c>
      <c r="E28" s="210">
        <f t="shared" si="9"/>
        <v>0.32151887303594007</v>
      </c>
      <c r="F28" s="210">
        <f t="shared" si="9"/>
        <v>0.36180299203419469</v>
      </c>
      <c r="G28" s="210">
        <f t="shared" si="9"/>
        <v>0.36508386934039599</v>
      </c>
      <c r="H28" s="210">
        <f t="shared" si="9"/>
        <v>0.35329301075268815</v>
      </c>
      <c r="I28" s="210">
        <f t="shared" si="9"/>
        <v>0.36866374517627054</v>
      </c>
    </row>
    <row r="29" spans="2:10" customFormat="1" ht="14.4">
      <c r="B29" s="209" t="s">
        <v>468</v>
      </c>
      <c r="C29" s="210">
        <f>C19/C$20</f>
        <v>6.4956154595647935E-4</v>
      </c>
      <c r="D29" s="210">
        <f>-D19/D$20</f>
        <v>5.9148912864888546E-3</v>
      </c>
      <c r="E29" s="210">
        <f t="shared" ref="E29:I29" si="10">-E19/E$20</f>
        <v>1.8286075492143759E-2</v>
      </c>
      <c r="F29" s="210">
        <f t="shared" si="10"/>
        <v>8.5486691276471735E-4</v>
      </c>
      <c r="G29" s="210">
        <f t="shared" si="10"/>
        <v>2.3647370412410141E-3</v>
      </c>
      <c r="H29" s="210">
        <f t="shared" si="10"/>
        <v>3.6962365591397848E-4</v>
      </c>
      <c r="I29" s="210">
        <f t="shared" si="10"/>
        <v>5.003597357577343E-3</v>
      </c>
    </row>
    <row r="30" spans="2:10" customFormat="1" ht="14.4">
      <c r="B30" s="20"/>
      <c r="C30" s="149"/>
      <c r="D30" s="149"/>
      <c r="E30" s="149"/>
      <c r="F30" s="149"/>
      <c r="G30" s="149"/>
      <c r="H30" s="149"/>
      <c r="I30" s="149"/>
    </row>
    <row r="31" spans="2:10" customFormat="1" ht="14.4">
      <c r="C31" s="133"/>
      <c r="D31" s="133"/>
      <c r="E31" s="133"/>
      <c r="F31" s="133"/>
      <c r="G31" s="133"/>
      <c r="H31" s="133"/>
      <c r="I31" s="133"/>
    </row>
    <row r="32" spans="2:10" customFormat="1" ht="14.4">
      <c r="B32" s="20" t="s">
        <v>229</v>
      </c>
      <c r="C32" s="133"/>
      <c r="D32" s="133"/>
      <c r="E32" s="133"/>
      <c r="F32" s="133"/>
      <c r="G32" s="133"/>
      <c r="H32" s="133"/>
      <c r="I32" s="133"/>
    </row>
    <row r="33" spans="2:10" customFormat="1" ht="14.4">
      <c r="B33" t="s">
        <v>210</v>
      </c>
      <c r="C33" s="133">
        <v>-1875</v>
      </c>
      <c r="D33" s="133">
        <v>-1820</v>
      </c>
      <c r="E33" s="133">
        <v>-2358</v>
      </c>
      <c r="F33" s="133">
        <v>-2545</v>
      </c>
      <c r="G33" s="133">
        <v>-2854</v>
      </c>
      <c r="H33" s="133">
        <v>-3009</v>
      </c>
      <c r="I33" s="133">
        <v>-3077</v>
      </c>
      <c r="J33" s="133"/>
    </row>
    <row r="34" spans="2:10" customFormat="1" ht="14.4">
      <c r="B34" t="s">
        <v>211</v>
      </c>
      <c r="C34" s="133">
        <v>-10081</v>
      </c>
      <c r="D34" s="133">
        <v>-9843</v>
      </c>
      <c r="E34" s="133">
        <v>-10896</v>
      </c>
      <c r="F34" s="133">
        <v>-11309</v>
      </c>
      <c r="G34" s="133">
        <v>-11861</v>
      </c>
      <c r="H34" s="133">
        <v>-14464</v>
      </c>
      <c r="I34" s="133">
        <v>-14615</v>
      </c>
    </row>
    <row r="35" spans="2:10" customFormat="1" ht="14.4">
      <c r="B35" s="135" t="s">
        <v>230</v>
      </c>
      <c r="C35" s="136">
        <f>SUM(C33:C34)</f>
        <v>-11956</v>
      </c>
      <c r="D35" s="136">
        <f t="shared" ref="D35:I35" si="11">SUM(D33:D34)</f>
        <v>-11663</v>
      </c>
      <c r="E35" s="136">
        <f t="shared" si="11"/>
        <v>-13254</v>
      </c>
      <c r="F35" s="136">
        <f t="shared" si="11"/>
        <v>-13854</v>
      </c>
      <c r="G35" s="136">
        <f t="shared" si="11"/>
        <v>-14715</v>
      </c>
      <c r="H35" s="136">
        <f t="shared" si="11"/>
        <v>-17473</v>
      </c>
      <c r="I35" s="136">
        <f t="shared" si="11"/>
        <v>-17692</v>
      </c>
    </row>
    <row r="37" spans="2:10">
      <c r="B37" s="144" t="s">
        <v>234</v>
      </c>
      <c r="C37" s="145">
        <f>C22+C35</f>
        <v>8880</v>
      </c>
      <c r="D37" s="145">
        <f t="shared" ref="D37:I37" si="12">D22+D35</f>
        <v>9861</v>
      </c>
      <c r="E37" s="145">
        <f t="shared" si="12"/>
        <v>11626</v>
      </c>
      <c r="F37" s="145">
        <f t="shared" si="12"/>
        <v>12857</v>
      </c>
      <c r="G37" s="145">
        <f t="shared" si="12"/>
        <v>14149</v>
      </c>
      <c r="H37" s="145">
        <f t="shared" si="12"/>
        <v>14663</v>
      </c>
      <c r="I37" s="145">
        <f t="shared" si="12"/>
        <v>14851</v>
      </c>
    </row>
    <row r="38" spans="2:10">
      <c r="B38" s="258" t="s">
        <v>523</v>
      </c>
      <c r="C38" s="257"/>
      <c r="D38" s="259">
        <f>D37/D10</f>
        <v>0.24786969308498605</v>
      </c>
      <c r="E38" s="259">
        <f t="shared" ref="E38:I38" si="13">E37/E10</f>
        <v>0.24721442544866887</v>
      </c>
      <c r="F38" s="259">
        <f t="shared" si="13"/>
        <v>0.24514738969606834</v>
      </c>
      <c r="G38" s="259">
        <f t="shared" si="13"/>
        <v>0.23355893034004621</v>
      </c>
      <c r="H38" s="259">
        <f t="shared" si="13"/>
        <v>0.23689737624402224</v>
      </c>
      <c r="I38" s="259">
        <f t="shared" si="13"/>
        <v>0.23527827505901364</v>
      </c>
    </row>
    <row r="39" spans="2:10">
      <c r="B39" s="3"/>
      <c r="C39" s="257"/>
      <c r="D39" s="257"/>
      <c r="E39" s="257"/>
      <c r="F39" s="257"/>
      <c r="G39" s="257"/>
      <c r="H39" s="257"/>
      <c r="I39" s="257"/>
    </row>
    <row r="40" spans="2:10">
      <c r="B40" s="3"/>
    </row>
    <row r="41" spans="2:10" customFormat="1" ht="14.4">
      <c r="B41" t="s">
        <v>55</v>
      </c>
      <c r="C41" s="133">
        <v>-565</v>
      </c>
      <c r="D41" s="133">
        <v>-1002</v>
      </c>
      <c r="E41" s="133">
        <v>-1074</v>
      </c>
      <c r="F41" s="133">
        <v>-1091</v>
      </c>
      <c r="G41" s="133">
        <v>-1137</v>
      </c>
      <c r="H41" s="133">
        <v>-1216</v>
      </c>
      <c r="I41" s="133">
        <v>-1355</v>
      </c>
    </row>
    <row r="42" spans="2:10" customFormat="1" ht="14.4">
      <c r="B42" s="144" t="s">
        <v>64</v>
      </c>
      <c r="C42" s="145">
        <f>C37+C41</f>
        <v>8315</v>
      </c>
      <c r="D42" s="145">
        <f t="shared" ref="D42:I42" si="14">D37+D41</f>
        <v>8859</v>
      </c>
      <c r="E42" s="145">
        <f t="shared" si="14"/>
        <v>10552</v>
      </c>
      <c r="F42" s="145">
        <f t="shared" si="14"/>
        <v>11766</v>
      </c>
      <c r="G42" s="145">
        <f t="shared" si="14"/>
        <v>13012</v>
      </c>
      <c r="H42" s="145">
        <f t="shared" si="14"/>
        <v>13447</v>
      </c>
      <c r="I42" s="145">
        <f t="shared" si="14"/>
        <v>13496</v>
      </c>
    </row>
    <row r="43" spans="2:10" customFormat="1" ht="14.4">
      <c r="C43" s="133"/>
      <c r="D43" s="133"/>
      <c r="E43" s="133"/>
      <c r="F43" s="133"/>
      <c r="G43" s="133"/>
      <c r="H43" s="133"/>
      <c r="I43" s="133"/>
    </row>
    <row r="44" spans="2:10" customFormat="1" ht="14.4">
      <c r="B44" t="s">
        <v>231</v>
      </c>
      <c r="C44" s="133">
        <v>-33</v>
      </c>
      <c r="D44" s="133">
        <v>-118</v>
      </c>
      <c r="E44" s="133">
        <v>-117</v>
      </c>
      <c r="F44" s="133">
        <v>-106</v>
      </c>
      <c r="G44" s="133">
        <v>-114</v>
      </c>
      <c r="H44" s="133">
        <v>-334</v>
      </c>
      <c r="I44" s="133">
        <v>-395</v>
      </c>
    </row>
    <row r="45" spans="2:10" customFormat="1" ht="14.4">
      <c r="B45" t="s">
        <v>233</v>
      </c>
      <c r="C45" s="133">
        <v>550</v>
      </c>
      <c r="D45" s="133">
        <v>632</v>
      </c>
      <c r="E45" s="133">
        <v>410</v>
      </c>
      <c r="F45" s="133">
        <v>258</v>
      </c>
      <c r="G45" s="133">
        <v>512</v>
      </c>
      <c r="H45" s="133">
        <v>811</v>
      </c>
      <c r="I45" s="133">
        <v>1017</v>
      </c>
    </row>
    <row r="46" spans="2:10" customFormat="1" ht="14.4">
      <c r="B46" s="144" t="s">
        <v>235</v>
      </c>
      <c r="C46" s="145">
        <f>SUM(C42,C44:C45)</f>
        <v>8832</v>
      </c>
      <c r="D46" s="145">
        <f t="shared" ref="D46:I46" si="15">SUM(D42,D44:D45)</f>
        <v>9373</v>
      </c>
      <c r="E46" s="145">
        <f t="shared" si="15"/>
        <v>10845</v>
      </c>
      <c r="F46" s="145">
        <f t="shared" si="15"/>
        <v>11918</v>
      </c>
      <c r="G46" s="145">
        <f t="shared" si="15"/>
        <v>13410</v>
      </c>
      <c r="H46" s="145">
        <f t="shared" si="15"/>
        <v>13924</v>
      </c>
      <c r="I46" s="145">
        <f t="shared" si="15"/>
        <v>14118</v>
      </c>
    </row>
    <row r="47" spans="2:10" customFormat="1" ht="14.4">
      <c r="B47" s="1"/>
      <c r="C47" s="1"/>
      <c r="D47" s="1"/>
      <c r="E47" s="1"/>
      <c r="F47" s="1"/>
      <c r="G47" s="1"/>
      <c r="H47" s="1"/>
      <c r="I47" s="1"/>
    </row>
    <row r="48" spans="2:10" customFormat="1" ht="14.4">
      <c r="B48" t="s">
        <v>643</v>
      </c>
      <c r="C48" s="133">
        <v>0</v>
      </c>
      <c r="D48" s="133">
        <v>0</v>
      </c>
      <c r="E48" s="133">
        <v>0</v>
      </c>
      <c r="F48" s="133">
        <v>0</v>
      </c>
      <c r="G48" s="133">
        <v>-1</v>
      </c>
      <c r="H48" s="133">
        <v>-4</v>
      </c>
      <c r="I48" s="133">
        <v>-8</v>
      </c>
    </row>
    <row r="49" spans="2:9" customFormat="1" ht="14.4">
      <c r="B49" t="s">
        <v>644</v>
      </c>
      <c r="C49" s="133">
        <v>-228</v>
      </c>
      <c r="D49" s="133">
        <v>-200</v>
      </c>
      <c r="E49" s="133">
        <v>-239</v>
      </c>
      <c r="F49" s="133">
        <v>-44</v>
      </c>
      <c r="G49" s="133">
        <v>-64</v>
      </c>
      <c r="H49" s="133">
        <v>6</v>
      </c>
      <c r="I49" s="133">
        <v>305</v>
      </c>
    </row>
    <row r="50" spans="2:9" customFormat="1" ht="14.4">
      <c r="C50" s="133"/>
      <c r="D50" s="133"/>
      <c r="E50" s="133"/>
      <c r="F50" s="133"/>
      <c r="G50" s="133"/>
      <c r="H50" s="133"/>
      <c r="I50" s="133"/>
    </row>
    <row r="51" spans="2:9" customFormat="1" ht="14.4">
      <c r="B51" s="144" t="s">
        <v>236</v>
      </c>
      <c r="C51" s="145">
        <f>SUM(C46,C48:C49)</f>
        <v>8604</v>
      </c>
      <c r="D51" s="145">
        <f t="shared" ref="D51:I51" si="16">SUM(D46,D48:D49)</f>
        <v>9173</v>
      </c>
      <c r="E51" s="145">
        <f t="shared" si="16"/>
        <v>10606</v>
      </c>
      <c r="F51" s="145">
        <f t="shared" si="16"/>
        <v>11874</v>
      </c>
      <c r="G51" s="145">
        <f t="shared" si="16"/>
        <v>13345</v>
      </c>
      <c r="H51" s="145">
        <f t="shared" si="16"/>
        <v>13926</v>
      </c>
      <c r="I51" s="145">
        <f t="shared" si="16"/>
        <v>14415</v>
      </c>
    </row>
    <row r="53" spans="2:9" customFormat="1" ht="14.4">
      <c r="B53" t="s">
        <v>237</v>
      </c>
      <c r="C53" s="133">
        <v>-2544</v>
      </c>
      <c r="D53" s="133">
        <v>-2409</v>
      </c>
      <c r="E53" s="133">
        <v>-2606</v>
      </c>
      <c r="F53" s="133">
        <v>-2987</v>
      </c>
      <c r="G53" s="133">
        <v>-3201</v>
      </c>
      <c r="H53" s="133">
        <v>-3644</v>
      </c>
      <c r="I53" s="133">
        <v>-3744</v>
      </c>
    </row>
    <row r="54" spans="2:9" customFormat="1" ht="15" thickBot="1">
      <c r="B54" s="53" t="s">
        <v>238</v>
      </c>
      <c r="C54" s="134">
        <f>SUM(C51,C53)</f>
        <v>6060</v>
      </c>
      <c r="D54" s="134">
        <f t="shared" ref="D54:I54" si="17">SUM(D51,D53)</f>
        <v>6764</v>
      </c>
      <c r="E54" s="134">
        <f t="shared" si="17"/>
        <v>8000</v>
      </c>
      <c r="F54" s="134">
        <f t="shared" si="17"/>
        <v>8887</v>
      </c>
      <c r="G54" s="134">
        <f t="shared" si="17"/>
        <v>10144</v>
      </c>
      <c r="H54" s="134">
        <f t="shared" si="17"/>
        <v>10282</v>
      </c>
      <c r="I54" s="134">
        <f t="shared" si="17"/>
        <v>10671</v>
      </c>
    </row>
    <row r="55" spans="2:9" customFormat="1" ht="14.4">
      <c r="B55" s="3"/>
      <c r="C55" s="133"/>
      <c r="D55" s="133"/>
      <c r="E55" s="133"/>
      <c r="F55" s="133"/>
      <c r="G55" s="133"/>
      <c r="H55" s="133"/>
      <c r="I55" s="133"/>
    </row>
    <row r="56" spans="2:9" customFormat="1" ht="14.4">
      <c r="B56" t="s">
        <v>220</v>
      </c>
      <c r="C56" s="133">
        <v>6060</v>
      </c>
      <c r="D56" s="133">
        <v>6764</v>
      </c>
      <c r="E56" s="133">
        <v>8000</v>
      </c>
      <c r="F56" s="133">
        <v>8887</v>
      </c>
      <c r="G56" s="133">
        <v>10145</v>
      </c>
      <c r="H56" s="133">
        <v>10286</v>
      </c>
      <c r="I56" s="133">
        <v>10679</v>
      </c>
    </row>
    <row r="57" spans="2:9" customFormat="1" ht="14.4">
      <c r="B57" t="s">
        <v>221</v>
      </c>
      <c r="C57" s="133">
        <v>0</v>
      </c>
      <c r="D57" s="133">
        <v>-6</v>
      </c>
      <c r="E57" s="133">
        <v>-1</v>
      </c>
      <c r="F57" s="133">
        <v>3</v>
      </c>
      <c r="G57" s="133">
        <v>-1</v>
      </c>
      <c r="H57" s="133">
        <v>0</v>
      </c>
      <c r="I57" s="133">
        <v>0</v>
      </c>
    </row>
    <row r="58" spans="2:9" customFormat="1" ht="14.4">
      <c r="B58" t="s">
        <v>222</v>
      </c>
      <c r="C58" s="133">
        <v>0</v>
      </c>
      <c r="D58" s="133">
        <v>2</v>
      </c>
      <c r="E58" s="133">
        <v>0</v>
      </c>
      <c r="F58" s="133">
        <v>-2</v>
      </c>
      <c r="G58" s="133">
        <v>0</v>
      </c>
      <c r="H58" s="133">
        <v>0</v>
      </c>
      <c r="I58" s="133">
        <v>0</v>
      </c>
    </row>
    <row r="59" spans="2:9" customFormat="1" ht="14.4">
      <c r="B59" t="s">
        <v>223</v>
      </c>
      <c r="C59" s="133">
        <v>0</v>
      </c>
      <c r="D59" s="133">
        <v>-8</v>
      </c>
      <c r="E59" s="133">
        <v>-1</v>
      </c>
      <c r="F59" s="133">
        <v>5</v>
      </c>
      <c r="G59" s="133">
        <v>-1</v>
      </c>
      <c r="H59" s="133">
        <v>0</v>
      </c>
      <c r="I59" s="133">
        <v>0</v>
      </c>
    </row>
    <row r="60" spans="2:9" customFormat="1" ht="14.4">
      <c r="B60" t="s">
        <v>224</v>
      </c>
      <c r="C60" s="133">
        <v>6060</v>
      </c>
      <c r="D60" s="133">
        <v>6756</v>
      </c>
      <c r="E60" s="133">
        <v>7999</v>
      </c>
      <c r="F60" s="133">
        <v>8892</v>
      </c>
      <c r="G60" s="133">
        <v>10144</v>
      </c>
      <c r="H60" s="133">
        <v>10286</v>
      </c>
      <c r="I60" s="133">
        <v>10679</v>
      </c>
    </row>
    <row r="61" spans="2:9" customFormat="1" ht="14.4">
      <c r="B61" t="s">
        <v>166</v>
      </c>
      <c r="C61" s="133">
        <v>-6</v>
      </c>
      <c r="D61" s="133">
        <v>-8</v>
      </c>
      <c r="E61" s="133">
        <v>-4</v>
      </c>
      <c r="F61" s="133">
        <v>-13</v>
      </c>
      <c r="G61" s="133">
        <v>-23</v>
      </c>
      <c r="H61" s="133">
        <v>-5</v>
      </c>
      <c r="I61" s="133">
        <v>-22</v>
      </c>
    </row>
    <row r="62" spans="2:9" customFormat="1" ht="14.4">
      <c r="B62" t="s">
        <v>226</v>
      </c>
      <c r="C62" s="133">
        <v>6054</v>
      </c>
      <c r="D62" s="133">
        <v>6748</v>
      </c>
      <c r="E62" s="133">
        <v>7995</v>
      </c>
      <c r="F62" s="133">
        <v>8879</v>
      </c>
      <c r="G62" s="133">
        <v>10120</v>
      </c>
      <c r="H62" s="133">
        <v>10277</v>
      </c>
      <c r="I62" s="133">
        <v>10649</v>
      </c>
    </row>
    <row r="63" spans="2:9">
      <c r="D63" s="2"/>
    </row>
    <row r="64" spans="2:9">
      <c r="D64" s="2"/>
    </row>
    <row r="65" spans="4:4">
      <c r="D65" s="2"/>
    </row>
    <row r="66" spans="4:4">
      <c r="D66" s="2"/>
    </row>
    <row r="67" spans="4:4">
      <c r="D67" s="2"/>
    </row>
    <row r="68" spans="4:4">
      <c r="D68" s="2"/>
    </row>
    <row r="69" spans="4:4">
      <c r="D69" s="2"/>
    </row>
    <row r="70" spans="4:4">
      <c r="D70" s="2"/>
    </row>
    <row r="71" spans="4:4">
      <c r="D71" s="2"/>
    </row>
    <row r="72" spans="4:4">
      <c r="D72" s="2"/>
    </row>
    <row r="73" spans="4:4">
      <c r="D73" s="2"/>
    </row>
    <row r="74" spans="4:4">
      <c r="D74" s="2"/>
    </row>
    <row r="75" spans="4:4">
      <c r="D75" s="2"/>
    </row>
    <row r="76" spans="4:4">
      <c r="D76" s="2"/>
    </row>
    <row r="77" spans="4:4">
      <c r="D77" s="2"/>
    </row>
    <row r="78" spans="4:4">
      <c r="D78" s="2"/>
    </row>
    <row r="79" spans="4:4">
      <c r="D79" s="2"/>
    </row>
    <row r="80" spans="4:4">
      <c r="D80" s="2"/>
    </row>
    <row r="81" spans="4:4">
      <c r="D81" s="2"/>
    </row>
    <row r="82" spans="4:4">
      <c r="D82" s="2"/>
    </row>
    <row r="83" spans="4:4">
      <c r="D83" s="2"/>
    </row>
    <row r="84" spans="4:4">
      <c r="D84" s="2"/>
    </row>
    <row r="85" spans="4:4">
      <c r="D85" s="2"/>
    </row>
    <row r="86" spans="4:4">
      <c r="D86" s="2"/>
    </row>
    <row r="87" spans="4:4">
      <c r="D87" s="2"/>
    </row>
    <row r="88" spans="4:4">
      <c r="D88" s="2"/>
    </row>
    <row r="89" spans="4:4">
      <c r="D89" s="2"/>
    </row>
    <row r="90" spans="4:4">
      <c r="D90" s="2"/>
    </row>
    <row r="91" spans="4:4">
      <c r="D91" s="2"/>
    </row>
    <row r="92" spans="4:4">
      <c r="D92" s="2"/>
    </row>
    <row r="93" spans="4:4">
      <c r="D93" s="2"/>
    </row>
    <row r="94" spans="4:4">
      <c r="D94" s="2"/>
    </row>
    <row r="95" spans="4:4">
      <c r="D95" s="2"/>
    </row>
    <row r="96" spans="4:4">
      <c r="D96" s="2"/>
    </row>
    <row r="97" spans="4:4">
      <c r="D97" s="2"/>
    </row>
    <row r="98" spans="4:4">
      <c r="D98" s="2"/>
    </row>
    <row r="99" spans="4:4">
      <c r="D99" s="2"/>
    </row>
    <row r="100" spans="4:4">
      <c r="D100" s="2"/>
    </row>
    <row r="101" spans="4:4">
      <c r="D101" s="2"/>
    </row>
    <row r="102" spans="4:4">
      <c r="D102" s="2"/>
    </row>
    <row r="103" spans="4:4">
      <c r="D103" s="2"/>
    </row>
    <row r="104" spans="4:4">
      <c r="D104" s="2"/>
    </row>
    <row r="105" spans="4:4">
      <c r="D105" s="2"/>
    </row>
    <row r="106" spans="4:4">
      <c r="D106" s="2"/>
    </row>
    <row r="107" spans="4:4">
      <c r="D107" s="2"/>
    </row>
    <row r="108" spans="4:4">
      <c r="D108" s="2"/>
    </row>
    <row r="109" spans="4:4">
      <c r="D109" s="2"/>
    </row>
    <row r="110" spans="4:4">
      <c r="D110" s="2"/>
    </row>
    <row r="111" spans="4:4">
      <c r="D111" s="2"/>
    </row>
    <row r="112" spans="4:4">
      <c r="D112" s="2"/>
    </row>
    <row r="113" spans="4:4">
      <c r="D113" s="2"/>
    </row>
    <row r="114" spans="4:4">
      <c r="D114" s="2"/>
    </row>
    <row r="115" spans="4:4">
      <c r="D115" s="2"/>
    </row>
    <row r="116" spans="4:4">
      <c r="D116" s="2"/>
    </row>
    <row r="117" spans="4:4">
      <c r="D117" s="2"/>
    </row>
    <row r="118" spans="4:4">
      <c r="D118" s="2"/>
    </row>
    <row r="119" spans="4:4">
      <c r="D119" s="2"/>
    </row>
    <row r="120" spans="4:4">
      <c r="D120" s="2"/>
    </row>
    <row r="121" spans="4:4">
      <c r="D121" s="2"/>
    </row>
    <row r="122" spans="4:4">
      <c r="D122" s="2"/>
    </row>
    <row r="123" spans="4:4">
      <c r="D123" s="2"/>
    </row>
    <row r="124" spans="4:4">
      <c r="D124" s="2"/>
    </row>
    <row r="125" spans="4:4">
      <c r="D125" s="2"/>
    </row>
    <row r="126" spans="4:4">
      <c r="D126" s="2"/>
    </row>
    <row r="127" spans="4:4">
      <c r="D127" s="2"/>
    </row>
    <row r="128" spans="4:4">
      <c r="D128" s="2"/>
    </row>
    <row r="129" spans="4:4">
      <c r="D129" s="2"/>
    </row>
    <row r="130" spans="4:4">
      <c r="D130" s="2"/>
    </row>
    <row r="131" spans="4:4">
      <c r="D131" s="2"/>
    </row>
    <row r="132" spans="4:4">
      <c r="D132" s="2"/>
    </row>
    <row r="133" spans="4:4">
      <c r="D133" s="2"/>
    </row>
    <row r="134" spans="4:4">
      <c r="D134" s="2"/>
    </row>
    <row r="135" spans="4:4">
      <c r="D135" s="2"/>
    </row>
    <row r="136" spans="4:4">
      <c r="D136" s="2"/>
    </row>
    <row r="137" spans="4:4">
      <c r="D137" s="2"/>
    </row>
    <row r="138" spans="4:4">
      <c r="D138" s="2"/>
    </row>
    <row r="139" spans="4:4">
      <c r="D139" s="2"/>
    </row>
    <row r="140" spans="4:4">
      <c r="D140" s="2"/>
    </row>
    <row r="141" spans="4:4">
      <c r="D141" s="2"/>
    </row>
    <row r="142" spans="4:4">
      <c r="D142" s="2"/>
    </row>
    <row r="143" spans="4:4">
      <c r="D143" s="2"/>
    </row>
    <row r="144" spans="4:4">
      <c r="D144" s="2"/>
    </row>
    <row r="145" spans="4:4">
      <c r="D145" s="2"/>
    </row>
    <row r="146" spans="4:4">
      <c r="D146" s="2"/>
    </row>
    <row r="147" spans="4:4">
      <c r="D147" s="2"/>
    </row>
    <row r="148" spans="4:4">
      <c r="D148" s="2"/>
    </row>
    <row r="149" spans="4:4">
      <c r="D149" s="2"/>
    </row>
    <row r="150" spans="4:4">
      <c r="D150" s="2"/>
    </row>
    <row r="151" spans="4:4">
      <c r="D151" s="2"/>
    </row>
    <row r="152" spans="4:4">
      <c r="D152" s="2"/>
    </row>
    <row r="153" spans="4:4">
      <c r="D153" s="2"/>
    </row>
    <row r="154" spans="4:4">
      <c r="D154" s="2"/>
    </row>
    <row r="155" spans="4:4">
      <c r="D155" s="2"/>
    </row>
    <row r="156" spans="4:4">
      <c r="D156" s="2"/>
    </row>
    <row r="157" spans="4:4">
      <c r="D157" s="2"/>
    </row>
    <row r="158" spans="4:4">
      <c r="D158" s="2"/>
    </row>
    <row r="159" spans="4:4">
      <c r="D159" s="2"/>
    </row>
    <row r="160" spans="4:4">
      <c r="D160" s="2"/>
    </row>
    <row r="161" spans="4:4">
      <c r="D161" s="2"/>
    </row>
    <row r="162" spans="4:4">
      <c r="D162" s="2"/>
    </row>
    <row r="163" spans="4:4">
      <c r="D163" s="2"/>
    </row>
    <row r="164" spans="4:4">
      <c r="D164" s="2"/>
    </row>
    <row r="165" spans="4:4">
      <c r="D165" s="2"/>
    </row>
    <row r="166" spans="4:4">
      <c r="D166" s="2"/>
    </row>
    <row r="167" spans="4:4">
      <c r="D167" s="2"/>
    </row>
    <row r="168" spans="4:4">
      <c r="D168" s="2"/>
    </row>
    <row r="169" spans="4:4">
      <c r="D169" s="2"/>
    </row>
    <row r="170" spans="4:4">
      <c r="D170" s="2"/>
    </row>
    <row r="171" spans="4:4">
      <c r="D171" s="2"/>
    </row>
    <row r="172" spans="4:4">
      <c r="D172" s="2"/>
    </row>
    <row r="173" spans="4:4">
      <c r="D173" s="2"/>
    </row>
    <row r="174" spans="4:4">
      <c r="D174" s="2"/>
    </row>
    <row r="175" spans="4:4">
      <c r="D175" s="2"/>
    </row>
    <row r="176" spans="4:4">
      <c r="D176" s="2"/>
    </row>
    <row r="177" spans="4:4">
      <c r="D177" s="2"/>
    </row>
    <row r="178" spans="4:4">
      <c r="D178" s="2"/>
    </row>
    <row r="179" spans="4:4">
      <c r="D179" s="2"/>
    </row>
    <row r="180" spans="4:4">
      <c r="D180" s="2"/>
    </row>
    <row r="181" spans="4:4">
      <c r="D181" s="2"/>
    </row>
    <row r="182" spans="4:4">
      <c r="D182" s="2"/>
    </row>
    <row r="183" spans="4:4">
      <c r="D183" s="2"/>
    </row>
    <row r="184" spans="4:4">
      <c r="D184" s="2"/>
    </row>
    <row r="185" spans="4:4">
      <c r="D185" s="2"/>
    </row>
    <row r="186" spans="4:4">
      <c r="D186" s="2"/>
    </row>
    <row r="187" spans="4:4">
      <c r="D187" s="2"/>
    </row>
    <row r="188" spans="4:4">
      <c r="D188" s="2"/>
    </row>
    <row r="189" spans="4:4">
      <c r="D189" s="2"/>
    </row>
    <row r="190" spans="4:4">
      <c r="D190" s="2"/>
    </row>
    <row r="191" spans="4:4">
      <c r="D191" s="2"/>
    </row>
    <row r="192" spans="4:4">
      <c r="D192" s="2"/>
    </row>
    <row r="193" spans="4:4">
      <c r="D193" s="2"/>
    </row>
    <row r="194" spans="4:4">
      <c r="D194" s="2"/>
    </row>
    <row r="195" spans="4:4">
      <c r="D195" s="2"/>
    </row>
    <row r="196" spans="4:4">
      <c r="D196" s="2"/>
    </row>
    <row r="197" spans="4:4">
      <c r="D197" s="2"/>
    </row>
    <row r="198" spans="4:4">
      <c r="D198" s="2"/>
    </row>
    <row r="199" spans="4:4">
      <c r="D199" s="2"/>
    </row>
    <row r="200" spans="4:4">
      <c r="D200" s="2"/>
    </row>
    <row r="201" spans="4:4">
      <c r="D201" s="2"/>
    </row>
    <row r="202" spans="4:4">
      <c r="D202" s="2"/>
    </row>
    <row r="203" spans="4:4">
      <c r="D203" s="2"/>
    </row>
    <row r="204" spans="4:4">
      <c r="D204" s="2"/>
    </row>
    <row r="205" spans="4:4">
      <c r="D205" s="2"/>
    </row>
    <row r="206" spans="4:4">
      <c r="D206" s="2"/>
    </row>
    <row r="207" spans="4:4">
      <c r="D207" s="2"/>
    </row>
    <row r="208" spans="4:4">
      <c r="D208" s="2"/>
    </row>
    <row r="209" spans="4:4">
      <c r="D209" s="2"/>
    </row>
    <row r="210" spans="4:4">
      <c r="D210" s="2"/>
    </row>
    <row r="211" spans="4:4">
      <c r="D211" s="2"/>
    </row>
    <row r="212" spans="4:4">
      <c r="D212" s="2"/>
    </row>
    <row r="213" spans="4:4">
      <c r="D213" s="2"/>
    </row>
    <row r="214" spans="4:4">
      <c r="D214" s="2"/>
    </row>
    <row r="215" spans="4:4">
      <c r="D215" s="2"/>
    </row>
    <row r="216" spans="4:4">
      <c r="D216" s="2"/>
    </row>
    <row r="217" spans="4:4">
      <c r="D217" s="2"/>
    </row>
    <row r="218" spans="4:4">
      <c r="D218" s="2"/>
    </row>
    <row r="219" spans="4:4">
      <c r="D219" s="2"/>
    </row>
    <row r="220" spans="4:4">
      <c r="D220" s="2"/>
    </row>
    <row r="221" spans="4:4">
      <c r="D221" s="2"/>
    </row>
    <row r="222" spans="4:4">
      <c r="D222" s="2"/>
    </row>
    <row r="223" spans="4:4">
      <c r="D223" s="2"/>
    </row>
    <row r="224" spans="4:4">
      <c r="D224" s="2"/>
    </row>
    <row r="225" spans="4:4">
      <c r="D225" s="2"/>
    </row>
    <row r="226" spans="4:4">
      <c r="D226" s="2"/>
    </row>
    <row r="227" spans="4:4">
      <c r="D227" s="2"/>
    </row>
    <row r="228" spans="4:4">
      <c r="D228" s="2"/>
    </row>
    <row r="229" spans="4:4">
      <c r="D229" s="2"/>
    </row>
    <row r="230" spans="4:4">
      <c r="D230" s="2"/>
    </row>
    <row r="231" spans="4:4">
      <c r="D231" s="2"/>
    </row>
  </sheetData>
  <pageMargins left="0.75" right="0.75" top="1" bottom="1" header="0.5" footer="0.5"/>
  <pageSetup scale="36"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52555-6F3C-453B-9DF3-8BE01B7CAA03}">
  <sheetPr>
    <tabColor rgb="FFFF0000"/>
  </sheetPr>
  <dimension ref="A1:I222"/>
  <sheetViews>
    <sheetView showGridLines="0" zoomScaleNormal="100" zoomScaleSheetLayoutView="115" workbookViewId="0">
      <pane ySplit="6" topLeftCell="A43" activePane="bottomLeft" state="frozen"/>
      <selection activeCell="I10" sqref="I10"/>
      <selection pane="bottomLeft" activeCell="C40" sqref="C40"/>
    </sheetView>
  </sheetViews>
  <sheetFormatPr defaultColWidth="7.5546875" defaultRowHeight="13.8"/>
  <cols>
    <col min="1" max="1" width="2.33203125" style="1" customWidth="1"/>
    <col min="2" max="2" width="52.44140625" style="1" bestFit="1" customWidth="1"/>
    <col min="3" max="17" width="14.109375" style="1" customWidth="1"/>
    <col min="18" max="16384" width="7.5546875" style="1"/>
  </cols>
  <sheetData>
    <row r="1" spans="1:9" ht="14.4">
      <c r="A1" s="6"/>
      <c r="B1" s="8"/>
      <c r="C1" s="8"/>
      <c r="D1" s="6"/>
      <c r="E1" s="6"/>
      <c r="F1" s="6"/>
      <c r="G1" s="6"/>
      <c r="H1" s="4"/>
    </row>
    <row r="2" spans="1:9" ht="18">
      <c r="A2" s="6"/>
      <c r="B2" s="139" t="s">
        <v>162</v>
      </c>
      <c r="C2" s="8"/>
      <c r="D2" s="11"/>
      <c r="E2" s="8"/>
      <c r="F2" s="8"/>
      <c r="G2" s="6"/>
      <c r="H2" s="4"/>
    </row>
    <row r="3" spans="1:9" ht="18">
      <c r="A3" s="6"/>
      <c r="B3" s="140" t="s">
        <v>7</v>
      </c>
      <c r="C3" s="8"/>
      <c r="D3" s="6"/>
      <c r="E3" s="6"/>
      <c r="F3" s="6"/>
      <c r="G3" s="6"/>
      <c r="H3" s="4"/>
    </row>
    <row r="4" spans="1:9" ht="14.4">
      <c r="A4" s="6"/>
      <c r="B4" s="5"/>
      <c r="C4" s="8"/>
      <c r="D4" s="6"/>
      <c r="E4" s="6"/>
      <c r="F4" s="10"/>
      <c r="G4" s="10"/>
      <c r="H4" s="4"/>
    </row>
    <row r="5" spans="1:9" ht="14.4">
      <c r="A5" s="6"/>
      <c r="B5" s="9"/>
      <c r="C5" s="8"/>
      <c r="D5" s="6"/>
      <c r="E5" s="6"/>
      <c r="F5" s="7"/>
      <c r="G5" s="7"/>
      <c r="H5" s="4"/>
    </row>
    <row r="6" spans="1:9" customFormat="1" ht="18">
      <c r="B6" s="137" t="s">
        <v>6</v>
      </c>
      <c r="C6" s="138">
        <v>2019</v>
      </c>
      <c r="D6" s="138">
        <f>C6+1</f>
        <v>2020</v>
      </c>
      <c r="E6" s="138">
        <f t="shared" ref="E6:I6" si="0">D6+1</f>
        <v>2021</v>
      </c>
      <c r="F6" s="138">
        <f t="shared" si="0"/>
        <v>2022</v>
      </c>
      <c r="G6" s="138">
        <f t="shared" si="0"/>
        <v>2023</v>
      </c>
      <c r="H6" s="138">
        <f t="shared" si="0"/>
        <v>2024</v>
      </c>
      <c r="I6" s="138">
        <f t="shared" si="0"/>
        <v>2025</v>
      </c>
    </row>
    <row r="7" spans="1:9" customFormat="1" ht="14.4">
      <c r="B7" s="20" t="s">
        <v>200</v>
      </c>
    </row>
    <row r="8" spans="1:9" customFormat="1" ht="14.4">
      <c r="B8" t="s">
        <v>201</v>
      </c>
      <c r="C8" s="133">
        <v>38684</v>
      </c>
      <c r="D8" s="133">
        <v>39238</v>
      </c>
      <c r="E8" s="133">
        <v>46321</v>
      </c>
      <c r="F8" s="133">
        <v>51548</v>
      </c>
      <c r="G8" s="133">
        <v>59549</v>
      </c>
      <c r="H8" s="133">
        <v>60966</v>
      </c>
      <c r="I8" s="133">
        <v>62288</v>
      </c>
    </row>
    <row r="9" spans="1:9" customFormat="1" ht="14.4">
      <c r="B9" t="s">
        <v>203</v>
      </c>
      <c r="C9" s="133">
        <v>626</v>
      </c>
      <c r="D9" s="133">
        <v>545</v>
      </c>
      <c r="E9" s="133">
        <v>707</v>
      </c>
      <c r="F9" s="133">
        <v>898</v>
      </c>
      <c r="G9" s="133">
        <v>1031</v>
      </c>
      <c r="H9" s="133">
        <v>930</v>
      </c>
      <c r="I9" s="133">
        <v>833</v>
      </c>
    </row>
    <row r="10" spans="1:9" customFormat="1" ht="14.4">
      <c r="B10" s="135" t="s">
        <v>202</v>
      </c>
      <c r="C10" s="136">
        <f>SUM(C8:C9)</f>
        <v>39310</v>
      </c>
      <c r="D10" s="136">
        <f t="shared" ref="D10:I10" si="1">SUM(D8:D9)</f>
        <v>39783</v>
      </c>
      <c r="E10" s="136">
        <f t="shared" si="1"/>
        <v>47028</v>
      </c>
      <c r="F10" s="136">
        <f t="shared" si="1"/>
        <v>52446</v>
      </c>
      <c r="G10" s="136">
        <f t="shared" si="1"/>
        <v>60580</v>
      </c>
      <c r="H10" s="136">
        <f t="shared" si="1"/>
        <v>61896</v>
      </c>
      <c r="I10" s="136">
        <f t="shared" si="1"/>
        <v>63121</v>
      </c>
    </row>
    <row r="11" spans="1:9" customFormat="1" ht="14.4">
      <c r="B11" t="s">
        <v>204</v>
      </c>
      <c r="C11" s="133">
        <v>550</v>
      </c>
      <c r="D11" s="133">
        <v>632</v>
      </c>
      <c r="E11" s="133">
        <v>410</v>
      </c>
      <c r="F11" s="133">
        <v>258</v>
      </c>
      <c r="G11" s="133">
        <v>512</v>
      </c>
      <c r="H11" s="133">
        <v>811</v>
      </c>
      <c r="I11" s="133">
        <v>1017</v>
      </c>
    </row>
    <row r="12" spans="1:9" customFormat="1" ht="14.4">
      <c r="B12" t="s">
        <v>205</v>
      </c>
      <c r="C12" s="133">
        <f>SUM(C10:C11)</f>
        <v>39860</v>
      </c>
      <c r="D12" s="133">
        <f t="shared" ref="D12:I12" si="2">SUM(D10:D11)</f>
        <v>40415</v>
      </c>
      <c r="E12" s="133">
        <f t="shared" si="2"/>
        <v>47438</v>
      </c>
      <c r="F12" s="133">
        <f t="shared" si="2"/>
        <v>52704</v>
      </c>
      <c r="G12" s="133">
        <f t="shared" si="2"/>
        <v>61092</v>
      </c>
      <c r="H12" s="133">
        <f t="shared" si="2"/>
        <v>62707</v>
      </c>
      <c r="I12" s="133">
        <f t="shared" si="2"/>
        <v>64138</v>
      </c>
    </row>
    <row r="13" spans="1:9" customFormat="1" ht="14.4">
      <c r="C13" s="133"/>
      <c r="D13" s="133"/>
      <c r="E13" s="133"/>
      <c r="F13" s="133"/>
      <c r="G13" s="133"/>
      <c r="H13" s="133"/>
      <c r="I13" s="133"/>
    </row>
    <row r="14" spans="1:9" customFormat="1" ht="14.4">
      <c r="B14" s="20" t="s">
        <v>206</v>
      </c>
      <c r="C14" s="133"/>
      <c r="D14" s="133"/>
      <c r="E14" s="133"/>
      <c r="F14" s="133"/>
      <c r="G14" s="133"/>
      <c r="H14" s="133"/>
      <c r="I14" s="133"/>
    </row>
    <row r="15" spans="1:9" customFormat="1" ht="14.4">
      <c r="B15" s="20"/>
      <c r="C15" s="133"/>
      <c r="D15" s="133"/>
      <c r="E15" s="133"/>
      <c r="F15" s="133"/>
      <c r="G15" s="133"/>
      <c r="H15" s="133"/>
      <c r="I15" s="133"/>
    </row>
    <row r="16" spans="1:9" customFormat="1" ht="14.4">
      <c r="B16" s="20" t="s">
        <v>227</v>
      </c>
      <c r="C16" s="133"/>
      <c r="D16" s="133"/>
      <c r="E16" s="133"/>
      <c r="F16" s="133"/>
      <c r="G16" s="133"/>
      <c r="H16" s="133"/>
      <c r="I16" s="133"/>
    </row>
    <row r="17" spans="2:9" customFormat="1" ht="14.4">
      <c r="B17" t="s">
        <v>207</v>
      </c>
      <c r="C17" s="133">
        <v>13707</v>
      </c>
      <c r="D17" s="133">
        <v>11976</v>
      </c>
      <c r="E17" s="133">
        <v>15432</v>
      </c>
      <c r="F17" s="133">
        <v>16446</v>
      </c>
      <c r="G17" s="133">
        <v>20212</v>
      </c>
      <c r="H17" s="133">
        <v>19257</v>
      </c>
      <c r="I17" s="133">
        <v>19458</v>
      </c>
    </row>
    <row r="18" spans="2:9" customFormat="1" ht="14.4">
      <c r="B18" t="s">
        <v>208</v>
      </c>
      <c r="C18" s="133">
        <v>4755</v>
      </c>
      <c r="D18" s="133">
        <v>6391</v>
      </c>
      <c r="E18" s="133">
        <v>7121</v>
      </c>
      <c r="F18" s="133">
        <v>9311</v>
      </c>
      <c r="G18" s="133">
        <v>11579</v>
      </c>
      <c r="H18" s="133">
        <v>10514</v>
      </c>
      <c r="I18" s="133">
        <v>11273</v>
      </c>
    </row>
    <row r="19" spans="2:9" customFormat="1" ht="14.4">
      <c r="B19" t="s">
        <v>209</v>
      </c>
      <c r="C19" s="133">
        <v>12</v>
      </c>
      <c r="D19" s="133">
        <v>-108</v>
      </c>
      <c r="E19" s="133">
        <v>-405</v>
      </c>
      <c r="F19" s="133">
        <v>-22</v>
      </c>
      <c r="G19" s="133">
        <v>-75</v>
      </c>
      <c r="H19" s="133">
        <v>-11</v>
      </c>
      <c r="I19" s="133">
        <v>-153</v>
      </c>
    </row>
    <row r="20" spans="2:9" customFormat="1" ht="14.4">
      <c r="B20" s="20" t="s">
        <v>228</v>
      </c>
      <c r="C20" s="133"/>
      <c r="D20" s="133"/>
      <c r="E20" s="133"/>
      <c r="F20" s="133"/>
      <c r="G20" s="133"/>
      <c r="H20" s="133"/>
      <c r="I20" s="133"/>
    </row>
    <row r="21" spans="2:9" customFormat="1" ht="14.4">
      <c r="C21" s="133"/>
      <c r="D21" s="133"/>
      <c r="E21" s="133"/>
      <c r="F21" s="133"/>
      <c r="G21" s="133"/>
      <c r="H21" s="133"/>
      <c r="I21" s="133"/>
    </row>
    <row r="22" spans="2:9" customFormat="1" ht="14.4">
      <c r="B22" s="20" t="s">
        <v>3</v>
      </c>
      <c r="C22" s="133"/>
      <c r="D22" s="133"/>
      <c r="E22" s="133"/>
      <c r="F22" s="133"/>
      <c r="G22" s="133"/>
      <c r="H22" s="133"/>
      <c r="I22" s="133"/>
    </row>
    <row r="23" spans="2:9" customFormat="1" ht="14.4">
      <c r="C23" s="133"/>
      <c r="D23" s="133"/>
      <c r="E23" s="133"/>
      <c r="F23" s="133"/>
      <c r="G23" s="133"/>
      <c r="H23" s="133"/>
      <c r="I23" s="133"/>
    </row>
    <row r="24" spans="2:9" customFormat="1" ht="14.4">
      <c r="B24" s="20" t="s">
        <v>229</v>
      </c>
      <c r="C24" s="133"/>
      <c r="D24" s="133"/>
      <c r="E24" s="133"/>
      <c r="F24" s="133"/>
      <c r="G24" s="133"/>
      <c r="H24" s="133"/>
      <c r="I24" s="133"/>
    </row>
    <row r="25" spans="2:9" customFormat="1" ht="14.4">
      <c r="B25" t="s">
        <v>210</v>
      </c>
      <c r="C25" s="133">
        <v>1875</v>
      </c>
      <c r="D25" s="133">
        <v>1820</v>
      </c>
      <c r="E25" s="133">
        <v>2358</v>
      </c>
      <c r="F25" s="133">
        <v>2545</v>
      </c>
      <c r="G25" s="133">
        <v>2854</v>
      </c>
      <c r="H25" s="133">
        <v>3009</v>
      </c>
      <c r="I25" s="133">
        <v>3077</v>
      </c>
    </row>
    <row r="26" spans="2:9" customFormat="1" ht="14.4">
      <c r="B26" t="s">
        <v>211</v>
      </c>
      <c r="C26" s="133">
        <v>10081</v>
      </c>
      <c r="D26" s="133">
        <v>9843</v>
      </c>
      <c r="E26" s="133">
        <v>10896</v>
      </c>
      <c r="F26" s="133">
        <v>11309</v>
      </c>
      <c r="G26" s="133">
        <v>11861</v>
      </c>
      <c r="H26" s="133">
        <v>14464</v>
      </c>
      <c r="I26" s="133">
        <v>14615</v>
      </c>
    </row>
    <row r="27" spans="2:9" customFormat="1" ht="14.4">
      <c r="B27" s="20" t="s">
        <v>230</v>
      </c>
      <c r="C27" s="133">
        <v>31028</v>
      </c>
      <c r="D27" s="133">
        <v>31042</v>
      </c>
      <c r="E27" s="133">
        <v>36593</v>
      </c>
      <c r="F27" s="133">
        <v>40786</v>
      </c>
      <c r="G27" s="133">
        <v>47682</v>
      </c>
      <c r="H27" s="133">
        <v>48783</v>
      </c>
      <c r="I27" s="133">
        <v>50020</v>
      </c>
    </row>
    <row r="29" spans="2:9">
      <c r="B29" s="3" t="s">
        <v>63</v>
      </c>
    </row>
    <row r="30" spans="2:9">
      <c r="B30" s="3"/>
    </row>
    <row r="31" spans="2:9" customFormat="1" ht="14.4">
      <c r="B31" t="s">
        <v>55</v>
      </c>
      <c r="C31" s="133">
        <v>565</v>
      </c>
      <c r="D31" s="133">
        <v>1002</v>
      </c>
      <c r="E31" s="133">
        <v>1074</v>
      </c>
      <c r="F31" s="133">
        <v>1091</v>
      </c>
      <c r="G31" s="133">
        <v>1137</v>
      </c>
      <c r="H31" s="133">
        <v>1216</v>
      </c>
      <c r="I31" s="133">
        <v>1355</v>
      </c>
    </row>
    <row r="32" spans="2:9" customFormat="1" ht="14.4">
      <c r="B32" s="3" t="s">
        <v>112</v>
      </c>
      <c r="C32" s="133"/>
      <c r="D32" s="133"/>
      <c r="E32" s="133"/>
      <c r="F32" s="133"/>
      <c r="G32" s="133"/>
      <c r="H32" s="133"/>
      <c r="I32" s="133"/>
    </row>
    <row r="33" spans="2:9" customFormat="1" ht="14.4">
      <c r="C33" s="133"/>
      <c r="D33" s="133"/>
      <c r="E33" s="133"/>
      <c r="F33" s="133"/>
      <c r="G33" s="133"/>
      <c r="H33" s="133"/>
      <c r="I33" s="133"/>
    </row>
    <row r="34" spans="2:9" customFormat="1" ht="14.4">
      <c r="B34" t="s">
        <v>231</v>
      </c>
      <c r="C34" s="133">
        <v>33</v>
      </c>
      <c r="D34" s="133">
        <v>118</v>
      </c>
      <c r="E34" s="133">
        <v>117</v>
      </c>
      <c r="F34" s="133">
        <v>106</v>
      </c>
      <c r="G34" s="133">
        <v>114</v>
      </c>
      <c r="H34" s="133">
        <v>334</v>
      </c>
      <c r="I34" s="133">
        <v>395</v>
      </c>
    </row>
    <row r="35" spans="2:9" customFormat="1" ht="14.4">
      <c r="B35" t="s">
        <v>233</v>
      </c>
      <c r="C35" s="133">
        <v>550</v>
      </c>
      <c r="D35" s="133">
        <v>632</v>
      </c>
      <c r="E35" s="133">
        <v>410</v>
      </c>
      <c r="F35" s="133">
        <v>258</v>
      </c>
      <c r="G35" s="133">
        <v>512</v>
      </c>
      <c r="H35" s="133">
        <v>811</v>
      </c>
      <c r="I35" s="133">
        <v>1017</v>
      </c>
    </row>
    <row r="36" spans="2:9" customFormat="1" ht="14.4">
      <c r="B36" s="3" t="s">
        <v>232</v>
      </c>
      <c r="C36" s="133">
        <v>8832</v>
      </c>
      <c r="D36" s="133">
        <v>9373</v>
      </c>
      <c r="E36" s="133">
        <v>10845</v>
      </c>
      <c r="F36" s="133">
        <v>11918</v>
      </c>
      <c r="G36" s="133">
        <v>13410</v>
      </c>
      <c r="H36" s="133">
        <v>13924</v>
      </c>
      <c r="I36" s="133">
        <v>14118</v>
      </c>
    </row>
    <row r="37" spans="2:9" customFormat="1" ht="14.4">
      <c r="C37" s="133"/>
      <c r="D37" s="133"/>
      <c r="E37" s="133"/>
      <c r="F37" s="133"/>
      <c r="G37" s="133"/>
      <c r="H37" s="133"/>
      <c r="I37" s="133"/>
    </row>
    <row r="38" spans="2:9" customFormat="1" ht="14.4">
      <c r="B38" t="s">
        <v>212</v>
      </c>
      <c r="C38" s="1"/>
      <c r="D38" s="1"/>
      <c r="E38" s="1"/>
      <c r="F38" s="1"/>
      <c r="G38" s="1"/>
      <c r="H38" s="1"/>
      <c r="I38" s="1"/>
    </row>
    <row r="39" spans="2:9" customFormat="1" ht="14.4">
      <c r="B39" t="s">
        <v>213</v>
      </c>
      <c r="C39" s="133">
        <v>-228</v>
      </c>
      <c r="D39" s="133">
        <v>-200</v>
      </c>
      <c r="E39" s="133">
        <v>-239</v>
      </c>
      <c r="F39" s="133">
        <v>-44</v>
      </c>
      <c r="G39" s="133">
        <v>-64</v>
      </c>
      <c r="H39" s="133">
        <v>6</v>
      </c>
      <c r="I39" s="133">
        <v>305</v>
      </c>
    </row>
    <row r="40" spans="2:9" customFormat="1" ht="14.4">
      <c r="B40" t="s">
        <v>214</v>
      </c>
      <c r="C40" s="133">
        <v>8604</v>
      </c>
      <c r="D40" s="133">
        <v>9173</v>
      </c>
      <c r="E40" s="133">
        <v>10606</v>
      </c>
      <c r="F40" s="133">
        <v>11874</v>
      </c>
      <c r="G40" s="133">
        <v>13346</v>
      </c>
      <c r="H40" s="133">
        <v>13930</v>
      </c>
      <c r="I40" s="133">
        <v>14423</v>
      </c>
    </row>
    <row r="41" spans="2:9" customFormat="1" ht="14.4">
      <c r="B41" t="s">
        <v>215</v>
      </c>
      <c r="C41" s="133"/>
      <c r="D41" s="133"/>
      <c r="E41" s="133"/>
      <c r="F41" s="133"/>
      <c r="G41" s="133"/>
      <c r="H41" s="133"/>
      <c r="I41" s="133"/>
    </row>
    <row r="42" spans="2:9" customFormat="1" ht="14.4">
      <c r="B42" t="s">
        <v>216</v>
      </c>
      <c r="C42" s="133">
        <v>2610</v>
      </c>
      <c r="D42" s="133">
        <v>2243</v>
      </c>
      <c r="E42" s="133">
        <v>2520</v>
      </c>
      <c r="F42" s="133">
        <v>2840</v>
      </c>
      <c r="G42" s="133">
        <v>3001</v>
      </c>
      <c r="H42" s="133">
        <v>3521</v>
      </c>
      <c r="I42" s="133">
        <v>3620</v>
      </c>
    </row>
    <row r="43" spans="2:9" customFormat="1" ht="14.4">
      <c r="B43" t="s">
        <v>217</v>
      </c>
      <c r="C43" s="133">
        <v>-66</v>
      </c>
      <c r="D43" s="133">
        <v>166</v>
      </c>
      <c r="E43" s="133">
        <v>86</v>
      </c>
      <c r="F43" s="133">
        <v>147</v>
      </c>
      <c r="G43" s="133">
        <v>200</v>
      </c>
      <c r="H43" s="133">
        <v>123</v>
      </c>
      <c r="I43" s="133">
        <v>124</v>
      </c>
    </row>
    <row r="44" spans="2:9" customFormat="1" ht="14.4">
      <c r="B44" t="s">
        <v>218</v>
      </c>
      <c r="C44" s="133">
        <v>2544</v>
      </c>
      <c r="D44" s="133">
        <v>2409</v>
      </c>
      <c r="E44" s="133">
        <v>2606</v>
      </c>
      <c r="F44" s="133">
        <v>2987</v>
      </c>
      <c r="G44" s="133">
        <v>3201</v>
      </c>
      <c r="H44" s="133">
        <v>3644</v>
      </c>
      <c r="I44" s="133">
        <v>3744</v>
      </c>
    </row>
    <row r="45" spans="2:9" customFormat="1" ht="14.4">
      <c r="B45" t="s">
        <v>219</v>
      </c>
      <c r="C45" s="133">
        <v>6060</v>
      </c>
      <c r="D45" s="133">
        <v>6764</v>
      </c>
      <c r="E45" s="133">
        <v>8000</v>
      </c>
      <c r="F45" s="133">
        <v>8887</v>
      </c>
      <c r="G45" s="133">
        <v>10145</v>
      </c>
      <c r="H45" s="133">
        <v>10286</v>
      </c>
      <c r="I45" s="133">
        <v>10679</v>
      </c>
    </row>
    <row r="46" spans="2:9" customFormat="1" ht="14.4">
      <c r="B46" t="s">
        <v>220</v>
      </c>
      <c r="C46" s="133">
        <v>6060</v>
      </c>
      <c r="D46" s="133">
        <v>6764</v>
      </c>
      <c r="E46" s="133">
        <v>8000</v>
      </c>
      <c r="F46" s="133">
        <v>8887</v>
      </c>
      <c r="G46" s="133">
        <v>10145</v>
      </c>
      <c r="H46" s="133">
        <v>10286</v>
      </c>
      <c r="I46" s="133">
        <v>10679</v>
      </c>
    </row>
    <row r="47" spans="2:9" customFormat="1" ht="14.4">
      <c r="B47" t="s">
        <v>221</v>
      </c>
      <c r="C47" s="133">
        <v>0</v>
      </c>
      <c r="D47" s="133">
        <v>-6</v>
      </c>
      <c r="E47" s="133">
        <v>-1</v>
      </c>
      <c r="F47" s="133">
        <v>3</v>
      </c>
      <c r="G47" s="133">
        <v>-1</v>
      </c>
      <c r="H47" s="133">
        <v>0</v>
      </c>
      <c r="I47" s="133">
        <v>0</v>
      </c>
    </row>
    <row r="48" spans="2:9" customFormat="1" ht="14.4">
      <c r="B48" t="s">
        <v>222</v>
      </c>
      <c r="C48" s="133">
        <v>0</v>
      </c>
      <c r="D48" s="133">
        <v>2</v>
      </c>
      <c r="E48" s="133">
        <v>0</v>
      </c>
      <c r="F48" s="133">
        <v>-2</v>
      </c>
      <c r="G48" s="133">
        <v>0</v>
      </c>
      <c r="H48" s="133">
        <v>0</v>
      </c>
      <c r="I48" s="133">
        <v>0</v>
      </c>
    </row>
    <row r="49" spans="2:9" customFormat="1" ht="14.4">
      <c r="B49" t="s">
        <v>223</v>
      </c>
      <c r="C49" s="133">
        <v>0</v>
      </c>
      <c r="D49" s="133">
        <v>-8</v>
      </c>
      <c r="E49" s="133">
        <v>-1</v>
      </c>
      <c r="F49" s="133">
        <v>5</v>
      </c>
      <c r="G49" s="133">
        <v>-1</v>
      </c>
      <c r="H49" s="133">
        <v>0</v>
      </c>
      <c r="I49" s="133">
        <v>0</v>
      </c>
    </row>
    <row r="50" spans="2:9" customFormat="1" ht="14.4">
      <c r="B50" t="s">
        <v>224</v>
      </c>
      <c r="C50" s="133">
        <v>6060</v>
      </c>
      <c r="D50" s="133">
        <v>6756</v>
      </c>
      <c r="E50" s="133">
        <v>7999</v>
      </c>
      <c r="F50" s="133">
        <v>8892</v>
      </c>
      <c r="G50" s="133">
        <v>10144</v>
      </c>
      <c r="H50" s="133">
        <v>10286</v>
      </c>
      <c r="I50" s="133">
        <v>10679</v>
      </c>
    </row>
    <row r="51" spans="2:9" customFormat="1" ht="14.4">
      <c r="B51" t="s">
        <v>166</v>
      </c>
      <c r="C51" s="133">
        <v>-6</v>
      </c>
      <c r="D51" s="133">
        <v>-8</v>
      </c>
      <c r="E51" s="133">
        <v>-4</v>
      </c>
      <c r="F51" s="133">
        <v>-13</v>
      </c>
      <c r="G51" s="133">
        <v>-23</v>
      </c>
      <c r="H51" s="133">
        <v>-5</v>
      </c>
      <c r="I51" s="133">
        <v>-22</v>
      </c>
    </row>
    <row r="52" spans="2:9" customFormat="1" ht="14.4">
      <c r="B52" t="s">
        <v>225</v>
      </c>
      <c r="C52" s="133">
        <v>0</v>
      </c>
      <c r="D52" s="133">
        <v>0</v>
      </c>
      <c r="E52" s="133">
        <v>0</v>
      </c>
      <c r="F52" s="133">
        <v>0</v>
      </c>
      <c r="G52" s="133">
        <v>-1</v>
      </c>
      <c r="H52" s="133">
        <v>-4</v>
      </c>
      <c r="I52" s="133">
        <v>-8</v>
      </c>
    </row>
    <row r="53" spans="2:9" customFormat="1" ht="14.4">
      <c r="B53" t="s">
        <v>226</v>
      </c>
      <c r="C53" s="133">
        <v>6054</v>
      </c>
      <c r="D53" s="133">
        <v>6748</v>
      </c>
      <c r="E53" s="133">
        <v>7995</v>
      </c>
      <c r="F53" s="133">
        <v>8879</v>
      </c>
      <c r="G53" s="133">
        <v>10120</v>
      </c>
      <c r="H53" s="133">
        <v>10277</v>
      </c>
      <c r="I53" s="133">
        <v>10649</v>
      </c>
    </row>
    <row r="54" spans="2:9">
      <c r="D54" s="2"/>
    </row>
    <row r="55" spans="2:9">
      <c r="D55" s="2"/>
    </row>
    <row r="56" spans="2:9">
      <c r="D56" s="2"/>
    </row>
    <row r="57" spans="2:9">
      <c r="D57" s="2"/>
    </row>
    <row r="58" spans="2:9">
      <c r="D58" s="2"/>
    </row>
    <row r="59" spans="2:9">
      <c r="D59" s="2"/>
    </row>
    <row r="60" spans="2:9">
      <c r="D60" s="2"/>
    </row>
    <row r="61" spans="2:9">
      <c r="D61" s="2"/>
    </row>
    <row r="62" spans="2:9">
      <c r="D62" s="2"/>
    </row>
    <row r="63" spans="2:9">
      <c r="D63" s="2"/>
    </row>
    <row r="64" spans="2:9">
      <c r="D64" s="2"/>
    </row>
    <row r="65" spans="4:4">
      <c r="D65" s="2"/>
    </row>
    <row r="66" spans="4:4">
      <c r="D66" s="2"/>
    </row>
    <row r="67" spans="4:4">
      <c r="D67" s="2"/>
    </row>
    <row r="68" spans="4:4">
      <c r="D68" s="2"/>
    </row>
    <row r="69" spans="4:4">
      <c r="D69" s="2"/>
    </row>
    <row r="70" spans="4:4">
      <c r="D70" s="2"/>
    </row>
    <row r="71" spans="4:4">
      <c r="D71" s="2"/>
    </row>
    <row r="72" spans="4:4">
      <c r="D72" s="2"/>
    </row>
    <row r="73" spans="4:4">
      <c r="D73" s="2"/>
    </row>
    <row r="74" spans="4:4">
      <c r="D74" s="2"/>
    </row>
    <row r="75" spans="4:4">
      <c r="D75" s="2"/>
    </row>
    <row r="76" spans="4:4">
      <c r="D76" s="2"/>
    </row>
    <row r="77" spans="4:4">
      <c r="D77" s="2"/>
    </row>
    <row r="78" spans="4:4">
      <c r="D78" s="2"/>
    </row>
    <row r="79" spans="4:4">
      <c r="D79" s="2"/>
    </row>
    <row r="80" spans="4:4">
      <c r="D80" s="2"/>
    </row>
    <row r="81" spans="4:4">
      <c r="D81" s="2"/>
    </row>
    <row r="82" spans="4:4">
      <c r="D82" s="2"/>
    </row>
    <row r="83" spans="4:4">
      <c r="D83" s="2"/>
    </row>
    <row r="84" spans="4:4">
      <c r="D84" s="2"/>
    </row>
    <row r="85" spans="4:4">
      <c r="D85" s="2"/>
    </row>
    <row r="86" spans="4:4">
      <c r="D86" s="2"/>
    </row>
    <row r="87" spans="4:4">
      <c r="D87" s="2"/>
    </row>
    <row r="88" spans="4:4">
      <c r="D88" s="2"/>
    </row>
    <row r="89" spans="4:4">
      <c r="D89" s="2"/>
    </row>
    <row r="90" spans="4:4">
      <c r="D90" s="2"/>
    </row>
    <row r="91" spans="4:4">
      <c r="D91" s="2"/>
    </row>
    <row r="92" spans="4:4">
      <c r="D92" s="2"/>
    </row>
    <row r="93" spans="4:4">
      <c r="D93" s="2"/>
    </row>
    <row r="94" spans="4:4">
      <c r="D94" s="2"/>
    </row>
    <row r="95" spans="4:4">
      <c r="D95" s="2"/>
    </row>
    <row r="96" spans="4:4">
      <c r="D96" s="2"/>
    </row>
    <row r="97" spans="4:4">
      <c r="D97" s="2"/>
    </row>
    <row r="98" spans="4:4">
      <c r="D98" s="2"/>
    </row>
    <row r="99" spans="4:4">
      <c r="D99" s="2"/>
    </row>
    <row r="100" spans="4:4">
      <c r="D100" s="2"/>
    </row>
    <row r="101" spans="4:4">
      <c r="D101" s="2"/>
    </row>
    <row r="102" spans="4:4">
      <c r="D102" s="2"/>
    </row>
    <row r="103" spans="4:4">
      <c r="D103" s="2"/>
    </row>
    <row r="104" spans="4:4">
      <c r="D104" s="2"/>
    </row>
    <row r="105" spans="4:4">
      <c r="D105" s="2"/>
    </row>
    <row r="106" spans="4:4">
      <c r="D106" s="2"/>
    </row>
    <row r="107" spans="4:4">
      <c r="D107" s="2"/>
    </row>
    <row r="108" spans="4:4">
      <c r="D108" s="2"/>
    </row>
    <row r="109" spans="4:4">
      <c r="D109" s="2"/>
    </row>
    <row r="110" spans="4:4">
      <c r="D110" s="2"/>
    </row>
    <row r="111" spans="4:4">
      <c r="D111" s="2"/>
    </row>
    <row r="112" spans="4:4">
      <c r="D112" s="2"/>
    </row>
    <row r="113" spans="4:4">
      <c r="D113" s="2"/>
    </row>
    <row r="114" spans="4:4">
      <c r="D114" s="2"/>
    </row>
    <row r="115" spans="4:4">
      <c r="D115" s="2"/>
    </row>
    <row r="116" spans="4:4">
      <c r="D116" s="2"/>
    </row>
    <row r="117" spans="4:4">
      <c r="D117" s="2"/>
    </row>
    <row r="118" spans="4:4">
      <c r="D118" s="2"/>
    </row>
    <row r="119" spans="4:4">
      <c r="D119" s="2"/>
    </row>
    <row r="120" spans="4:4">
      <c r="D120" s="2"/>
    </row>
    <row r="121" spans="4:4">
      <c r="D121" s="2"/>
    </row>
    <row r="122" spans="4:4">
      <c r="D122" s="2"/>
    </row>
    <row r="123" spans="4:4">
      <c r="D123" s="2"/>
    </row>
    <row r="124" spans="4:4">
      <c r="D124" s="2"/>
    </row>
    <row r="125" spans="4:4">
      <c r="D125" s="2"/>
    </row>
    <row r="126" spans="4:4">
      <c r="D126" s="2"/>
    </row>
    <row r="127" spans="4:4">
      <c r="D127" s="2"/>
    </row>
    <row r="128" spans="4:4">
      <c r="D128" s="2"/>
    </row>
    <row r="129" spans="4:4">
      <c r="D129" s="2"/>
    </row>
    <row r="130" spans="4:4">
      <c r="D130" s="2"/>
    </row>
    <row r="131" spans="4:4">
      <c r="D131" s="2"/>
    </row>
    <row r="132" spans="4:4">
      <c r="D132" s="2"/>
    </row>
    <row r="133" spans="4:4">
      <c r="D133" s="2"/>
    </row>
    <row r="134" spans="4:4">
      <c r="D134" s="2"/>
    </row>
    <row r="135" spans="4:4">
      <c r="D135" s="2"/>
    </row>
    <row r="136" spans="4:4">
      <c r="D136" s="2"/>
    </row>
    <row r="137" spans="4:4">
      <c r="D137" s="2"/>
    </row>
    <row r="138" spans="4:4">
      <c r="D138" s="2"/>
    </row>
    <row r="139" spans="4:4">
      <c r="D139" s="2"/>
    </row>
    <row r="140" spans="4:4">
      <c r="D140" s="2"/>
    </row>
    <row r="141" spans="4:4">
      <c r="D141" s="2"/>
    </row>
    <row r="142" spans="4:4">
      <c r="D142" s="2"/>
    </row>
    <row r="143" spans="4:4">
      <c r="D143" s="2"/>
    </row>
    <row r="144" spans="4:4">
      <c r="D144" s="2"/>
    </row>
    <row r="145" spans="4:4">
      <c r="D145" s="2"/>
    </row>
    <row r="146" spans="4:4">
      <c r="D146" s="2"/>
    </row>
    <row r="147" spans="4:4">
      <c r="D147" s="2"/>
    </row>
    <row r="148" spans="4:4">
      <c r="D148" s="2"/>
    </row>
    <row r="149" spans="4:4">
      <c r="D149" s="2"/>
    </row>
    <row r="150" spans="4:4">
      <c r="D150" s="2"/>
    </row>
    <row r="151" spans="4:4">
      <c r="D151" s="2"/>
    </row>
    <row r="152" spans="4:4">
      <c r="D152" s="2"/>
    </row>
    <row r="153" spans="4:4">
      <c r="D153" s="2"/>
    </row>
    <row r="154" spans="4:4">
      <c r="D154" s="2"/>
    </row>
    <row r="155" spans="4:4">
      <c r="D155" s="2"/>
    </row>
    <row r="156" spans="4:4">
      <c r="D156" s="2"/>
    </row>
    <row r="157" spans="4:4">
      <c r="D157" s="2"/>
    </row>
    <row r="158" spans="4:4">
      <c r="D158" s="2"/>
    </row>
    <row r="159" spans="4:4">
      <c r="D159" s="2"/>
    </row>
    <row r="160" spans="4:4">
      <c r="D160" s="2"/>
    </row>
    <row r="161" spans="4:4">
      <c r="D161" s="2"/>
    </row>
    <row r="162" spans="4:4">
      <c r="D162" s="2"/>
    </row>
    <row r="163" spans="4:4">
      <c r="D163" s="2"/>
    </row>
    <row r="164" spans="4:4">
      <c r="D164" s="2"/>
    </row>
    <row r="165" spans="4:4">
      <c r="D165" s="2"/>
    </row>
    <row r="166" spans="4:4">
      <c r="D166" s="2"/>
    </row>
    <row r="167" spans="4:4">
      <c r="D167" s="2"/>
    </row>
    <row r="168" spans="4:4">
      <c r="D168" s="2"/>
    </row>
    <row r="169" spans="4:4">
      <c r="D169" s="2"/>
    </row>
    <row r="170" spans="4:4">
      <c r="D170" s="2"/>
    </row>
    <row r="171" spans="4:4">
      <c r="D171" s="2"/>
    </row>
    <row r="172" spans="4:4">
      <c r="D172" s="2"/>
    </row>
    <row r="173" spans="4:4">
      <c r="D173" s="2"/>
    </row>
    <row r="174" spans="4:4">
      <c r="D174" s="2"/>
    </row>
    <row r="175" spans="4:4">
      <c r="D175" s="2"/>
    </row>
    <row r="176" spans="4:4">
      <c r="D176" s="2"/>
    </row>
    <row r="177" spans="4:4">
      <c r="D177" s="2"/>
    </row>
    <row r="178" spans="4:4">
      <c r="D178" s="2"/>
    </row>
    <row r="179" spans="4:4">
      <c r="D179" s="2"/>
    </row>
    <row r="180" spans="4:4">
      <c r="D180" s="2"/>
    </row>
    <row r="181" spans="4:4">
      <c r="D181" s="2"/>
    </row>
    <row r="182" spans="4:4">
      <c r="D182" s="2"/>
    </row>
    <row r="183" spans="4:4">
      <c r="D183" s="2"/>
    </row>
    <row r="184" spans="4:4">
      <c r="D184" s="2"/>
    </row>
    <row r="185" spans="4:4">
      <c r="D185" s="2"/>
    </row>
    <row r="186" spans="4:4">
      <c r="D186" s="2"/>
    </row>
    <row r="187" spans="4:4">
      <c r="D187" s="2"/>
    </row>
    <row r="188" spans="4:4">
      <c r="D188" s="2"/>
    </row>
    <row r="189" spans="4:4">
      <c r="D189" s="2"/>
    </row>
    <row r="190" spans="4:4">
      <c r="D190" s="2"/>
    </row>
    <row r="191" spans="4:4">
      <c r="D191" s="2"/>
    </row>
    <row r="192" spans="4:4">
      <c r="D192" s="2"/>
    </row>
    <row r="193" spans="4:4">
      <c r="D193" s="2"/>
    </row>
    <row r="194" spans="4:4">
      <c r="D194" s="2"/>
    </row>
    <row r="195" spans="4:4">
      <c r="D195" s="2"/>
    </row>
    <row r="196" spans="4:4">
      <c r="D196" s="2"/>
    </row>
    <row r="197" spans="4:4">
      <c r="D197" s="2"/>
    </row>
    <row r="198" spans="4:4">
      <c r="D198" s="2"/>
    </row>
    <row r="199" spans="4:4">
      <c r="D199" s="2"/>
    </row>
    <row r="200" spans="4:4">
      <c r="D200" s="2"/>
    </row>
    <row r="201" spans="4:4">
      <c r="D201" s="2"/>
    </row>
    <row r="202" spans="4:4">
      <c r="D202" s="2"/>
    </row>
    <row r="203" spans="4:4">
      <c r="D203" s="2"/>
    </row>
    <row r="204" spans="4:4">
      <c r="D204" s="2"/>
    </row>
    <row r="205" spans="4:4">
      <c r="D205" s="2"/>
    </row>
    <row r="206" spans="4:4">
      <c r="D206" s="2"/>
    </row>
    <row r="207" spans="4:4">
      <c r="D207" s="2"/>
    </row>
    <row r="208" spans="4:4">
      <c r="D208" s="2"/>
    </row>
    <row r="209" spans="4:4">
      <c r="D209" s="2"/>
    </row>
    <row r="210" spans="4:4">
      <c r="D210" s="2"/>
    </row>
    <row r="211" spans="4:4">
      <c r="D211" s="2"/>
    </row>
    <row r="212" spans="4:4">
      <c r="D212" s="2"/>
    </row>
    <row r="213" spans="4:4">
      <c r="D213" s="2"/>
    </row>
    <row r="214" spans="4:4">
      <c r="D214" s="2"/>
    </row>
    <row r="215" spans="4:4">
      <c r="D215" s="2"/>
    </row>
    <row r="216" spans="4:4">
      <c r="D216" s="2"/>
    </row>
    <row r="217" spans="4:4">
      <c r="D217" s="2"/>
    </row>
    <row r="218" spans="4:4">
      <c r="D218" s="2"/>
    </row>
    <row r="219" spans="4:4">
      <c r="D219" s="2"/>
    </row>
    <row r="220" spans="4:4">
      <c r="D220" s="2"/>
    </row>
    <row r="221" spans="4:4">
      <c r="D221" s="2"/>
    </row>
    <row r="222" spans="4:4">
      <c r="D222" s="2"/>
    </row>
  </sheetData>
  <pageMargins left="0.75" right="0.75" top="1" bottom="1" header="0.5" footer="0.5"/>
  <pageSetup scale="36"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24044-E886-46C8-9C41-025F69EE247C}">
  <sheetPr>
    <tabColor rgb="FFFF0000"/>
  </sheetPr>
  <dimension ref="A1:Q208"/>
  <sheetViews>
    <sheetView showGridLines="0" zoomScaleNormal="100" zoomScaleSheetLayoutView="115" workbookViewId="0">
      <pane ySplit="6" topLeftCell="A7" activePane="bottomLeft" state="frozen"/>
      <selection activeCell="I10" sqref="I10"/>
      <selection pane="bottomLeft" activeCell="D20" sqref="D20"/>
    </sheetView>
  </sheetViews>
  <sheetFormatPr defaultColWidth="7.5546875" defaultRowHeight="14.4"/>
  <cols>
    <col min="1" max="1" width="2.33203125" style="11" customWidth="1"/>
    <col min="2" max="2" width="36.21875" style="11" bestFit="1" customWidth="1"/>
    <col min="3" max="3" width="8.77734375" style="11" bestFit="1" customWidth="1"/>
    <col min="4" max="9" width="14.109375" style="11" customWidth="1"/>
    <col min="10" max="15" width="7.5546875" style="116"/>
    <col min="16" max="25" width="14.109375" style="11" customWidth="1"/>
    <col min="26" max="16384" width="7.5546875" style="11"/>
  </cols>
  <sheetData>
    <row r="1" spans="1:17">
      <c r="A1" s="6"/>
      <c r="B1" s="8"/>
      <c r="C1" s="6"/>
      <c r="D1" s="6"/>
      <c r="E1" s="6"/>
      <c r="F1" s="6"/>
      <c r="G1" s="6"/>
      <c r="H1" s="6"/>
      <c r="I1" s="8"/>
    </row>
    <row r="2" spans="1:17" ht="18">
      <c r="A2" s="6"/>
      <c r="B2" s="204" t="s">
        <v>162</v>
      </c>
      <c r="C2" s="6"/>
      <c r="D2" s="6"/>
      <c r="E2" s="6"/>
      <c r="F2" s="8"/>
      <c r="G2" s="8"/>
      <c r="I2" s="8"/>
    </row>
    <row r="3" spans="1:17" ht="18">
      <c r="A3" s="6"/>
      <c r="B3" s="140" t="s">
        <v>21</v>
      </c>
      <c r="C3" s="6"/>
      <c r="D3" s="6"/>
      <c r="E3" s="6"/>
      <c r="F3" s="6"/>
      <c r="G3" s="6"/>
      <c r="H3" s="6"/>
      <c r="I3" s="8"/>
    </row>
    <row r="4" spans="1:17">
      <c r="A4" s="6"/>
      <c r="B4" s="5"/>
      <c r="C4" s="6"/>
      <c r="D4" s="6"/>
      <c r="E4" s="6"/>
      <c r="F4" s="6"/>
      <c r="G4" s="6"/>
      <c r="H4" s="6"/>
      <c r="I4" s="8"/>
    </row>
    <row r="5" spans="1:17">
      <c r="A5" s="6"/>
      <c r="B5" s="116"/>
      <c r="C5" s="6"/>
      <c r="D5" s="116"/>
      <c r="E5" s="116"/>
      <c r="F5" s="116"/>
      <c r="G5" s="116"/>
      <c r="H5" s="116"/>
      <c r="I5" s="116"/>
    </row>
    <row r="6" spans="1:17" ht="15.6">
      <c r="A6" s="6"/>
      <c r="B6" s="143" t="s">
        <v>6</v>
      </c>
      <c r="C6" s="138">
        <v>2019</v>
      </c>
      <c r="D6" s="138">
        <f>C6+1</f>
        <v>2020</v>
      </c>
      <c r="E6" s="138">
        <f t="shared" ref="E6:I6" si="0">D6+1</f>
        <v>2021</v>
      </c>
      <c r="F6" s="138">
        <f t="shared" si="0"/>
        <v>2022</v>
      </c>
      <c r="G6" s="138">
        <f t="shared" si="0"/>
        <v>2023</v>
      </c>
      <c r="H6" s="138">
        <f t="shared" si="0"/>
        <v>2024</v>
      </c>
      <c r="I6" s="138">
        <f t="shared" si="0"/>
        <v>2025</v>
      </c>
    </row>
    <row r="7" spans="1:17">
      <c r="B7" s="115" t="s">
        <v>163</v>
      </c>
      <c r="C7" s="117"/>
      <c r="D7" s="117"/>
      <c r="E7" s="117"/>
      <c r="F7" s="117"/>
      <c r="G7" s="117"/>
      <c r="H7" s="117"/>
      <c r="I7" s="117"/>
      <c r="J7" s="11"/>
      <c r="K7" s="11"/>
      <c r="L7" s="11"/>
      <c r="M7" s="11"/>
      <c r="N7" s="11"/>
      <c r="O7" s="11"/>
    </row>
    <row r="8" spans="1:17">
      <c r="B8" s="115" t="s">
        <v>164</v>
      </c>
      <c r="C8" s="117"/>
      <c r="D8" s="117"/>
      <c r="E8" s="117"/>
      <c r="F8" s="117"/>
      <c r="G8" s="117"/>
      <c r="H8" s="117"/>
      <c r="I8" s="117"/>
      <c r="J8" s="11"/>
      <c r="K8" s="11"/>
      <c r="L8" s="11"/>
      <c r="M8" s="11"/>
      <c r="N8" s="11"/>
      <c r="O8" s="11"/>
    </row>
    <row r="9" spans="1:17">
      <c r="B9" s="118" t="s">
        <v>165</v>
      </c>
      <c r="C9" s="130">
        <v>216</v>
      </c>
      <c r="D9" s="130">
        <v>216</v>
      </c>
      <c r="E9" s="130">
        <v>235</v>
      </c>
      <c r="F9" s="130">
        <v>235</v>
      </c>
      <c r="G9" s="130">
        <v>235</v>
      </c>
      <c r="H9" s="130">
        <v>235</v>
      </c>
      <c r="I9" s="130">
        <v>235</v>
      </c>
      <c r="J9" s="11"/>
      <c r="K9" s="11"/>
      <c r="L9" s="11"/>
      <c r="M9" s="11"/>
      <c r="N9" s="11"/>
      <c r="O9" s="11"/>
    </row>
    <row r="10" spans="1:17">
      <c r="B10" s="118" t="s">
        <v>193</v>
      </c>
      <c r="C10" s="130">
        <v>7651</v>
      </c>
      <c r="D10" s="130">
        <v>8013</v>
      </c>
      <c r="E10" s="130">
        <v>47439</v>
      </c>
      <c r="F10" s="130">
        <v>48826</v>
      </c>
      <c r="G10" s="130">
        <v>50069</v>
      </c>
      <c r="H10" s="130">
        <v>50983</v>
      </c>
      <c r="I10" s="130">
        <v>49167</v>
      </c>
      <c r="J10" s="11"/>
      <c r="K10" s="11"/>
      <c r="L10" s="11"/>
      <c r="M10" s="11"/>
      <c r="N10" s="11"/>
      <c r="O10" s="11"/>
    </row>
    <row r="11" spans="1:17">
      <c r="B11" s="131" t="s">
        <v>194</v>
      </c>
      <c r="C11" s="132">
        <f t="shared" ref="C11:H11" si="1">SUM(C9:C10)</f>
        <v>7867</v>
      </c>
      <c r="D11" s="132">
        <f t="shared" si="1"/>
        <v>8229</v>
      </c>
      <c r="E11" s="132">
        <f t="shared" si="1"/>
        <v>47674</v>
      </c>
      <c r="F11" s="132">
        <f t="shared" si="1"/>
        <v>49061</v>
      </c>
      <c r="G11" s="132">
        <f t="shared" si="1"/>
        <v>50304</v>
      </c>
      <c r="H11" s="132">
        <f t="shared" si="1"/>
        <v>51218</v>
      </c>
      <c r="I11" s="132">
        <f>SUM(I9:I10)</f>
        <v>49402</v>
      </c>
      <c r="J11" s="11"/>
      <c r="K11" s="11"/>
      <c r="L11" s="11"/>
      <c r="M11" s="11"/>
      <c r="N11" s="11"/>
      <c r="O11" s="11"/>
    </row>
    <row r="12" spans="1:17">
      <c r="B12" s="118" t="s">
        <v>166</v>
      </c>
      <c r="C12" s="130">
        <v>18</v>
      </c>
      <c r="D12" s="130">
        <v>17</v>
      </c>
      <c r="E12" s="130">
        <v>20</v>
      </c>
      <c r="F12" s="130">
        <v>26</v>
      </c>
      <c r="G12" s="130">
        <v>218</v>
      </c>
      <c r="H12" s="130">
        <v>205</v>
      </c>
      <c r="I12" s="130">
        <v>207</v>
      </c>
      <c r="J12" s="11"/>
      <c r="K12" s="11"/>
      <c r="L12" s="11"/>
      <c r="M12" s="11"/>
      <c r="N12" s="11"/>
      <c r="O12" s="11"/>
    </row>
    <row r="13" spans="1:17">
      <c r="B13" s="120" t="s">
        <v>195</v>
      </c>
      <c r="C13" s="142">
        <f t="shared" ref="C13:I13" si="2">SUM(C11+C12)</f>
        <v>7885</v>
      </c>
      <c r="D13" s="142">
        <f t="shared" si="2"/>
        <v>8246</v>
      </c>
      <c r="E13" s="142">
        <f t="shared" si="2"/>
        <v>47694</v>
      </c>
      <c r="F13" s="142">
        <f t="shared" si="2"/>
        <v>49087</v>
      </c>
      <c r="G13" s="142">
        <f t="shared" si="2"/>
        <v>50522</v>
      </c>
      <c r="H13" s="142">
        <f t="shared" si="2"/>
        <v>51423</v>
      </c>
      <c r="I13" s="142">
        <f t="shared" si="2"/>
        <v>49609</v>
      </c>
      <c r="J13" s="11"/>
      <c r="K13" s="11"/>
      <c r="L13" s="11"/>
      <c r="M13" s="11"/>
      <c r="N13" s="11"/>
      <c r="O13" s="11"/>
    </row>
    <row r="15" spans="1:17">
      <c r="B15" s="115" t="s">
        <v>167</v>
      </c>
      <c r="C15" s="117"/>
      <c r="D15" s="117"/>
      <c r="E15" s="117"/>
      <c r="F15" s="117"/>
      <c r="G15" s="117"/>
      <c r="H15" s="117"/>
      <c r="I15" s="117"/>
      <c r="J15" s="11"/>
      <c r="K15" s="11"/>
      <c r="L15" s="11"/>
      <c r="M15" s="11"/>
      <c r="N15" s="11"/>
      <c r="O15" s="11"/>
      <c r="P15" s="6"/>
      <c r="Q15" s="6"/>
    </row>
    <row r="16" spans="1:17">
      <c r="B16" s="118" t="s">
        <v>196</v>
      </c>
      <c r="C16" s="117"/>
      <c r="D16" s="117"/>
      <c r="E16" s="117"/>
      <c r="F16" s="117"/>
      <c r="G16" s="117"/>
      <c r="H16" s="117"/>
      <c r="I16" s="117"/>
      <c r="J16" s="11"/>
      <c r="K16" s="11"/>
      <c r="L16" s="11"/>
      <c r="M16" s="11"/>
      <c r="N16" s="11"/>
      <c r="O16" s="11"/>
      <c r="P16" s="6"/>
      <c r="Q16" s="6"/>
    </row>
    <row r="17" spans="2:17">
      <c r="B17" s="121" t="s">
        <v>676</v>
      </c>
      <c r="C17" s="130">
        <v>0</v>
      </c>
      <c r="D17" s="130">
        <v>0</v>
      </c>
      <c r="E17" s="130">
        <v>0</v>
      </c>
      <c r="F17" s="130">
        <v>741</v>
      </c>
      <c r="G17" s="130">
        <v>807</v>
      </c>
      <c r="H17" s="130">
        <v>1106</v>
      </c>
      <c r="I17" s="130">
        <v>1243</v>
      </c>
      <c r="J17" s="11"/>
      <c r="K17" s="11"/>
      <c r="L17" s="11"/>
      <c r="M17" s="11"/>
      <c r="N17" s="11"/>
      <c r="O17" s="11"/>
      <c r="P17" s="6"/>
      <c r="Q17" s="6"/>
    </row>
    <row r="18" spans="2:17">
      <c r="B18" s="121" t="s">
        <v>679</v>
      </c>
      <c r="C18" s="130">
        <v>394</v>
      </c>
      <c r="D18" s="130">
        <v>939</v>
      </c>
      <c r="E18" s="130">
        <v>1027</v>
      </c>
      <c r="F18" s="130">
        <v>357</v>
      </c>
      <c r="G18" s="130">
        <v>860</v>
      </c>
      <c r="H18" s="130">
        <v>715</v>
      </c>
      <c r="I18" s="130">
        <v>680</v>
      </c>
      <c r="J18" s="11"/>
      <c r="K18" s="11"/>
      <c r="L18" s="11"/>
      <c r="M18" s="11"/>
      <c r="N18" s="11"/>
      <c r="O18" s="11"/>
      <c r="P18" s="6"/>
      <c r="Q18" s="6"/>
    </row>
    <row r="19" spans="2:17">
      <c r="B19" s="118" t="s">
        <v>681</v>
      </c>
      <c r="C19" s="130">
        <v>1082</v>
      </c>
      <c r="D19" s="130">
        <v>1227</v>
      </c>
      <c r="E19" s="130">
        <v>1578</v>
      </c>
      <c r="F19" s="130">
        <v>1580</v>
      </c>
      <c r="G19" s="130">
        <v>1363</v>
      </c>
      <c r="H19" s="130">
        <v>1576</v>
      </c>
      <c r="I19" s="130">
        <v>1528</v>
      </c>
      <c r="J19" s="11"/>
      <c r="K19" s="11"/>
      <c r="L19" s="11"/>
      <c r="M19" s="11"/>
      <c r="N19" s="11"/>
      <c r="O19" s="11"/>
    </row>
    <row r="20" spans="2:17">
      <c r="B20" s="118" t="s">
        <v>168</v>
      </c>
      <c r="C20" s="130">
        <v>0</v>
      </c>
      <c r="D20" s="130">
        <v>0</v>
      </c>
      <c r="E20" s="130">
        <v>5988</v>
      </c>
      <c r="F20" s="130">
        <v>6141</v>
      </c>
      <c r="G20" s="130">
        <v>6421</v>
      </c>
      <c r="H20" s="130">
        <v>6557</v>
      </c>
      <c r="I20" s="130">
        <v>6685</v>
      </c>
      <c r="J20" s="11"/>
      <c r="K20" s="11"/>
      <c r="L20" s="11"/>
      <c r="M20" s="11"/>
      <c r="N20" s="11"/>
      <c r="O20" s="11"/>
    </row>
    <row r="21" spans="2:17">
      <c r="B21" s="118" t="s">
        <v>197</v>
      </c>
      <c r="C21" s="130">
        <v>601</v>
      </c>
      <c r="D21" s="130">
        <v>424</v>
      </c>
      <c r="E21" s="130">
        <v>1367</v>
      </c>
      <c r="F21" s="130">
        <v>1331</v>
      </c>
      <c r="G21" s="130">
        <v>1086</v>
      </c>
      <c r="H21" s="130">
        <v>4243</v>
      </c>
      <c r="I21" s="130">
        <v>3598</v>
      </c>
      <c r="J21" s="11"/>
      <c r="K21" s="11"/>
      <c r="L21" s="11"/>
      <c r="M21" s="11"/>
      <c r="N21" s="11"/>
      <c r="O21" s="11"/>
    </row>
    <row r="22" spans="2:17">
      <c r="B22" s="120" t="s">
        <v>8</v>
      </c>
      <c r="C22" s="142">
        <f>SUM(C17:C21)</f>
        <v>2077</v>
      </c>
      <c r="D22" s="142">
        <f t="shared" ref="D22:I22" si="3">SUM(D17:D21)</f>
        <v>2590</v>
      </c>
      <c r="E22" s="142">
        <f t="shared" si="3"/>
        <v>9960</v>
      </c>
      <c r="F22" s="142">
        <f t="shared" si="3"/>
        <v>10150</v>
      </c>
      <c r="G22" s="142">
        <f t="shared" si="3"/>
        <v>10537</v>
      </c>
      <c r="H22" s="142">
        <f t="shared" si="3"/>
        <v>14197</v>
      </c>
      <c r="I22" s="142">
        <f t="shared" si="3"/>
        <v>13734</v>
      </c>
      <c r="J22" s="11"/>
      <c r="K22" s="11"/>
      <c r="L22" s="11"/>
      <c r="M22" s="11"/>
      <c r="N22" s="11"/>
      <c r="O22" s="11"/>
    </row>
    <row r="23" spans="2:17">
      <c r="B23" s="115"/>
      <c r="C23" s="119"/>
      <c r="D23" s="119"/>
      <c r="E23" s="119"/>
      <c r="F23" s="119"/>
      <c r="G23" s="119"/>
      <c r="H23" s="119"/>
      <c r="I23" s="119"/>
      <c r="J23" s="11"/>
      <c r="K23" s="11"/>
      <c r="L23" s="11"/>
      <c r="M23" s="11"/>
      <c r="N23" s="11"/>
      <c r="O23" s="11"/>
    </row>
    <row r="24" spans="2:17">
      <c r="B24" s="115" t="s">
        <v>169</v>
      </c>
      <c r="C24" s="117"/>
      <c r="D24" s="117"/>
      <c r="E24" s="117"/>
      <c r="F24" s="117"/>
      <c r="G24" s="117"/>
      <c r="H24" s="117"/>
      <c r="I24" s="117"/>
      <c r="J24" s="11"/>
      <c r="K24" s="11"/>
      <c r="L24" s="11"/>
      <c r="M24" s="11"/>
      <c r="N24" s="11"/>
      <c r="O24" s="11"/>
    </row>
    <row r="25" spans="2:17">
      <c r="B25" s="118" t="s">
        <v>196</v>
      </c>
      <c r="C25" s="117"/>
      <c r="D25" s="117"/>
      <c r="E25" s="117"/>
      <c r="F25" s="117"/>
      <c r="G25" s="117"/>
      <c r="H25" s="117"/>
      <c r="I25" s="117"/>
      <c r="J25" s="11"/>
      <c r="K25" s="11"/>
      <c r="L25" s="11"/>
      <c r="M25" s="11"/>
      <c r="N25" s="11"/>
      <c r="O25" s="11"/>
    </row>
    <row r="26" spans="2:17">
      <c r="B26" s="121" t="s">
        <v>170</v>
      </c>
      <c r="C26" s="130">
        <v>99</v>
      </c>
      <c r="D26" s="130">
        <v>0</v>
      </c>
      <c r="E26" s="130">
        <v>0</v>
      </c>
      <c r="F26" s="130">
        <v>0</v>
      </c>
      <c r="G26" s="130">
        <v>98</v>
      </c>
      <c r="H26" s="130">
        <v>13</v>
      </c>
      <c r="I26" s="130">
        <v>1</v>
      </c>
      <c r="J26" s="11"/>
      <c r="K26" s="11"/>
      <c r="L26" s="11"/>
      <c r="M26" s="11"/>
      <c r="N26" s="11"/>
      <c r="O26" s="11"/>
    </row>
    <row r="27" spans="2:17">
      <c r="B27" s="121" t="s">
        <v>677</v>
      </c>
      <c r="C27" s="130">
        <v>0</v>
      </c>
      <c r="D27" s="130">
        <v>0</v>
      </c>
      <c r="E27" s="130">
        <v>0</v>
      </c>
      <c r="F27" s="130">
        <v>302</v>
      </c>
      <c r="G27" s="130">
        <v>314</v>
      </c>
      <c r="H27" s="130">
        <v>365</v>
      </c>
      <c r="I27" s="130">
        <v>404</v>
      </c>
      <c r="J27" s="11"/>
      <c r="K27" s="11"/>
      <c r="L27" s="11"/>
      <c r="M27" s="11"/>
      <c r="N27" s="11"/>
      <c r="O27" s="11"/>
    </row>
    <row r="28" spans="2:17">
      <c r="B28" s="121" t="s">
        <v>171</v>
      </c>
      <c r="C28" s="130">
        <v>7206</v>
      </c>
      <c r="D28" s="130">
        <v>7535</v>
      </c>
      <c r="E28" s="130">
        <v>8802</v>
      </c>
      <c r="F28" s="130">
        <v>9068</v>
      </c>
      <c r="G28" s="130">
        <v>9574</v>
      </c>
      <c r="H28" s="130">
        <v>10486</v>
      </c>
      <c r="I28" s="130">
        <v>11315</v>
      </c>
      <c r="J28" s="11"/>
      <c r="K28" s="11"/>
      <c r="L28" s="11"/>
      <c r="M28" s="11"/>
      <c r="N28" s="11"/>
      <c r="O28" s="11"/>
    </row>
    <row r="29" spans="2:17">
      <c r="B29" s="121" t="s">
        <v>678</v>
      </c>
      <c r="C29" s="130">
        <v>286</v>
      </c>
      <c r="D29" s="130">
        <v>932</v>
      </c>
      <c r="E29" s="130">
        <v>1206</v>
      </c>
      <c r="F29" s="130">
        <v>899</v>
      </c>
      <c r="G29" s="130">
        <v>889</v>
      </c>
      <c r="H29" s="130">
        <v>868</v>
      </c>
      <c r="I29" s="130">
        <v>1280</v>
      </c>
      <c r="J29" s="11"/>
      <c r="K29" s="11"/>
      <c r="L29" s="11"/>
      <c r="M29" s="11"/>
      <c r="N29" s="11"/>
      <c r="O29" s="11"/>
    </row>
    <row r="30" spans="2:17">
      <c r="B30" s="118" t="s">
        <v>10</v>
      </c>
      <c r="C30" s="130">
        <v>553</v>
      </c>
      <c r="D30" s="130">
        <v>428</v>
      </c>
      <c r="E30" s="130">
        <v>588</v>
      </c>
      <c r="F30" s="130">
        <v>665</v>
      </c>
      <c r="G30" s="130">
        <v>764</v>
      </c>
      <c r="H30" s="130">
        <v>807</v>
      </c>
      <c r="I30" s="130">
        <v>959</v>
      </c>
      <c r="J30" s="11"/>
      <c r="K30" s="11"/>
      <c r="L30" s="11"/>
      <c r="M30" s="11"/>
      <c r="N30" s="11"/>
      <c r="O30" s="11"/>
    </row>
    <row r="31" spans="2:17">
      <c r="B31" s="118" t="s">
        <v>680</v>
      </c>
      <c r="C31" s="130">
        <v>523</v>
      </c>
      <c r="D31" s="130">
        <v>422</v>
      </c>
      <c r="E31" s="130">
        <v>507</v>
      </c>
      <c r="F31" s="130">
        <v>346</v>
      </c>
      <c r="G31" s="130">
        <v>389</v>
      </c>
      <c r="H31" s="130">
        <v>340</v>
      </c>
      <c r="I31" s="130">
        <v>675</v>
      </c>
      <c r="J31" s="11"/>
      <c r="K31" s="11"/>
      <c r="L31" s="11"/>
      <c r="M31" s="11"/>
      <c r="N31" s="11"/>
      <c r="O31" s="11"/>
    </row>
    <row r="32" spans="2:17">
      <c r="B32" s="11" t="s">
        <v>198</v>
      </c>
      <c r="C32" s="130">
        <v>0</v>
      </c>
      <c r="D32" s="130">
        <v>0</v>
      </c>
      <c r="E32" s="130">
        <v>0</v>
      </c>
      <c r="F32" s="130">
        <v>0</v>
      </c>
      <c r="G32" s="130">
        <v>0</v>
      </c>
      <c r="H32" s="130">
        <v>0</v>
      </c>
      <c r="I32" s="130">
        <v>1903</v>
      </c>
    </row>
    <row r="33" spans="2:15">
      <c r="B33" s="120" t="s">
        <v>9</v>
      </c>
      <c r="C33" s="142">
        <f t="shared" ref="C33:H33" si="4">SUM(C26:C32)</f>
        <v>8667</v>
      </c>
      <c r="D33" s="142">
        <f t="shared" si="4"/>
        <v>9317</v>
      </c>
      <c r="E33" s="142">
        <f t="shared" si="4"/>
        <v>11103</v>
      </c>
      <c r="F33" s="142">
        <f t="shared" si="4"/>
        <v>11280</v>
      </c>
      <c r="G33" s="142">
        <f t="shared" si="4"/>
        <v>12028</v>
      </c>
      <c r="H33" s="142">
        <f t="shared" si="4"/>
        <v>12879</v>
      </c>
      <c r="I33" s="142">
        <f>SUM(I26:I32)</f>
        <v>16537</v>
      </c>
      <c r="J33" s="11"/>
      <c r="K33" s="11"/>
      <c r="L33" s="11"/>
      <c r="M33" s="11"/>
      <c r="N33" s="11"/>
      <c r="O33" s="11"/>
    </row>
    <row r="35" spans="2:15" ht="15" thickBot="1">
      <c r="B35" s="122" t="s">
        <v>199</v>
      </c>
      <c r="C35" s="141">
        <f t="shared" ref="C35:H35" si="5">SUM(C33+C22+C13)</f>
        <v>18629</v>
      </c>
      <c r="D35" s="141">
        <f t="shared" si="5"/>
        <v>20153</v>
      </c>
      <c r="E35" s="141">
        <f t="shared" si="5"/>
        <v>68757</v>
      </c>
      <c r="F35" s="141">
        <f t="shared" si="5"/>
        <v>70517</v>
      </c>
      <c r="G35" s="141">
        <f t="shared" si="5"/>
        <v>73087</v>
      </c>
      <c r="H35" s="141">
        <f t="shared" si="5"/>
        <v>78499</v>
      </c>
      <c r="I35" s="141">
        <f>SUM(I33+I22+I13)</f>
        <v>79880</v>
      </c>
      <c r="J35" s="11"/>
      <c r="K35" s="11"/>
      <c r="L35" s="11"/>
      <c r="M35" s="11"/>
      <c r="N35" s="11"/>
      <c r="O35" s="11"/>
    </row>
    <row r="36" spans="2:15">
      <c r="B36" s="115"/>
      <c r="C36" s="123"/>
      <c r="D36" s="123"/>
      <c r="E36" s="123"/>
      <c r="F36" s="123"/>
      <c r="G36" s="123"/>
      <c r="H36" s="123"/>
      <c r="I36" s="123"/>
      <c r="J36" s="11"/>
      <c r="K36" s="11"/>
      <c r="L36" s="11"/>
      <c r="M36" s="11"/>
      <c r="N36" s="11"/>
      <c r="O36" s="11"/>
    </row>
    <row r="37" spans="2:15">
      <c r="B37" s="115" t="s">
        <v>172</v>
      </c>
      <c r="C37" s="117"/>
      <c r="D37" s="117"/>
      <c r="E37" s="117"/>
      <c r="F37" s="117"/>
      <c r="G37" s="117"/>
      <c r="H37" s="117"/>
      <c r="I37" s="117"/>
      <c r="J37" s="11"/>
      <c r="K37" s="11"/>
      <c r="L37" s="11"/>
      <c r="M37" s="11"/>
      <c r="N37" s="11"/>
      <c r="O37" s="11"/>
    </row>
    <row r="38" spans="2:15">
      <c r="B38" s="115" t="s">
        <v>173</v>
      </c>
      <c r="C38" s="117"/>
      <c r="D38" s="117"/>
      <c r="E38" s="117"/>
      <c r="F38" s="117"/>
      <c r="G38" s="117"/>
      <c r="H38" s="117"/>
      <c r="I38" s="117"/>
      <c r="J38" s="11"/>
      <c r="K38" s="11"/>
      <c r="L38" s="11"/>
      <c r="M38" s="11"/>
      <c r="N38" s="11"/>
      <c r="O38" s="11"/>
    </row>
    <row r="39" spans="2:15">
      <c r="B39" s="118" t="s">
        <v>188</v>
      </c>
      <c r="C39" s="130">
        <v>4170</v>
      </c>
      <c r="D39" s="130">
        <v>4109</v>
      </c>
      <c r="E39" s="130">
        <v>5067</v>
      </c>
      <c r="F39" s="130">
        <v>5101</v>
      </c>
      <c r="G39" s="130">
        <v>5767</v>
      </c>
      <c r="H39" s="130">
        <v>6517</v>
      </c>
      <c r="I39" s="130">
        <v>6941</v>
      </c>
      <c r="J39" s="11"/>
      <c r="K39" s="11"/>
      <c r="L39" s="11"/>
      <c r="M39" s="11"/>
      <c r="N39" s="11"/>
      <c r="O39" s="11"/>
    </row>
    <row r="40" spans="2:15">
      <c r="B40" s="118" t="s">
        <v>722</v>
      </c>
      <c r="C40" s="130">
        <v>22</v>
      </c>
      <c r="D40" s="130">
        <v>851</v>
      </c>
      <c r="E40" s="130">
        <v>1049</v>
      </c>
      <c r="F40" s="130">
        <v>1068</v>
      </c>
      <c r="G40" s="130">
        <v>1182</v>
      </c>
      <c r="H40" s="130">
        <v>1514</v>
      </c>
      <c r="I40" s="130">
        <v>1684</v>
      </c>
      <c r="J40" s="11"/>
      <c r="K40" s="11"/>
      <c r="L40" s="11"/>
      <c r="M40" s="11"/>
      <c r="N40" s="11"/>
      <c r="O40" s="11"/>
    </row>
    <row r="41" spans="2:15">
      <c r="B41" s="118" t="s">
        <v>175</v>
      </c>
      <c r="C41" s="130">
        <v>406</v>
      </c>
      <c r="D41" s="130">
        <v>597</v>
      </c>
      <c r="E41" s="130">
        <v>745</v>
      </c>
      <c r="F41" s="130">
        <v>1313</v>
      </c>
      <c r="G41" s="130">
        <v>1132</v>
      </c>
      <c r="H41" s="130">
        <v>1025</v>
      </c>
      <c r="I41" s="130">
        <v>1009</v>
      </c>
      <c r="J41" s="11"/>
      <c r="K41" s="11"/>
      <c r="L41" s="11"/>
      <c r="M41" s="308"/>
      <c r="N41" s="11"/>
      <c r="O41" s="11"/>
    </row>
    <row r="42" spans="2:15">
      <c r="B42" s="11" t="s">
        <v>15</v>
      </c>
      <c r="C42" s="130">
        <v>36</v>
      </c>
      <c r="D42" s="130">
        <v>117</v>
      </c>
      <c r="E42" s="130">
        <v>17397</v>
      </c>
      <c r="F42" s="130">
        <v>17397</v>
      </c>
      <c r="G42" s="130">
        <v>17466</v>
      </c>
      <c r="H42" s="130">
        <v>17466</v>
      </c>
      <c r="I42" s="130">
        <v>17466</v>
      </c>
    </row>
    <row r="43" spans="2:15">
      <c r="B43" s="118" t="s">
        <v>174</v>
      </c>
      <c r="C43" s="130">
        <v>406</v>
      </c>
      <c r="D43" s="130">
        <v>402</v>
      </c>
      <c r="E43" s="130">
        <v>27930</v>
      </c>
      <c r="F43" s="130">
        <v>27907</v>
      </c>
      <c r="G43" s="130">
        <v>28263</v>
      </c>
      <c r="H43" s="130">
        <v>28247</v>
      </c>
      <c r="I43" s="130">
        <v>28244</v>
      </c>
      <c r="J43" s="11"/>
      <c r="K43" s="11"/>
      <c r="L43" s="11"/>
      <c r="M43" s="11"/>
      <c r="N43" s="11"/>
      <c r="O43" s="11"/>
    </row>
    <row r="44" spans="2:15">
      <c r="B44" s="115" t="s">
        <v>189</v>
      </c>
      <c r="C44" s="130"/>
      <c r="D44" s="130"/>
      <c r="E44" s="130"/>
      <c r="F44" s="130"/>
      <c r="G44" s="130"/>
      <c r="H44" s="130"/>
      <c r="I44" s="130"/>
      <c r="J44" s="11"/>
      <c r="K44" s="11"/>
      <c r="L44" s="11"/>
      <c r="M44" s="11"/>
      <c r="N44" s="11"/>
      <c r="O44" s="11"/>
    </row>
    <row r="45" spans="2:15">
      <c r="B45" s="121" t="s">
        <v>176</v>
      </c>
      <c r="C45" s="130">
        <v>2</v>
      </c>
      <c r="D45" s="130">
        <v>2</v>
      </c>
      <c r="E45" s="130">
        <v>2</v>
      </c>
      <c r="F45" s="130">
        <v>2</v>
      </c>
      <c r="G45" s="130">
        <v>71</v>
      </c>
      <c r="H45" s="130">
        <v>67</v>
      </c>
      <c r="I45" s="130">
        <v>59</v>
      </c>
      <c r="J45" s="11"/>
      <c r="K45" s="11"/>
      <c r="L45" s="11"/>
      <c r="M45" s="11"/>
      <c r="N45" s="11"/>
      <c r="O45" s="11"/>
    </row>
    <row r="46" spans="2:15">
      <c r="B46" s="121" t="s">
        <v>178</v>
      </c>
      <c r="C46" s="130">
        <v>215</v>
      </c>
      <c r="D46" s="130">
        <v>238</v>
      </c>
      <c r="E46" s="130">
        <v>111</v>
      </c>
      <c r="F46" s="130">
        <v>115</v>
      </c>
      <c r="G46" s="130">
        <v>98</v>
      </c>
      <c r="H46" s="130">
        <v>102</v>
      </c>
      <c r="I46" s="130">
        <v>87</v>
      </c>
      <c r="J46" s="11"/>
      <c r="K46" s="11"/>
      <c r="L46" s="11"/>
      <c r="M46" s="11"/>
      <c r="N46" s="11"/>
      <c r="O46" s="11"/>
    </row>
    <row r="47" spans="2:15">
      <c r="B47" s="75" t="s">
        <v>580</v>
      </c>
      <c r="C47" s="130">
        <v>11</v>
      </c>
      <c r="D47" s="130">
        <v>3</v>
      </c>
      <c r="E47" s="130">
        <v>757</v>
      </c>
      <c r="F47" s="130">
        <v>729</v>
      </c>
      <c r="G47" s="130">
        <v>725</v>
      </c>
      <c r="H47" s="130">
        <v>760</v>
      </c>
      <c r="I47" s="130">
        <v>763</v>
      </c>
    </row>
    <row r="48" spans="2:15">
      <c r="B48" s="118" t="s">
        <v>177</v>
      </c>
      <c r="C48" s="130">
        <v>373</v>
      </c>
      <c r="D48" s="130">
        <v>284</v>
      </c>
      <c r="E48" s="130">
        <v>17</v>
      </c>
      <c r="F48" s="130">
        <v>11</v>
      </c>
      <c r="G48" s="130">
        <v>10</v>
      </c>
      <c r="H48" s="130">
        <v>10</v>
      </c>
      <c r="I48" s="130">
        <v>17</v>
      </c>
      <c r="J48" s="11"/>
      <c r="K48" s="11"/>
      <c r="L48" s="11"/>
      <c r="M48" s="11"/>
      <c r="N48" s="11"/>
      <c r="O48" s="11"/>
    </row>
    <row r="49" spans="2:15">
      <c r="B49" s="118" t="s">
        <v>192</v>
      </c>
      <c r="C49" s="130">
        <v>835</v>
      </c>
      <c r="D49" s="130">
        <v>1083</v>
      </c>
      <c r="E49" s="130">
        <v>1246</v>
      </c>
      <c r="F49" s="130">
        <v>1158</v>
      </c>
      <c r="G49" s="130">
        <v>1164</v>
      </c>
      <c r="H49" s="130">
        <v>1175</v>
      </c>
      <c r="I49" s="130">
        <v>1199</v>
      </c>
      <c r="J49" s="11"/>
      <c r="K49" s="11"/>
      <c r="L49" s="11"/>
      <c r="M49" s="11"/>
      <c r="N49" s="11"/>
      <c r="O49" s="11"/>
    </row>
    <row r="50" spans="2:15">
      <c r="B50" s="118" t="s">
        <v>14</v>
      </c>
      <c r="C50" s="130">
        <v>158</v>
      </c>
      <c r="D50" s="130">
        <v>146</v>
      </c>
      <c r="E50" s="130">
        <v>219</v>
      </c>
      <c r="F50" s="130">
        <v>194</v>
      </c>
      <c r="G50" s="130">
        <v>211</v>
      </c>
      <c r="H50" s="130">
        <v>292</v>
      </c>
      <c r="I50" s="130">
        <v>360</v>
      </c>
      <c r="J50" s="11"/>
      <c r="K50" s="11"/>
      <c r="L50" s="11"/>
      <c r="M50" s="11"/>
      <c r="N50" s="11"/>
      <c r="O50" s="11"/>
    </row>
    <row r="51" spans="2:15">
      <c r="B51" s="120" t="s">
        <v>13</v>
      </c>
      <c r="C51" s="142">
        <f>SUM(C39:C50)</f>
        <v>6634</v>
      </c>
      <c r="D51" s="142">
        <f t="shared" ref="D51:I51" si="6">SUM(D39:D50)</f>
        <v>7832</v>
      </c>
      <c r="E51" s="142">
        <f t="shared" si="6"/>
        <v>54540</v>
      </c>
      <c r="F51" s="142">
        <f t="shared" si="6"/>
        <v>54995</v>
      </c>
      <c r="G51" s="142">
        <f t="shared" si="6"/>
        <v>56089</v>
      </c>
      <c r="H51" s="142">
        <f t="shared" si="6"/>
        <v>57175</v>
      </c>
      <c r="I51" s="142">
        <f t="shared" si="6"/>
        <v>57829</v>
      </c>
      <c r="J51" s="11"/>
      <c r="K51" s="11"/>
      <c r="L51" s="11"/>
      <c r="M51" s="11"/>
      <c r="N51" s="11"/>
      <c r="O51" s="11"/>
    </row>
    <row r="52" spans="2:15">
      <c r="B52" s="115"/>
      <c r="C52" s="124"/>
      <c r="D52" s="124"/>
      <c r="E52" s="124"/>
      <c r="F52" s="124"/>
      <c r="G52" s="124"/>
      <c r="H52" s="124"/>
      <c r="I52" s="124"/>
      <c r="J52" s="11"/>
      <c r="K52" s="11"/>
      <c r="L52" s="11"/>
      <c r="M52" s="11"/>
      <c r="N52" s="11"/>
      <c r="O52" s="11"/>
    </row>
    <row r="53" spans="2:15">
      <c r="B53" s="115" t="s">
        <v>179</v>
      </c>
      <c r="C53" s="117"/>
      <c r="D53" s="117"/>
      <c r="E53" s="117"/>
      <c r="F53" s="117"/>
      <c r="G53" s="117"/>
      <c r="H53" s="117"/>
      <c r="I53" s="117"/>
      <c r="J53" s="11"/>
      <c r="K53" s="11"/>
      <c r="L53" s="11"/>
      <c r="M53" s="11"/>
      <c r="N53" s="11"/>
      <c r="O53" s="11"/>
    </row>
    <row r="54" spans="2:15">
      <c r="B54" s="118" t="s">
        <v>181</v>
      </c>
      <c r="C54" s="130">
        <v>2574</v>
      </c>
      <c r="D54" s="130">
        <v>2767</v>
      </c>
      <c r="E54" s="130">
        <v>3579</v>
      </c>
      <c r="F54" s="130">
        <v>4096</v>
      </c>
      <c r="G54" s="130">
        <v>4251</v>
      </c>
      <c r="H54" s="130">
        <v>4022</v>
      </c>
      <c r="I54" s="130">
        <v>4415</v>
      </c>
      <c r="J54" s="11"/>
      <c r="K54" s="11"/>
      <c r="L54" s="11"/>
      <c r="M54" s="11"/>
      <c r="N54" s="11"/>
      <c r="O54" s="11"/>
    </row>
    <row r="55" spans="2:15">
      <c r="B55" s="115" t="s">
        <v>189</v>
      </c>
      <c r="C55" s="130"/>
      <c r="D55" s="130"/>
      <c r="E55" s="130"/>
      <c r="F55" s="130"/>
      <c r="G55" s="130"/>
      <c r="H55" s="130"/>
      <c r="I55" s="130"/>
      <c r="J55" s="11"/>
      <c r="K55" s="11"/>
      <c r="L55" s="11"/>
      <c r="M55" s="11"/>
      <c r="N55" s="11"/>
      <c r="O55" s="11"/>
    </row>
    <row r="56" spans="2:15">
      <c r="B56" s="121" t="s">
        <v>180</v>
      </c>
      <c r="C56" s="130">
        <v>2714</v>
      </c>
      <c r="D56" s="130">
        <v>1253</v>
      </c>
      <c r="E56" s="130">
        <v>2707</v>
      </c>
      <c r="F56" s="130">
        <v>3519</v>
      </c>
      <c r="G56" s="130">
        <v>2811</v>
      </c>
      <c r="H56" s="130">
        <v>4558</v>
      </c>
      <c r="I56" s="130">
        <v>3751</v>
      </c>
      <c r="J56" s="11"/>
      <c r="K56" s="11"/>
      <c r="L56" s="11"/>
      <c r="M56" s="11"/>
      <c r="N56" s="11"/>
      <c r="O56" s="11"/>
    </row>
    <row r="57" spans="2:15">
      <c r="B57" s="121" t="s">
        <v>182</v>
      </c>
      <c r="C57" s="130">
        <v>1816</v>
      </c>
      <c r="D57" s="130">
        <v>1149</v>
      </c>
      <c r="E57" s="130">
        <v>1758</v>
      </c>
      <c r="F57" s="130">
        <v>2236</v>
      </c>
      <c r="G57" s="130">
        <v>3079</v>
      </c>
      <c r="H57" s="130">
        <v>2997</v>
      </c>
      <c r="I57" s="130">
        <v>3819</v>
      </c>
      <c r="J57" s="11"/>
      <c r="K57" s="11"/>
      <c r="L57" s="11"/>
      <c r="M57" s="11"/>
      <c r="N57" s="11"/>
      <c r="O57" s="11"/>
    </row>
    <row r="58" spans="2:15">
      <c r="B58" s="121" t="s">
        <v>183</v>
      </c>
      <c r="C58" s="130">
        <v>3757</v>
      </c>
      <c r="D58" s="11">
        <v>3216</v>
      </c>
      <c r="E58" s="11">
        <v>1842</v>
      </c>
      <c r="F58" s="11">
        <v>1147</v>
      </c>
      <c r="G58" s="11">
        <v>714</v>
      </c>
      <c r="H58" s="11">
        <v>812</v>
      </c>
      <c r="I58" s="11">
        <v>6070</v>
      </c>
      <c r="J58" s="11"/>
      <c r="K58" s="11"/>
      <c r="L58" s="11"/>
      <c r="M58" s="11"/>
      <c r="N58" s="11"/>
      <c r="O58" s="11"/>
    </row>
    <row r="59" spans="2:15">
      <c r="B59" s="121" t="s">
        <v>649</v>
      </c>
      <c r="C59" s="130"/>
      <c r="D59" s="11">
        <v>1897</v>
      </c>
      <c r="E59" s="11">
        <v>2629</v>
      </c>
      <c r="F59" s="11">
        <v>2699</v>
      </c>
      <c r="G59" s="11">
        <v>3964</v>
      </c>
      <c r="H59" s="11">
        <v>6747</v>
      </c>
      <c r="I59" s="11">
        <v>1484</v>
      </c>
      <c r="J59" s="11"/>
      <c r="K59" s="308"/>
      <c r="L59" s="11"/>
      <c r="M59" s="11"/>
      <c r="N59" s="11"/>
      <c r="O59" s="11"/>
    </row>
    <row r="60" spans="2:15">
      <c r="B60" s="121" t="s">
        <v>190</v>
      </c>
      <c r="C60" s="130">
        <v>4</v>
      </c>
      <c r="D60" s="130">
        <v>0</v>
      </c>
      <c r="E60" s="130">
        <v>0</v>
      </c>
      <c r="F60" s="130">
        <v>35</v>
      </c>
      <c r="G60" s="130">
        <v>36</v>
      </c>
      <c r="H60" s="130">
        <v>38</v>
      </c>
      <c r="I60" s="130">
        <v>46</v>
      </c>
      <c r="J60" s="11"/>
      <c r="K60" s="11"/>
      <c r="L60" s="11"/>
      <c r="M60" s="11"/>
      <c r="N60" s="11"/>
      <c r="O60" s="11"/>
    </row>
    <row r="61" spans="2:15">
      <c r="B61" s="121" t="s">
        <v>191</v>
      </c>
      <c r="C61" s="130">
        <v>605</v>
      </c>
      <c r="D61" s="130">
        <v>1420</v>
      </c>
      <c r="E61" s="130">
        <v>1188</v>
      </c>
      <c r="F61" s="130">
        <v>1089</v>
      </c>
      <c r="G61" s="130">
        <v>1386</v>
      </c>
      <c r="H61" s="130">
        <v>1425</v>
      </c>
      <c r="I61" s="130">
        <v>1488</v>
      </c>
      <c r="J61" s="11"/>
      <c r="K61" s="11"/>
      <c r="L61" s="11"/>
      <c r="M61" s="11"/>
      <c r="N61" s="11"/>
      <c r="O61" s="11"/>
    </row>
    <row r="62" spans="2:15">
      <c r="B62" s="118" t="s">
        <v>184</v>
      </c>
      <c r="C62" s="130">
        <v>444</v>
      </c>
      <c r="D62" s="130">
        <v>619</v>
      </c>
      <c r="E62" s="130">
        <v>514</v>
      </c>
      <c r="F62" s="130">
        <v>701</v>
      </c>
      <c r="G62" s="130">
        <v>757</v>
      </c>
      <c r="H62" s="130">
        <v>725</v>
      </c>
      <c r="I62" s="130">
        <v>978</v>
      </c>
      <c r="J62" s="11"/>
      <c r="K62" s="11"/>
      <c r="L62" s="11"/>
      <c r="M62" s="11"/>
      <c r="N62" s="11"/>
      <c r="O62" s="11"/>
    </row>
    <row r="63" spans="2:15">
      <c r="B63" s="120" t="s">
        <v>16</v>
      </c>
      <c r="C63" s="142">
        <f>SUM(C54:C62)</f>
        <v>11914</v>
      </c>
      <c r="D63" s="142">
        <f t="shared" ref="D63:I63" si="7">SUM(D54:D62)</f>
        <v>12321</v>
      </c>
      <c r="E63" s="142">
        <f t="shared" si="7"/>
        <v>14217</v>
      </c>
      <c r="F63" s="142">
        <f t="shared" si="7"/>
        <v>15522</v>
      </c>
      <c r="G63" s="142">
        <f t="shared" si="7"/>
        <v>16998</v>
      </c>
      <c r="H63" s="142">
        <f t="shared" si="7"/>
        <v>21324</v>
      </c>
      <c r="I63" s="142">
        <f t="shared" si="7"/>
        <v>22051</v>
      </c>
      <c r="J63" s="11"/>
      <c r="K63" s="11"/>
      <c r="L63" s="11"/>
      <c r="M63" s="11"/>
      <c r="N63" s="11"/>
      <c r="O63" s="11"/>
    </row>
    <row r="64" spans="2:15">
      <c r="B64" s="115"/>
      <c r="C64" s="124"/>
      <c r="D64" s="124"/>
      <c r="E64" s="124"/>
      <c r="F64" s="124"/>
      <c r="G64" s="124"/>
      <c r="H64" s="124"/>
      <c r="I64" s="124"/>
      <c r="J64" s="11"/>
      <c r="K64" s="11"/>
      <c r="L64" s="11"/>
      <c r="M64" s="11"/>
      <c r="N64" s="11"/>
      <c r="O64" s="11"/>
    </row>
    <row r="65" spans="2:15" ht="15" thickBot="1">
      <c r="B65" s="122" t="s">
        <v>12</v>
      </c>
      <c r="C65" s="141">
        <v>18629</v>
      </c>
      <c r="D65" s="141">
        <f t="shared" ref="D65:I65" si="8">SUM(D51+D63)</f>
        <v>20153</v>
      </c>
      <c r="E65" s="141">
        <f t="shared" si="8"/>
        <v>68757</v>
      </c>
      <c r="F65" s="141">
        <f t="shared" si="8"/>
        <v>70517</v>
      </c>
      <c r="G65" s="141">
        <f t="shared" si="8"/>
        <v>73087</v>
      </c>
      <c r="H65" s="141">
        <f t="shared" si="8"/>
        <v>78499</v>
      </c>
      <c r="I65" s="141">
        <f t="shared" si="8"/>
        <v>79880</v>
      </c>
      <c r="J65" s="11"/>
      <c r="K65" s="11"/>
      <c r="L65" s="11"/>
      <c r="M65" s="11"/>
      <c r="N65" s="11"/>
      <c r="O65" s="11"/>
    </row>
    <row r="68" spans="2:15">
      <c r="B68" s="152" t="s">
        <v>73</v>
      </c>
      <c r="C68" s="348">
        <f>C35-C65</f>
        <v>0</v>
      </c>
      <c r="D68" s="348">
        <f t="shared" ref="D68:I68" si="9">D35-D65</f>
        <v>0</v>
      </c>
      <c r="E68" s="348">
        <f t="shared" si="9"/>
        <v>0</v>
      </c>
      <c r="F68" s="348">
        <f t="shared" si="9"/>
        <v>0</v>
      </c>
      <c r="G68" s="348">
        <f t="shared" si="9"/>
        <v>0</v>
      </c>
      <c r="H68" s="348">
        <f t="shared" si="9"/>
        <v>0</v>
      </c>
      <c r="I68" s="348">
        <f t="shared" si="9"/>
        <v>0</v>
      </c>
    </row>
    <row r="69" spans="2:15">
      <c r="H69" s="125"/>
      <c r="J69" s="11"/>
      <c r="K69" s="11"/>
      <c r="L69" s="11"/>
      <c r="M69" s="11"/>
      <c r="N69" s="11"/>
      <c r="O69" s="11"/>
    </row>
    <row r="70" spans="2:15">
      <c r="H70" s="125"/>
      <c r="J70" s="11"/>
      <c r="K70" s="11"/>
      <c r="L70" s="11"/>
      <c r="M70" s="11"/>
      <c r="N70" s="11"/>
      <c r="O70" s="11"/>
    </row>
    <row r="71" spans="2:15">
      <c r="H71" s="125"/>
      <c r="J71" s="11"/>
      <c r="K71" s="11"/>
      <c r="L71" s="11"/>
      <c r="M71" s="11"/>
      <c r="N71" s="11"/>
      <c r="O71" s="11"/>
    </row>
    <row r="72" spans="2:15">
      <c r="H72" s="125"/>
      <c r="J72" s="11"/>
      <c r="K72" s="11"/>
      <c r="L72" s="11"/>
      <c r="M72" s="11"/>
      <c r="N72" s="11"/>
      <c r="O72" s="11"/>
    </row>
    <row r="73" spans="2:15">
      <c r="H73" s="125"/>
      <c r="J73" s="11"/>
      <c r="K73" s="11"/>
      <c r="L73" s="11"/>
      <c r="M73" s="11"/>
      <c r="N73" s="11"/>
      <c r="O73" s="11"/>
    </row>
    <row r="74" spans="2:15">
      <c r="B74" s="126" t="s">
        <v>185</v>
      </c>
      <c r="C74" s="127"/>
      <c r="D74" s="127"/>
      <c r="E74" s="127"/>
      <c r="F74" s="127"/>
      <c r="G74" s="127"/>
      <c r="H74" s="127"/>
      <c r="I74" s="127"/>
      <c r="J74" s="11"/>
      <c r="K74" s="11"/>
      <c r="L74" s="11"/>
      <c r="M74" s="11"/>
      <c r="N74" s="11"/>
      <c r="O74" s="11"/>
    </row>
    <row r="75" spans="2:15" ht="27.6">
      <c r="B75" s="126" t="s">
        <v>186</v>
      </c>
      <c r="C75" s="127"/>
      <c r="D75" s="127"/>
      <c r="E75" s="127"/>
      <c r="F75" s="127"/>
      <c r="G75" s="127"/>
      <c r="H75" s="127"/>
      <c r="I75" s="127"/>
      <c r="J75" s="11"/>
      <c r="K75" s="11"/>
      <c r="L75" s="11"/>
      <c r="M75" s="11"/>
      <c r="N75" s="11"/>
      <c r="O75" s="11"/>
    </row>
    <row r="76" spans="2:15">
      <c r="B76" s="128" t="s">
        <v>187</v>
      </c>
      <c r="C76" s="129">
        <v>2196</v>
      </c>
      <c r="D76" s="129">
        <v>2923</v>
      </c>
      <c r="E76" s="129">
        <v>2985</v>
      </c>
      <c r="F76" s="129">
        <v>3230</v>
      </c>
      <c r="G76" s="129">
        <v>3574</v>
      </c>
      <c r="H76" s="129">
        <v>3314</v>
      </c>
      <c r="I76" s="129">
        <v>3447</v>
      </c>
      <c r="J76" s="11"/>
      <c r="K76" s="11"/>
      <c r="L76" s="11"/>
      <c r="M76" s="11"/>
      <c r="N76" s="11"/>
      <c r="O76" s="11"/>
    </row>
    <row r="77" spans="2:15">
      <c r="H77" s="125"/>
      <c r="J77" s="11"/>
      <c r="K77" s="11"/>
      <c r="L77" s="11"/>
      <c r="M77" s="11"/>
      <c r="N77" s="11"/>
      <c r="O77" s="11"/>
    </row>
    <row r="78" spans="2:15">
      <c r="H78" s="125"/>
      <c r="J78" s="11"/>
      <c r="K78" s="11"/>
      <c r="L78" s="11"/>
      <c r="M78" s="11"/>
      <c r="N78" s="11"/>
      <c r="O78" s="11"/>
    </row>
    <row r="79" spans="2:15">
      <c r="H79" s="125"/>
      <c r="J79" s="11"/>
      <c r="K79" s="11"/>
      <c r="L79" s="11"/>
      <c r="M79" s="11"/>
      <c r="N79" s="11"/>
      <c r="O79" s="11"/>
    </row>
    <row r="80" spans="2:15">
      <c r="H80" s="125"/>
      <c r="J80" s="11"/>
      <c r="K80" s="11"/>
      <c r="L80" s="11"/>
      <c r="M80" s="11"/>
      <c r="N80" s="11"/>
      <c r="O80" s="11"/>
    </row>
    <row r="81" spans="8:15">
      <c r="H81" s="125"/>
      <c r="J81" s="11"/>
      <c r="K81" s="11"/>
      <c r="L81" s="11"/>
      <c r="M81" s="11"/>
      <c r="N81" s="11"/>
      <c r="O81" s="11"/>
    </row>
    <row r="82" spans="8:15">
      <c r="H82" s="125"/>
      <c r="J82" s="11"/>
      <c r="K82" s="11"/>
      <c r="L82" s="11"/>
      <c r="M82" s="11"/>
      <c r="N82" s="11"/>
      <c r="O82" s="11"/>
    </row>
    <row r="83" spans="8:15">
      <c r="H83" s="125"/>
      <c r="J83" s="11"/>
      <c r="K83" s="11"/>
      <c r="L83" s="11"/>
      <c r="M83" s="11"/>
      <c r="N83" s="11"/>
      <c r="O83" s="11"/>
    </row>
    <row r="84" spans="8:15">
      <c r="H84" s="125"/>
      <c r="J84" s="11"/>
      <c r="K84" s="11"/>
      <c r="L84" s="11"/>
      <c r="M84" s="11"/>
      <c r="N84" s="11"/>
      <c r="O84" s="11"/>
    </row>
    <row r="85" spans="8:15">
      <c r="H85" s="125"/>
      <c r="J85" s="11"/>
      <c r="K85" s="11"/>
      <c r="L85" s="11"/>
      <c r="M85" s="11"/>
      <c r="N85" s="11"/>
      <c r="O85" s="11"/>
    </row>
    <row r="86" spans="8:15">
      <c r="H86" s="125"/>
      <c r="J86" s="11"/>
      <c r="K86" s="11"/>
      <c r="L86" s="11"/>
      <c r="M86" s="11"/>
      <c r="N86" s="11"/>
      <c r="O86" s="11"/>
    </row>
    <row r="87" spans="8:15">
      <c r="H87" s="125"/>
      <c r="J87" s="11"/>
      <c r="K87" s="11"/>
      <c r="L87" s="11"/>
      <c r="M87" s="11"/>
      <c r="N87" s="11"/>
      <c r="O87" s="11"/>
    </row>
    <row r="88" spans="8:15">
      <c r="H88" s="125"/>
      <c r="J88" s="11"/>
      <c r="K88" s="11"/>
      <c r="L88" s="11"/>
      <c r="M88" s="11"/>
      <c r="N88" s="11"/>
      <c r="O88" s="11"/>
    </row>
    <row r="89" spans="8:15">
      <c r="H89" s="125"/>
      <c r="J89" s="11"/>
      <c r="K89" s="11"/>
      <c r="L89" s="11"/>
      <c r="M89" s="11"/>
      <c r="N89" s="11"/>
      <c r="O89" s="11"/>
    </row>
    <row r="90" spans="8:15">
      <c r="H90" s="125"/>
      <c r="J90" s="11"/>
      <c r="K90" s="11"/>
      <c r="L90" s="11"/>
      <c r="M90" s="11"/>
      <c r="N90" s="11"/>
      <c r="O90" s="11"/>
    </row>
    <row r="91" spans="8:15">
      <c r="H91" s="125"/>
      <c r="J91" s="11"/>
      <c r="K91" s="11"/>
      <c r="L91" s="11"/>
      <c r="M91" s="11"/>
      <c r="N91" s="11"/>
      <c r="O91" s="11"/>
    </row>
    <row r="92" spans="8:15">
      <c r="H92" s="125"/>
      <c r="J92" s="11"/>
      <c r="K92" s="11"/>
      <c r="L92" s="11"/>
      <c r="M92" s="11"/>
      <c r="N92" s="11"/>
      <c r="O92" s="11"/>
    </row>
    <row r="93" spans="8:15">
      <c r="H93" s="125"/>
      <c r="J93" s="11"/>
      <c r="K93" s="11"/>
      <c r="L93" s="11"/>
      <c r="M93" s="11"/>
      <c r="N93" s="11"/>
      <c r="O93" s="11"/>
    </row>
    <row r="94" spans="8:15">
      <c r="H94" s="125"/>
      <c r="J94" s="11"/>
      <c r="K94" s="11"/>
      <c r="L94" s="11"/>
      <c r="M94" s="11"/>
      <c r="N94" s="11"/>
      <c r="O94" s="11"/>
    </row>
    <row r="95" spans="8:15">
      <c r="H95" s="125"/>
      <c r="J95" s="11"/>
      <c r="K95" s="11"/>
      <c r="L95" s="11"/>
      <c r="M95" s="11"/>
      <c r="N95" s="11"/>
      <c r="O95" s="11"/>
    </row>
    <row r="96" spans="8:15">
      <c r="H96" s="125"/>
      <c r="J96" s="11"/>
      <c r="K96" s="11"/>
      <c r="L96" s="11"/>
      <c r="M96" s="11"/>
      <c r="N96" s="11"/>
      <c r="O96" s="11"/>
    </row>
    <row r="97" spans="8:15">
      <c r="H97" s="125"/>
      <c r="J97" s="11"/>
      <c r="K97" s="11"/>
      <c r="L97" s="11"/>
      <c r="M97" s="11"/>
      <c r="N97" s="11"/>
      <c r="O97" s="11"/>
    </row>
    <row r="98" spans="8:15">
      <c r="H98" s="125"/>
      <c r="J98" s="11"/>
      <c r="K98" s="11"/>
      <c r="L98" s="11"/>
      <c r="M98" s="11"/>
      <c r="N98" s="11"/>
      <c r="O98" s="11"/>
    </row>
    <row r="99" spans="8:15">
      <c r="H99" s="125"/>
      <c r="J99" s="11"/>
      <c r="K99" s="11"/>
      <c r="L99" s="11"/>
      <c r="M99" s="11"/>
      <c r="N99" s="11"/>
      <c r="O99" s="11"/>
    </row>
    <row r="100" spans="8:15">
      <c r="H100" s="125"/>
      <c r="J100" s="11"/>
      <c r="K100" s="11"/>
      <c r="L100" s="11"/>
      <c r="M100" s="11"/>
      <c r="N100" s="11"/>
      <c r="O100" s="11"/>
    </row>
    <row r="101" spans="8:15">
      <c r="H101" s="125"/>
      <c r="J101" s="11"/>
      <c r="K101" s="11"/>
      <c r="L101" s="11"/>
      <c r="M101" s="11"/>
      <c r="N101" s="11"/>
      <c r="O101" s="11"/>
    </row>
    <row r="102" spans="8:15">
      <c r="H102" s="125"/>
      <c r="J102" s="11"/>
      <c r="K102" s="11"/>
      <c r="L102" s="11"/>
      <c r="M102" s="11"/>
      <c r="N102" s="11"/>
      <c r="O102" s="11"/>
    </row>
    <row r="103" spans="8:15">
      <c r="H103" s="125"/>
      <c r="J103" s="11"/>
      <c r="K103" s="11"/>
      <c r="L103" s="11"/>
      <c r="M103" s="11"/>
      <c r="N103" s="11"/>
      <c r="O103" s="11"/>
    </row>
    <row r="104" spans="8:15">
      <c r="H104" s="125"/>
      <c r="J104" s="11"/>
      <c r="K104" s="11"/>
      <c r="L104" s="11"/>
      <c r="M104" s="11"/>
      <c r="N104" s="11"/>
      <c r="O104" s="11"/>
    </row>
    <row r="105" spans="8:15">
      <c r="H105" s="125"/>
      <c r="J105" s="11"/>
      <c r="K105" s="11"/>
      <c r="L105" s="11"/>
      <c r="M105" s="11"/>
      <c r="N105" s="11"/>
      <c r="O105" s="11"/>
    </row>
    <row r="106" spans="8:15">
      <c r="H106" s="125"/>
      <c r="J106" s="11"/>
      <c r="K106" s="11"/>
      <c r="L106" s="11"/>
      <c r="M106" s="11"/>
      <c r="N106" s="11"/>
      <c r="O106" s="11"/>
    </row>
    <row r="107" spans="8:15">
      <c r="H107" s="125"/>
      <c r="J107" s="11"/>
      <c r="K107" s="11"/>
      <c r="L107" s="11"/>
      <c r="M107" s="11"/>
      <c r="N107" s="11"/>
      <c r="O107" s="11"/>
    </row>
    <row r="108" spans="8:15">
      <c r="H108" s="125"/>
      <c r="J108" s="11"/>
      <c r="K108" s="11"/>
      <c r="L108" s="11"/>
      <c r="M108" s="11"/>
      <c r="N108" s="11"/>
      <c r="O108" s="11"/>
    </row>
    <row r="109" spans="8:15">
      <c r="H109" s="125"/>
      <c r="J109" s="11"/>
      <c r="K109" s="11"/>
      <c r="L109" s="11"/>
      <c r="M109" s="11"/>
      <c r="N109" s="11"/>
      <c r="O109" s="11"/>
    </row>
    <row r="110" spans="8:15">
      <c r="H110" s="125"/>
      <c r="J110" s="11"/>
      <c r="K110" s="11"/>
      <c r="L110" s="11"/>
      <c r="M110" s="11"/>
      <c r="N110" s="11"/>
      <c r="O110" s="11"/>
    </row>
    <row r="111" spans="8:15">
      <c r="H111" s="125"/>
      <c r="J111" s="11"/>
      <c r="K111" s="11"/>
      <c r="L111" s="11"/>
      <c r="M111" s="11"/>
      <c r="N111" s="11"/>
      <c r="O111" s="11"/>
    </row>
    <row r="112" spans="8:15">
      <c r="H112" s="125"/>
      <c r="J112" s="11"/>
      <c r="K112" s="11"/>
      <c r="L112" s="11"/>
      <c r="M112" s="11"/>
      <c r="N112" s="11"/>
      <c r="O112" s="11"/>
    </row>
    <row r="113" spans="8:15">
      <c r="H113" s="125"/>
      <c r="J113" s="11"/>
      <c r="K113" s="11"/>
      <c r="L113" s="11"/>
      <c r="M113" s="11"/>
      <c r="N113" s="11"/>
      <c r="O113" s="11"/>
    </row>
    <row r="114" spans="8:15">
      <c r="H114" s="125"/>
      <c r="J114" s="11"/>
      <c r="K114" s="11"/>
      <c r="L114" s="11"/>
      <c r="M114" s="11"/>
      <c r="N114" s="11"/>
      <c r="O114" s="11"/>
    </row>
    <row r="115" spans="8:15">
      <c r="H115" s="125"/>
      <c r="J115" s="11"/>
      <c r="K115" s="11"/>
      <c r="L115" s="11"/>
      <c r="M115" s="11"/>
      <c r="N115" s="11"/>
      <c r="O115" s="11"/>
    </row>
    <row r="116" spans="8:15">
      <c r="H116" s="125"/>
      <c r="J116" s="11"/>
      <c r="K116" s="11"/>
      <c r="L116" s="11"/>
      <c r="M116" s="11"/>
      <c r="N116" s="11"/>
      <c r="O116" s="11"/>
    </row>
    <row r="117" spans="8:15">
      <c r="H117" s="125"/>
      <c r="J117" s="11"/>
      <c r="K117" s="11"/>
      <c r="L117" s="11"/>
      <c r="M117" s="11"/>
      <c r="N117" s="11"/>
      <c r="O117" s="11"/>
    </row>
    <row r="118" spans="8:15">
      <c r="H118" s="125"/>
      <c r="J118" s="11"/>
      <c r="K118" s="11"/>
      <c r="L118" s="11"/>
      <c r="M118" s="11"/>
      <c r="N118" s="11"/>
      <c r="O118" s="11"/>
    </row>
    <row r="119" spans="8:15">
      <c r="H119" s="125"/>
      <c r="J119" s="11"/>
      <c r="K119" s="11"/>
      <c r="L119" s="11"/>
      <c r="M119" s="11"/>
      <c r="N119" s="11"/>
      <c r="O119" s="11"/>
    </row>
    <row r="120" spans="8:15">
      <c r="H120" s="125"/>
      <c r="J120" s="11"/>
      <c r="K120" s="11"/>
      <c r="L120" s="11"/>
      <c r="M120" s="11"/>
      <c r="N120" s="11"/>
      <c r="O120" s="11"/>
    </row>
    <row r="121" spans="8:15">
      <c r="H121" s="125"/>
      <c r="J121" s="11"/>
      <c r="K121" s="11"/>
      <c r="L121" s="11"/>
      <c r="M121" s="11"/>
      <c r="N121" s="11"/>
      <c r="O121" s="11"/>
    </row>
    <row r="122" spans="8:15">
      <c r="H122" s="125"/>
      <c r="J122" s="11"/>
      <c r="K122" s="11"/>
      <c r="L122" s="11"/>
      <c r="M122" s="11"/>
      <c r="N122" s="11"/>
      <c r="O122" s="11"/>
    </row>
    <row r="123" spans="8:15">
      <c r="H123" s="125"/>
      <c r="J123" s="11"/>
      <c r="K123" s="11"/>
      <c r="L123" s="11"/>
      <c r="M123" s="11"/>
      <c r="N123" s="11"/>
      <c r="O123" s="11"/>
    </row>
    <row r="124" spans="8:15">
      <c r="H124" s="125"/>
      <c r="J124" s="11"/>
      <c r="K124" s="11"/>
      <c r="L124" s="11"/>
      <c r="M124" s="11"/>
      <c r="N124" s="11"/>
      <c r="O124" s="11"/>
    </row>
    <row r="125" spans="8:15">
      <c r="H125" s="125"/>
      <c r="J125" s="11"/>
      <c r="K125" s="11"/>
      <c r="L125" s="11"/>
      <c r="M125" s="11"/>
      <c r="N125" s="11"/>
      <c r="O125" s="11"/>
    </row>
    <row r="126" spans="8:15">
      <c r="H126" s="125"/>
      <c r="J126" s="11"/>
      <c r="K126" s="11"/>
      <c r="L126" s="11"/>
      <c r="M126" s="11"/>
      <c r="N126" s="11"/>
      <c r="O126" s="11"/>
    </row>
    <row r="127" spans="8:15">
      <c r="H127" s="125"/>
      <c r="J127" s="11"/>
      <c r="K127" s="11"/>
      <c r="L127" s="11"/>
      <c r="M127" s="11"/>
      <c r="N127" s="11"/>
      <c r="O127" s="11"/>
    </row>
    <row r="128" spans="8:15">
      <c r="H128" s="125"/>
      <c r="J128" s="11"/>
      <c r="K128" s="11"/>
      <c r="L128" s="11"/>
      <c r="M128" s="11"/>
      <c r="N128" s="11"/>
      <c r="O128" s="11"/>
    </row>
    <row r="129" spans="8:15">
      <c r="H129" s="125"/>
      <c r="J129" s="11"/>
      <c r="K129" s="11"/>
      <c r="L129" s="11"/>
      <c r="M129" s="11"/>
      <c r="N129" s="11"/>
      <c r="O129" s="11"/>
    </row>
    <row r="130" spans="8:15">
      <c r="H130" s="125"/>
      <c r="J130" s="11"/>
      <c r="K130" s="11"/>
      <c r="L130" s="11"/>
      <c r="M130" s="11"/>
      <c r="N130" s="11"/>
      <c r="O130" s="11"/>
    </row>
    <row r="131" spans="8:15">
      <c r="H131" s="125"/>
      <c r="J131" s="11"/>
      <c r="K131" s="11"/>
      <c r="L131" s="11"/>
      <c r="M131" s="11"/>
      <c r="N131" s="11"/>
      <c r="O131" s="11"/>
    </row>
    <row r="132" spans="8:15">
      <c r="H132" s="125"/>
      <c r="J132" s="11"/>
      <c r="K132" s="11"/>
      <c r="L132" s="11"/>
      <c r="M132" s="11"/>
      <c r="N132" s="11"/>
      <c r="O132" s="11"/>
    </row>
    <row r="133" spans="8:15">
      <c r="H133" s="125"/>
      <c r="J133" s="11"/>
      <c r="K133" s="11"/>
      <c r="L133" s="11"/>
      <c r="M133" s="11"/>
      <c r="N133" s="11"/>
      <c r="O133" s="11"/>
    </row>
    <row r="134" spans="8:15">
      <c r="H134" s="125"/>
      <c r="J134" s="11"/>
      <c r="K134" s="11"/>
      <c r="L134" s="11"/>
      <c r="M134" s="11"/>
      <c r="N134" s="11"/>
      <c r="O134" s="11"/>
    </row>
    <row r="135" spans="8:15">
      <c r="H135" s="125"/>
      <c r="J135" s="11"/>
      <c r="K135" s="11"/>
      <c r="L135" s="11"/>
      <c r="M135" s="11"/>
      <c r="N135" s="11"/>
      <c r="O135" s="11"/>
    </row>
    <row r="136" spans="8:15">
      <c r="H136" s="125"/>
      <c r="J136" s="11"/>
      <c r="K136" s="11"/>
      <c r="L136" s="11"/>
      <c r="M136" s="11"/>
      <c r="N136" s="11"/>
      <c r="O136" s="11"/>
    </row>
    <row r="137" spans="8:15">
      <c r="H137" s="125"/>
      <c r="J137" s="11"/>
      <c r="K137" s="11"/>
      <c r="L137" s="11"/>
      <c r="M137" s="11"/>
      <c r="N137" s="11"/>
      <c r="O137" s="11"/>
    </row>
    <row r="138" spans="8:15">
      <c r="H138" s="125"/>
      <c r="J138" s="11"/>
      <c r="K138" s="11"/>
      <c r="L138" s="11"/>
      <c r="M138" s="11"/>
      <c r="N138" s="11"/>
      <c r="O138" s="11"/>
    </row>
    <row r="139" spans="8:15">
      <c r="H139" s="125"/>
      <c r="J139" s="11"/>
      <c r="K139" s="11"/>
      <c r="L139" s="11"/>
      <c r="M139" s="11"/>
      <c r="N139" s="11"/>
      <c r="O139" s="11"/>
    </row>
    <row r="140" spans="8:15">
      <c r="H140" s="125"/>
      <c r="J140" s="11"/>
      <c r="K140" s="11"/>
      <c r="L140" s="11"/>
      <c r="M140" s="11"/>
      <c r="N140" s="11"/>
      <c r="O140" s="11"/>
    </row>
    <row r="141" spans="8:15">
      <c r="H141" s="125"/>
      <c r="J141" s="11"/>
      <c r="K141" s="11"/>
      <c r="L141" s="11"/>
      <c r="M141" s="11"/>
      <c r="N141" s="11"/>
      <c r="O141" s="11"/>
    </row>
    <row r="142" spans="8:15">
      <c r="H142" s="125"/>
      <c r="J142" s="11"/>
      <c r="K142" s="11"/>
      <c r="L142" s="11"/>
      <c r="M142" s="11"/>
      <c r="N142" s="11"/>
      <c r="O142" s="11"/>
    </row>
    <row r="143" spans="8:15">
      <c r="H143" s="125"/>
      <c r="J143" s="11"/>
      <c r="K143" s="11"/>
      <c r="L143" s="11"/>
      <c r="M143" s="11"/>
      <c r="N143" s="11"/>
      <c r="O143" s="11"/>
    </row>
    <row r="144" spans="8:15">
      <c r="H144" s="125"/>
      <c r="J144" s="11"/>
      <c r="K144" s="11"/>
      <c r="L144" s="11"/>
      <c r="M144" s="11"/>
      <c r="N144" s="11"/>
      <c r="O144" s="11"/>
    </row>
    <row r="145" spans="8:15">
      <c r="H145" s="125"/>
      <c r="J145" s="11"/>
      <c r="K145" s="11"/>
      <c r="L145" s="11"/>
      <c r="M145" s="11"/>
      <c r="N145" s="11"/>
      <c r="O145" s="11"/>
    </row>
    <row r="146" spans="8:15">
      <c r="H146" s="125"/>
      <c r="J146" s="11"/>
      <c r="K146" s="11"/>
      <c r="L146" s="11"/>
      <c r="M146" s="11"/>
      <c r="N146" s="11"/>
      <c r="O146" s="11"/>
    </row>
    <row r="147" spans="8:15">
      <c r="H147" s="125"/>
      <c r="J147" s="11"/>
      <c r="K147" s="11"/>
      <c r="L147" s="11"/>
      <c r="M147" s="11"/>
      <c r="N147" s="11"/>
      <c r="O147" s="11"/>
    </row>
    <row r="148" spans="8:15">
      <c r="H148" s="125"/>
      <c r="J148" s="11"/>
      <c r="K148" s="11"/>
      <c r="L148" s="11"/>
      <c r="M148" s="11"/>
      <c r="N148" s="11"/>
      <c r="O148" s="11"/>
    </row>
    <row r="149" spans="8:15">
      <c r="H149" s="125"/>
      <c r="J149" s="11"/>
      <c r="K149" s="11"/>
      <c r="L149" s="11"/>
      <c r="M149" s="11"/>
      <c r="N149" s="11"/>
      <c r="O149" s="11"/>
    </row>
    <row r="150" spans="8:15">
      <c r="H150" s="125"/>
      <c r="J150" s="11"/>
      <c r="K150" s="11"/>
      <c r="L150" s="11"/>
      <c r="M150" s="11"/>
      <c r="N150" s="11"/>
      <c r="O150" s="11"/>
    </row>
    <row r="151" spans="8:15">
      <c r="H151" s="125"/>
      <c r="J151" s="11"/>
      <c r="K151" s="11"/>
      <c r="L151" s="11"/>
      <c r="M151" s="11"/>
      <c r="N151" s="11"/>
      <c r="O151" s="11"/>
    </row>
    <row r="152" spans="8:15">
      <c r="H152" s="125"/>
      <c r="J152" s="11"/>
      <c r="K152" s="11"/>
      <c r="L152" s="11"/>
      <c r="M152" s="11"/>
      <c r="N152" s="11"/>
      <c r="O152" s="11"/>
    </row>
    <row r="153" spans="8:15">
      <c r="H153" s="125"/>
      <c r="J153" s="11"/>
      <c r="K153" s="11"/>
      <c r="L153" s="11"/>
      <c r="M153" s="11"/>
      <c r="N153" s="11"/>
      <c r="O153" s="11"/>
    </row>
    <row r="154" spans="8:15">
      <c r="H154" s="125"/>
      <c r="J154" s="11"/>
      <c r="K154" s="11"/>
      <c r="L154" s="11"/>
      <c r="M154" s="11"/>
      <c r="N154" s="11"/>
      <c r="O154" s="11"/>
    </row>
    <row r="155" spans="8:15">
      <c r="H155" s="125"/>
      <c r="J155" s="11"/>
      <c r="K155" s="11"/>
      <c r="L155" s="11"/>
      <c r="M155" s="11"/>
      <c r="N155" s="11"/>
      <c r="O155" s="11"/>
    </row>
    <row r="156" spans="8:15">
      <c r="H156" s="125"/>
      <c r="J156" s="11"/>
      <c r="K156" s="11"/>
      <c r="L156" s="11"/>
      <c r="M156" s="11"/>
      <c r="N156" s="11"/>
      <c r="O156" s="11"/>
    </row>
    <row r="157" spans="8:15">
      <c r="H157" s="125"/>
      <c r="J157" s="11"/>
      <c r="K157" s="11"/>
      <c r="L157" s="11"/>
      <c r="M157" s="11"/>
      <c r="N157" s="11"/>
      <c r="O157" s="11"/>
    </row>
    <row r="158" spans="8:15">
      <c r="H158" s="125"/>
      <c r="J158" s="11"/>
      <c r="K158" s="11"/>
      <c r="L158" s="11"/>
      <c r="M158" s="11"/>
      <c r="N158" s="11"/>
      <c r="O158" s="11"/>
    </row>
    <row r="159" spans="8:15">
      <c r="H159" s="125"/>
      <c r="J159" s="11"/>
      <c r="K159" s="11"/>
      <c r="L159" s="11"/>
      <c r="M159" s="11"/>
      <c r="N159" s="11"/>
      <c r="O159" s="11"/>
    </row>
    <row r="160" spans="8:15">
      <c r="H160" s="125"/>
      <c r="J160" s="11"/>
      <c r="K160" s="11"/>
      <c r="L160" s="11"/>
      <c r="M160" s="11"/>
      <c r="N160" s="11"/>
      <c r="O160" s="11"/>
    </row>
    <row r="161" spans="8:15">
      <c r="H161" s="125"/>
      <c r="J161" s="11"/>
      <c r="K161" s="11"/>
      <c r="L161" s="11"/>
      <c r="M161" s="11"/>
      <c r="N161" s="11"/>
      <c r="O161" s="11"/>
    </row>
    <row r="162" spans="8:15">
      <c r="H162" s="125"/>
      <c r="J162" s="11"/>
      <c r="K162" s="11"/>
      <c r="L162" s="11"/>
      <c r="M162" s="11"/>
      <c r="N162" s="11"/>
      <c r="O162" s="11"/>
    </row>
    <row r="163" spans="8:15">
      <c r="H163" s="125"/>
      <c r="J163" s="11"/>
      <c r="K163" s="11"/>
      <c r="L163" s="11"/>
      <c r="M163" s="11"/>
      <c r="N163" s="11"/>
      <c r="O163" s="11"/>
    </row>
    <row r="164" spans="8:15">
      <c r="H164" s="125"/>
      <c r="J164" s="11"/>
      <c r="K164" s="11"/>
      <c r="L164" s="11"/>
      <c r="M164" s="11"/>
      <c r="N164" s="11"/>
      <c r="O164" s="11"/>
    </row>
    <row r="165" spans="8:15">
      <c r="H165" s="125"/>
      <c r="J165" s="11"/>
      <c r="K165" s="11"/>
      <c r="L165" s="11"/>
      <c r="M165" s="11"/>
      <c r="N165" s="11"/>
      <c r="O165" s="11"/>
    </row>
    <row r="166" spans="8:15">
      <c r="H166" s="125"/>
      <c r="J166" s="11"/>
      <c r="K166" s="11"/>
      <c r="L166" s="11"/>
      <c r="M166" s="11"/>
      <c r="N166" s="11"/>
      <c r="O166" s="11"/>
    </row>
    <row r="167" spans="8:15">
      <c r="H167" s="125"/>
      <c r="J167" s="11"/>
      <c r="K167" s="11"/>
      <c r="L167" s="11"/>
      <c r="M167" s="11"/>
      <c r="N167" s="11"/>
      <c r="O167" s="11"/>
    </row>
    <row r="168" spans="8:15">
      <c r="H168" s="125"/>
      <c r="J168" s="11"/>
      <c r="K168" s="11"/>
      <c r="L168" s="11"/>
      <c r="M168" s="11"/>
      <c r="N168" s="11"/>
      <c r="O168" s="11"/>
    </row>
    <row r="169" spans="8:15">
      <c r="H169" s="125"/>
      <c r="J169" s="11"/>
      <c r="K169" s="11"/>
      <c r="L169" s="11"/>
      <c r="M169" s="11"/>
      <c r="N169" s="11"/>
      <c r="O169" s="11"/>
    </row>
    <row r="170" spans="8:15">
      <c r="H170" s="125"/>
      <c r="J170" s="11"/>
      <c r="K170" s="11"/>
      <c r="L170" s="11"/>
      <c r="M170" s="11"/>
      <c r="N170" s="11"/>
      <c r="O170" s="11"/>
    </row>
    <row r="171" spans="8:15">
      <c r="H171" s="125"/>
      <c r="J171" s="11"/>
      <c r="K171" s="11"/>
      <c r="L171" s="11"/>
      <c r="M171" s="11"/>
      <c r="N171" s="11"/>
      <c r="O171" s="11"/>
    </row>
    <row r="172" spans="8:15">
      <c r="H172" s="125"/>
      <c r="J172" s="11"/>
      <c r="K172" s="11"/>
      <c r="L172" s="11"/>
      <c r="M172" s="11"/>
      <c r="N172" s="11"/>
      <c r="O172" s="11"/>
    </row>
    <row r="173" spans="8:15">
      <c r="H173" s="125"/>
      <c r="J173" s="11"/>
      <c r="K173" s="11"/>
      <c r="L173" s="11"/>
      <c r="M173" s="11"/>
      <c r="N173" s="11"/>
      <c r="O173" s="11"/>
    </row>
    <row r="174" spans="8:15">
      <c r="H174" s="125"/>
      <c r="J174" s="11"/>
      <c r="K174" s="11"/>
      <c r="L174" s="11"/>
      <c r="M174" s="11"/>
      <c r="N174" s="11"/>
      <c r="O174" s="11"/>
    </row>
    <row r="175" spans="8:15">
      <c r="H175" s="125"/>
      <c r="J175" s="11"/>
      <c r="K175" s="11"/>
      <c r="L175" s="11"/>
      <c r="M175" s="11"/>
      <c r="N175" s="11"/>
      <c r="O175" s="11"/>
    </row>
    <row r="176" spans="8:15">
      <c r="H176" s="125"/>
      <c r="J176" s="11"/>
      <c r="K176" s="11"/>
      <c r="L176" s="11"/>
      <c r="M176" s="11"/>
      <c r="N176" s="11"/>
      <c r="O176" s="11"/>
    </row>
    <row r="177" spans="8:15">
      <c r="H177" s="125"/>
      <c r="J177" s="11"/>
      <c r="K177" s="11"/>
      <c r="L177" s="11"/>
      <c r="M177" s="11"/>
      <c r="N177" s="11"/>
      <c r="O177" s="11"/>
    </row>
    <row r="178" spans="8:15">
      <c r="H178" s="125"/>
      <c r="J178" s="11"/>
      <c r="K178" s="11"/>
      <c r="L178" s="11"/>
      <c r="M178" s="11"/>
      <c r="N178" s="11"/>
      <c r="O178" s="11"/>
    </row>
    <row r="179" spans="8:15">
      <c r="H179" s="125"/>
      <c r="J179" s="11"/>
      <c r="K179" s="11"/>
      <c r="L179" s="11"/>
      <c r="M179" s="11"/>
      <c r="N179" s="11"/>
      <c r="O179" s="11"/>
    </row>
    <row r="180" spans="8:15">
      <c r="H180" s="125"/>
      <c r="J180" s="11"/>
      <c r="K180" s="11"/>
      <c r="L180" s="11"/>
      <c r="M180" s="11"/>
      <c r="N180" s="11"/>
      <c r="O180" s="11"/>
    </row>
    <row r="181" spans="8:15">
      <c r="H181" s="125"/>
      <c r="J181" s="11"/>
      <c r="K181" s="11"/>
      <c r="L181" s="11"/>
      <c r="M181" s="11"/>
      <c r="N181" s="11"/>
      <c r="O181" s="11"/>
    </row>
    <row r="182" spans="8:15">
      <c r="H182" s="125"/>
      <c r="J182" s="11"/>
      <c r="K182" s="11"/>
      <c r="L182" s="11"/>
      <c r="M182" s="11"/>
      <c r="N182" s="11"/>
      <c r="O182" s="11"/>
    </row>
    <row r="183" spans="8:15">
      <c r="H183" s="125"/>
      <c r="J183" s="11"/>
      <c r="K183" s="11"/>
      <c r="L183" s="11"/>
      <c r="M183" s="11"/>
      <c r="N183" s="11"/>
      <c r="O183" s="11"/>
    </row>
    <row r="184" spans="8:15">
      <c r="H184" s="125"/>
      <c r="J184" s="11"/>
      <c r="K184" s="11"/>
      <c r="L184" s="11"/>
      <c r="M184" s="11"/>
      <c r="N184" s="11"/>
      <c r="O184" s="11"/>
    </row>
    <row r="185" spans="8:15">
      <c r="H185" s="125"/>
      <c r="J185" s="11"/>
      <c r="K185" s="11"/>
      <c r="L185" s="11"/>
      <c r="M185" s="11"/>
      <c r="N185" s="11"/>
      <c r="O185" s="11"/>
    </row>
    <row r="186" spans="8:15">
      <c r="H186" s="125"/>
      <c r="J186" s="11"/>
      <c r="K186" s="11"/>
      <c r="L186" s="11"/>
      <c r="M186" s="11"/>
      <c r="N186" s="11"/>
      <c r="O186" s="11"/>
    </row>
    <row r="187" spans="8:15">
      <c r="H187" s="125"/>
      <c r="J187" s="11"/>
      <c r="K187" s="11"/>
      <c r="L187" s="11"/>
      <c r="M187" s="11"/>
      <c r="N187" s="11"/>
      <c r="O187" s="11"/>
    </row>
    <row r="188" spans="8:15">
      <c r="H188" s="125"/>
      <c r="J188" s="11"/>
      <c r="K188" s="11"/>
      <c r="L188" s="11"/>
      <c r="M188" s="11"/>
      <c r="N188" s="11"/>
      <c r="O188" s="11"/>
    </row>
    <row r="189" spans="8:15">
      <c r="H189" s="125"/>
      <c r="J189" s="11"/>
      <c r="K189" s="11"/>
      <c r="L189" s="11"/>
      <c r="M189" s="11"/>
      <c r="N189" s="11"/>
      <c r="O189" s="11"/>
    </row>
    <row r="190" spans="8:15">
      <c r="H190" s="125"/>
      <c r="J190" s="11"/>
      <c r="K190" s="11"/>
      <c r="L190" s="11"/>
      <c r="M190" s="11"/>
      <c r="N190" s="11"/>
      <c r="O190" s="11"/>
    </row>
    <row r="191" spans="8:15">
      <c r="H191" s="125"/>
      <c r="J191" s="11"/>
      <c r="K191" s="11"/>
      <c r="L191" s="11"/>
      <c r="M191" s="11"/>
      <c r="N191" s="11"/>
      <c r="O191" s="11"/>
    </row>
    <row r="192" spans="8:15">
      <c r="H192" s="125"/>
      <c r="J192" s="11"/>
      <c r="K192" s="11"/>
      <c r="L192" s="11"/>
      <c r="M192" s="11"/>
      <c r="N192" s="11"/>
      <c r="O192" s="11"/>
    </row>
    <row r="193" spans="8:15">
      <c r="H193" s="125"/>
      <c r="J193" s="11"/>
      <c r="K193" s="11"/>
      <c r="L193" s="11"/>
      <c r="M193" s="11"/>
      <c r="N193" s="11"/>
      <c r="O193" s="11"/>
    </row>
    <row r="194" spans="8:15">
      <c r="H194" s="125"/>
      <c r="J194" s="11"/>
      <c r="K194" s="11"/>
      <c r="L194" s="11"/>
      <c r="M194" s="11"/>
      <c r="N194" s="11"/>
      <c r="O194" s="11"/>
    </row>
    <row r="195" spans="8:15">
      <c r="H195" s="125"/>
      <c r="J195" s="11"/>
      <c r="K195" s="11"/>
      <c r="L195" s="11"/>
      <c r="M195" s="11"/>
      <c r="N195" s="11"/>
      <c r="O195" s="11"/>
    </row>
    <row r="196" spans="8:15">
      <c r="H196" s="125"/>
      <c r="J196" s="11"/>
      <c r="K196" s="11"/>
      <c r="L196" s="11"/>
      <c r="M196" s="11"/>
      <c r="N196" s="11"/>
      <c r="O196" s="11"/>
    </row>
    <row r="197" spans="8:15">
      <c r="H197" s="125"/>
      <c r="J197" s="11"/>
      <c r="K197" s="11"/>
      <c r="L197" s="11"/>
      <c r="M197" s="11"/>
      <c r="N197" s="11"/>
      <c r="O197" s="11"/>
    </row>
    <row r="198" spans="8:15">
      <c r="H198" s="125"/>
      <c r="J198" s="11"/>
      <c r="K198" s="11"/>
      <c r="L198" s="11"/>
      <c r="M198" s="11"/>
      <c r="N198" s="11"/>
      <c r="O198" s="11"/>
    </row>
    <row r="199" spans="8:15">
      <c r="H199" s="125"/>
      <c r="J199" s="11"/>
      <c r="K199" s="11"/>
      <c r="L199" s="11"/>
      <c r="M199" s="11"/>
      <c r="N199" s="11"/>
      <c r="O199" s="11"/>
    </row>
    <row r="200" spans="8:15">
      <c r="H200" s="125"/>
      <c r="J200" s="11"/>
      <c r="K200" s="11"/>
      <c r="L200" s="11"/>
      <c r="M200" s="11"/>
      <c r="N200" s="11"/>
      <c r="O200" s="11"/>
    </row>
    <row r="201" spans="8:15">
      <c r="H201" s="125"/>
      <c r="J201" s="11"/>
      <c r="K201" s="11"/>
      <c r="L201" s="11"/>
      <c r="M201" s="11"/>
      <c r="N201" s="11"/>
      <c r="O201" s="11"/>
    </row>
    <row r="202" spans="8:15">
      <c r="H202" s="125"/>
      <c r="J202" s="11"/>
      <c r="K202" s="11"/>
      <c r="L202" s="11"/>
      <c r="M202" s="11"/>
      <c r="N202" s="11"/>
      <c r="O202" s="11"/>
    </row>
    <row r="203" spans="8:15">
      <c r="H203" s="125"/>
      <c r="J203" s="11"/>
      <c r="K203" s="11"/>
      <c r="L203" s="11"/>
      <c r="M203" s="11"/>
      <c r="N203" s="11"/>
      <c r="O203" s="11"/>
    </row>
    <row r="204" spans="8:15">
      <c r="H204" s="125"/>
      <c r="J204" s="11"/>
      <c r="K204" s="11"/>
      <c r="L204" s="11"/>
      <c r="M204" s="11"/>
      <c r="N204" s="11"/>
      <c r="O204" s="11"/>
    </row>
    <row r="205" spans="8:15">
      <c r="H205" s="125"/>
      <c r="J205" s="11"/>
      <c r="K205" s="11"/>
      <c r="L205" s="11"/>
      <c r="M205" s="11"/>
      <c r="N205" s="11"/>
      <c r="O205" s="11"/>
    </row>
    <row r="206" spans="8:15">
      <c r="H206" s="125"/>
      <c r="J206" s="11"/>
      <c r="K206" s="11"/>
      <c r="L206" s="11"/>
      <c r="M206" s="11"/>
      <c r="N206" s="11"/>
      <c r="O206" s="11"/>
    </row>
    <row r="207" spans="8:15">
      <c r="H207" s="125"/>
      <c r="J207" s="11"/>
      <c r="K207" s="11"/>
      <c r="L207" s="11"/>
      <c r="M207" s="11"/>
      <c r="N207" s="11"/>
      <c r="O207" s="11"/>
    </row>
    <row r="208" spans="8:15">
      <c r="J208" s="11"/>
      <c r="K208" s="11"/>
      <c r="L208" s="11"/>
      <c r="M208" s="11"/>
      <c r="N208" s="11"/>
      <c r="O208" s="11"/>
    </row>
  </sheetData>
  <pageMargins left="0.75" right="0.75" top="1" bottom="1" header="0.5" footer="0.5"/>
  <pageSetup scale="36"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939D-BA05-4EDD-B523-0D4EFEBAAECA}">
  <sheetPr>
    <tabColor rgb="FFFF0000"/>
  </sheetPr>
  <dimension ref="A1:O80"/>
  <sheetViews>
    <sheetView showGridLines="0" zoomScaleNormal="100" zoomScaleSheetLayoutView="115" workbookViewId="0">
      <pane ySplit="6" topLeftCell="A39" activePane="bottomLeft" state="frozen"/>
      <selection activeCell="I10" sqref="I10"/>
      <selection pane="bottomLeft" activeCell="E39" sqref="E39"/>
    </sheetView>
  </sheetViews>
  <sheetFormatPr defaultColWidth="7.5546875" defaultRowHeight="14.4"/>
  <cols>
    <col min="1" max="1" width="2.33203125" style="11" customWidth="1"/>
    <col min="2" max="2" width="73.6640625" style="11" bestFit="1" customWidth="1"/>
    <col min="3" max="9" width="14.109375" style="133" customWidth="1"/>
    <col min="10" max="15" width="7.5546875" style="116"/>
    <col min="16" max="25" width="14.109375" style="11" customWidth="1"/>
    <col min="26" max="16384" width="7.5546875" style="11"/>
  </cols>
  <sheetData>
    <row r="1" spans="1:9">
      <c r="A1" s="6"/>
      <c r="B1" s="8"/>
      <c r="C1" s="6"/>
      <c r="D1" s="6"/>
      <c r="E1" s="6"/>
      <c r="F1" s="6"/>
      <c r="G1" s="6"/>
      <c r="H1" s="6"/>
      <c r="I1" s="8"/>
    </row>
    <row r="2" spans="1:9" ht="18">
      <c r="A2" s="6"/>
      <c r="B2" s="204" t="s">
        <v>162</v>
      </c>
      <c r="C2" s="6"/>
      <c r="D2" s="6"/>
      <c r="E2" s="6"/>
      <c r="F2" s="8"/>
      <c r="G2" s="8"/>
      <c r="H2" s="11"/>
      <c r="I2" s="8"/>
    </row>
    <row r="3" spans="1:9" ht="18">
      <c r="A3" s="6"/>
      <c r="B3" s="140" t="s">
        <v>239</v>
      </c>
      <c r="C3" s="6"/>
      <c r="D3" s="6"/>
      <c r="E3" s="6"/>
      <c r="F3" s="6"/>
      <c r="G3" s="6"/>
      <c r="H3" s="6"/>
      <c r="I3" s="8"/>
    </row>
    <row r="4" spans="1:9">
      <c r="A4" s="6"/>
      <c r="B4" s="5"/>
      <c r="C4" s="6"/>
      <c r="D4" s="6"/>
      <c r="E4" s="6"/>
      <c r="F4" s="6"/>
      <c r="G4" s="6"/>
      <c r="H4" s="6"/>
      <c r="I4" s="8"/>
    </row>
    <row r="5" spans="1:9">
      <c r="A5" s="6"/>
      <c r="B5" s="116"/>
      <c r="C5" s="6"/>
      <c r="D5" s="116"/>
      <c r="E5" s="116"/>
      <c r="F5" s="116"/>
      <c r="G5" s="116"/>
      <c r="H5" s="116"/>
      <c r="I5" s="116"/>
    </row>
    <row r="6" spans="1:9" ht="15.6">
      <c r="A6" s="6"/>
      <c r="B6" s="143" t="s">
        <v>6</v>
      </c>
      <c r="C6" s="138">
        <v>2019</v>
      </c>
      <c r="D6" s="138">
        <f>C6+1</f>
        <v>2020</v>
      </c>
      <c r="E6" s="138">
        <f t="shared" ref="E6:I6" si="0">D6+1</f>
        <v>2021</v>
      </c>
      <c r="F6" s="138">
        <f t="shared" si="0"/>
        <v>2022</v>
      </c>
      <c r="G6" s="138">
        <f t="shared" si="0"/>
        <v>2023</v>
      </c>
      <c r="H6" s="138">
        <f t="shared" si="0"/>
        <v>2024</v>
      </c>
      <c r="I6" s="138">
        <f t="shared" si="0"/>
        <v>2025</v>
      </c>
    </row>
    <row r="7" spans="1:9">
      <c r="B7" s="147" t="s">
        <v>306</v>
      </c>
      <c r="C7" s="146"/>
      <c r="D7" s="146"/>
      <c r="E7" s="146"/>
      <c r="F7" s="146"/>
      <c r="G7" s="146"/>
      <c r="H7" s="146"/>
      <c r="I7" s="146"/>
    </row>
    <row r="8" spans="1:9">
      <c r="B8" s="147"/>
      <c r="C8" s="146"/>
      <c r="D8" s="146"/>
      <c r="E8" s="146"/>
      <c r="F8" s="146"/>
      <c r="G8" s="146"/>
      <c r="H8" s="146"/>
      <c r="I8" s="146"/>
    </row>
    <row r="9" spans="1:9">
      <c r="B9" s="148" t="s">
        <v>240</v>
      </c>
      <c r="C9" s="149">
        <v>8604</v>
      </c>
      <c r="D9" s="149">
        <v>9173</v>
      </c>
      <c r="E9" s="149">
        <v>10606</v>
      </c>
      <c r="F9" s="149">
        <v>11874</v>
      </c>
      <c r="G9" s="149">
        <v>13346</v>
      </c>
      <c r="H9" s="149">
        <v>13926</v>
      </c>
      <c r="I9" s="149">
        <v>14415</v>
      </c>
    </row>
    <row r="10" spans="1:9">
      <c r="B10" s="146" t="s">
        <v>241</v>
      </c>
    </row>
    <row r="11" spans="1:9">
      <c r="B11" s="150" t="s">
        <v>246</v>
      </c>
      <c r="C11" s="133">
        <v>565</v>
      </c>
      <c r="D11" s="133">
        <v>1002</v>
      </c>
      <c r="E11" s="133">
        <v>1134</v>
      </c>
      <c r="F11" s="133">
        <v>1106</v>
      </c>
      <c r="G11" s="133">
        <v>1152</v>
      </c>
      <c r="H11" s="133">
        <v>1216</v>
      </c>
      <c r="I11" s="133">
        <v>1363</v>
      </c>
    </row>
    <row r="12" spans="1:9">
      <c r="B12" s="150" t="s">
        <v>247</v>
      </c>
      <c r="C12" s="133">
        <v>39</v>
      </c>
      <c r="D12" s="133">
        <v>53</v>
      </c>
      <c r="E12" s="133">
        <v>-57</v>
      </c>
      <c r="F12" s="133">
        <v>-97</v>
      </c>
      <c r="G12" s="133">
        <v>-100</v>
      </c>
      <c r="H12" s="133">
        <v>18</v>
      </c>
      <c r="I12" s="133">
        <v>43</v>
      </c>
    </row>
    <row r="13" spans="1:9">
      <c r="B13" s="150" t="s">
        <v>301</v>
      </c>
      <c r="C13" s="133">
        <v>-66</v>
      </c>
      <c r="D13" s="133">
        <v>-104</v>
      </c>
      <c r="E13" s="133">
        <v>13</v>
      </c>
      <c r="F13" s="133">
        <v>0</v>
      </c>
      <c r="G13" s="133">
        <v>0</v>
      </c>
      <c r="H13" s="133">
        <v>0</v>
      </c>
      <c r="I13" s="133">
        <v>0</v>
      </c>
    </row>
    <row r="14" spans="1:9">
      <c r="B14" s="150" t="s">
        <v>248</v>
      </c>
      <c r="C14" s="133">
        <v>0</v>
      </c>
      <c r="D14" s="133">
        <v>0</v>
      </c>
      <c r="E14" s="133">
        <v>0</v>
      </c>
      <c r="F14" s="133" t="s">
        <v>289</v>
      </c>
      <c r="G14" s="133" t="s">
        <v>289</v>
      </c>
      <c r="H14" s="133">
        <v>-132</v>
      </c>
      <c r="I14" s="133">
        <v>120</v>
      </c>
    </row>
    <row r="15" spans="1:9">
      <c r="B15" s="150" t="s">
        <v>305</v>
      </c>
      <c r="C15" s="133">
        <v>57</v>
      </c>
      <c r="D15" s="133">
        <v>-26</v>
      </c>
      <c r="E15" s="133">
        <v>-22</v>
      </c>
      <c r="F15" s="133">
        <v>-9</v>
      </c>
      <c r="G15" s="133">
        <v>-2</v>
      </c>
      <c r="H15" s="133">
        <v>0</v>
      </c>
      <c r="I15" s="133">
        <v>0</v>
      </c>
    </row>
    <row r="16" spans="1:9">
      <c r="B16" s="150" t="s">
        <v>249</v>
      </c>
      <c r="C16" s="133">
        <v>-307</v>
      </c>
      <c r="D16" s="133">
        <v>-492</v>
      </c>
      <c r="E16" s="133">
        <v>-346</v>
      </c>
      <c r="F16" s="133">
        <v>-198</v>
      </c>
      <c r="G16" s="133">
        <v>-411</v>
      </c>
      <c r="H16" s="133">
        <v>-546</v>
      </c>
      <c r="I16" s="133">
        <v>-755</v>
      </c>
    </row>
    <row r="17" spans="2:9">
      <c r="B17" s="150" t="s">
        <v>242</v>
      </c>
      <c r="C17" s="133">
        <v>-1</v>
      </c>
      <c r="D17" s="133">
        <v>-1</v>
      </c>
      <c r="E17" s="133">
        <v>-1</v>
      </c>
      <c r="F17" s="133">
        <v>-1</v>
      </c>
      <c r="G17" s="133">
        <v>-2</v>
      </c>
      <c r="H17" s="133">
        <v>-3</v>
      </c>
      <c r="I17" s="133" t="s">
        <v>289</v>
      </c>
    </row>
    <row r="18" spans="2:9">
      <c r="B18" s="150" t="s">
        <v>250</v>
      </c>
      <c r="C18" s="133">
        <v>-168</v>
      </c>
      <c r="D18" s="133">
        <v>-139</v>
      </c>
      <c r="E18" s="133">
        <v>-63</v>
      </c>
      <c r="F18" s="133">
        <v>-59</v>
      </c>
      <c r="G18" s="133">
        <v>-99</v>
      </c>
      <c r="H18" s="133">
        <v>-249</v>
      </c>
      <c r="I18" s="133">
        <v>-256</v>
      </c>
    </row>
    <row r="19" spans="2:9">
      <c r="B19" s="150" t="s">
        <v>243</v>
      </c>
      <c r="C19" s="133">
        <v>33</v>
      </c>
      <c r="D19" s="133">
        <v>118</v>
      </c>
      <c r="E19" s="133">
        <v>117</v>
      </c>
      <c r="F19" s="133">
        <v>106</v>
      </c>
      <c r="G19" s="133">
        <v>114</v>
      </c>
      <c r="H19" s="133">
        <v>317</v>
      </c>
      <c r="I19" s="133">
        <v>372</v>
      </c>
    </row>
    <row r="20" spans="2:9">
      <c r="B20" s="150" t="s">
        <v>251</v>
      </c>
      <c r="C20" s="133">
        <v>0</v>
      </c>
      <c r="D20" s="133">
        <v>0</v>
      </c>
      <c r="E20" s="133">
        <v>0</v>
      </c>
      <c r="F20" s="133">
        <v>0</v>
      </c>
      <c r="G20" s="133">
        <v>0</v>
      </c>
      <c r="H20" s="133" t="s">
        <v>289</v>
      </c>
      <c r="I20" s="133">
        <v>-595</v>
      </c>
    </row>
    <row r="21" spans="2:9">
      <c r="B21" s="150" t="s">
        <v>252</v>
      </c>
      <c r="C21" s="133">
        <v>0</v>
      </c>
      <c r="D21" s="133">
        <v>0</v>
      </c>
      <c r="E21" s="133">
        <v>0</v>
      </c>
      <c r="F21" s="133">
        <v>0</v>
      </c>
      <c r="G21" s="133">
        <v>0</v>
      </c>
      <c r="H21" s="133">
        <v>-159</v>
      </c>
      <c r="I21" s="133" t="s">
        <v>289</v>
      </c>
    </row>
    <row r="22" spans="2:9">
      <c r="B22" s="150" t="s">
        <v>302</v>
      </c>
      <c r="C22" s="133">
        <v>10</v>
      </c>
      <c r="D22" s="133">
        <v>2</v>
      </c>
      <c r="E22" s="133">
        <v>-1</v>
      </c>
      <c r="F22" s="133">
        <v>-1</v>
      </c>
      <c r="G22" s="133">
        <v>1</v>
      </c>
      <c r="H22" s="133">
        <v>0</v>
      </c>
      <c r="I22" s="133">
        <v>0</v>
      </c>
    </row>
    <row r="23" spans="2:9">
      <c r="B23" s="150" t="s">
        <v>253</v>
      </c>
      <c r="C23" s="133">
        <v>0</v>
      </c>
      <c r="D23" s="133" t="s">
        <v>289</v>
      </c>
      <c r="E23" s="133" t="s">
        <v>289</v>
      </c>
      <c r="F23" s="133" t="s">
        <v>289</v>
      </c>
      <c r="G23" s="133">
        <v>-1</v>
      </c>
      <c r="H23" s="133">
        <v>-1</v>
      </c>
      <c r="I23" s="133">
        <v>-1</v>
      </c>
    </row>
    <row r="24" spans="2:9">
      <c r="B24" s="150" t="s">
        <v>303</v>
      </c>
      <c r="C24" s="133">
        <v>0</v>
      </c>
      <c r="D24" s="133">
        <v>0</v>
      </c>
      <c r="E24" s="133">
        <v>0</v>
      </c>
      <c r="F24" s="133">
        <v>-29</v>
      </c>
      <c r="G24" s="133">
        <v>-60</v>
      </c>
      <c r="H24" s="133">
        <v>0</v>
      </c>
      <c r="I24" s="133">
        <v>0</v>
      </c>
    </row>
    <row r="25" spans="2:9">
      <c r="B25" s="150" t="s">
        <v>254</v>
      </c>
      <c r="C25" s="133">
        <v>0</v>
      </c>
      <c r="D25" s="133" t="s">
        <v>289</v>
      </c>
      <c r="E25" s="133" t="s">
        <v>289</v>
      </c>
      <c r="F25" s="133" t="s">
        <v>289</v>
      </c>
      <c r="G25" s="133" t="s">
        <v>289</v>
      </c>
      <c r="H25" s="133">
        <v>4</v>
      </c>
      <c r="I25" s="133">
        <v>8</v>
      </c>
    </row>
    <row r="26" spans="2:9">
      <c r="B26" s="150" t="s">
        <v>304</v>
      </c>
      <c r="C26" s="133">
        <v>0</v>
      </c>
      <c r="G26" s="133">
        <v>2</v>
      </c>
      <c r="H26" s="133">
        <v>0</v>
      </c>
      <c r="I26" s="133">
        <v>0</v>
      </c>
    </row>
    <row r="27" spans="2:9">
      <c r="B27" s="150" t="s">
        <v>255</v>
      </c>
      <c r="C27" s="133">
        <v>134</v>
      </c>
      <c r="D27" s="133">
        <v>138</v>
      </c>
      <c r="E27" s="133">
        <v>201</v>
      </c>
      <c r="F27" s="133">
        <v>156</v>
      </c>
      <c r="G27" s="133">
        <v>184</v>
      </c>
      <c r="H27" s="133">
        <v>167</v>
      </c>
      <c r="I27" s="133">
        <v>189</v>
      </c>
    </row>
    <row r="28" spans="2:9">
      <c r="B28" s="150" t="s">
        <v>256</v>
      </c>
      <c r="C28" s="133">
        <v>-2</v>
      </c>
      <c r="D28" s="133">
        <v>11</v>
      </c>
      <c r="E28" s="133">
        <v>77</v>
      </c>
      <c r="F28" s="133">
        <v>-15</v>
      </c>
      <c r="G28" s="133">
        <v>-27</v>
      </c>
      <c r="H28" s="133">
        <v>-11</v>
      </c>
      <c r="I28" s="133">
        <v>24</v>
      </c>
    </row>
    <row r="29" spans="2:9">
      <c r="B29" s="150" t="s">
        <v>257</v>
      </c>
      <c r="C29" s="133">
        <v>0</v>
      </c>
      <c r="D29" s="133">
        <v>0</v>
      </c>
      <c r="E29" s="133">
        <v>0</v>
      </c>
      <c r="F29" s="133">
        <v>0</v>
      </c>
      <c r="G29" s="133">
        <v>0</v>
      </c>
      <c r="H29" s="133" t="s">
        <v>289</v>
      </c>
      <c r="I29" s="133">
        <v>11</v>
      </c>
    </row>
    <row r="30" spans="2:9">
      <c r="B30" s="150" t="s">
        <v>258</v>
      </c>
      <c r="C30" s="133">
        <v>11</v>
      </c>
      <c r="D30" s="133">
        <v>-12</v>
      </c>
      <c r="E30" s="133">
        <v>14</v>
      </c>
      <c r="F30" s="133">
        <v>-4</v>
      </c>
      <c r="G30" s="133">
        <v>-8</v>
      </c>
      <c r="H30" s="133">
        <v>-10</v>
      </c>
      <c r="I30" s="133">
        <v>4</v>
      </c>
    </row>
    <row r="31" spans="2:9">
      <c r="B31" s="147" t="s">
        <v>259</v>
      </c>
      <c r="C31" s="149">
        <f>SUM(C9:C30)</f>
        <v>8909</v>
      </c>
      <c r="D31" s="149">
        <f t="shared" ref="D31:I31" si="1">SUM(D9:D30)</f>
        <v>9723</v>
      </c>
      <c r="E31" s="149">
        <f t="shared" si="1"/>
        <v>11672</v>
      </c>
      <c r="F31" s="149">
        <f t="shared" si="1"/>
        <v>12829</v>
      </c>
      <c r="G31" s="149">
        <f t="shared" si="1"/>
        <v>14089</v>
      </c>
      <c r="H31" s="149">
        <f t="shared" si="1"/>
        <v>14537</v>
      </c>
      <c r="I31" s="149">
        <f t="shared" si="1"/>
        <v>14942</v>
      </c>
    </row>
    <row r="32" spans="2:9">
      <c r="B32" s="146" t="s">
        <v>241</v>
      </c>
      <c r="C32" s="133">
        <v>0</v>
      </c>
    </row>
    <row r="33" spans="2:9">
      <c r="B33" s="151" t="s">
        <v>260</v>
      </c>
      <c r="C33" s="133">
        <v>-66</v>
      </c>
      <c r="D33" s="133">
        <v>-19</v>
      </c>
      <c r="E33" s="133">
        <v>-4</v>
      </c>
      <c r="F33" s="133">
        <v>3</v>
      </c>
      <c r="G33" s="133">
        <v>-14</v>
      </c>
      <c r="H33" s="133">
        <v>-30</v>
      </c>
      <c r="I33" s="133">
        <v>-87</v>
      </c>
    </row>
    <row r="34" spans="2:9">
      <c r="B34" s="151" t="s">
        <v>261</v>
      </c>
      <c r="C34" s="133">
        <v>-13</v>
      </c>
      <c r="D34" s="133">
        <v>471</v>
      </c>
      <c r="E34" s="133">
        <v>-412</v>
      </c>
      <c r="F34" s="133">
        <v>-480</v>
      </c>
      <c r="G34" s="133">
        <v>-1111</v>
      </c>
      <c r="H34" s="133">
        <v>220</v>
      </c>
      <c r="I34" s="133">
        <v>-1275</v>
      </c>
    </row>
    <row r="35" spans="2:9">
      <c r="B35" s="151" t="s">
        <v>262</v>
      </c>
      <c r="C35" s="133">
        <v>-195</v>
      </c>
      <c r="D35" s="133">
        <v>-331</v>
      </c>
      <c r="E35" s="133">
        <v>-543</v>
      </c>
      <c r="F35" s="133">
        <v>-758</v>
      </c>
      <c r="G35" s="133">
        <v>-339</v>
      </c>
      <c r="H35" s="133">
        <v>74</v>
      </c>
      <c r="I35" s="133">
        <v>-584</v>
      </c>
    </row>
    <row r="36" spans="2:9">
      <c r="B36" s="75" t="s">
        <v>263</v>
      </c>
      <c r="C36" s="133">
        <v>278</v>
      </c>
      <c r="D36" s="133">
        <v>56</v>
      </c>
      <c r="E36" s="133">
        <v>28</v>
      </c>
      <c r="F36" s="133">
        <v>86</v>
      </c>
      <c r="G36" s="133">
        <v>-116</v>
      </c>
      <c r="H36" s="133">
        <v>128</v>
      </c>
      <c r="I36" s="133">
        <v>-284</v>
      </c>
    </row>
    <row r="37" spans="2:9">
      <c r="B37" s="75" t="s">
        <v>264</v>
      </c>
      <c r="C37" s="133">
        <v>-346</v>
      </c>
      <c r="D37" s="133">
        <v>234</v>
      </c>
      <c r="E37" s="133">
        <v>830</v>
      </c>
      <c r="F37" s="133">
        <v>149</v>
      </c>
      <c r="G37" s="133">
        <v>622</v>
      </c>
      <c r="H37" s="133">
        <v>921</v>
      </c>
      <c r="I37" s="133">
        <v>1442</v>
      </c>
    </row>
    <row r="38" spans="2:9">
      <c r="B38" s="152" t="s">
        <v>265</v>
      </c>
      <c r="C38" s="149">
        <f>SUM(C31:C37)</f>
        <v>8567</v>
      </c>
      <c r="D38" s="149">
        <f t="shared" ref="D38:I38" si="2">SUM(D31:D37)</f>
        <v>10134</v>
      </c>
      <c r="E38" s="149">
        <f t="shared" si="2"/>
        <v>11571</v>
      </c>
      <c r="F38" s="149">
        <f t="shared" si="2"/>
        <v>11829</v>
      </c>
      <c r="G38" s="149">
        <f t="shared" si="2"/>
        <v>13131</v>
      </c>
      <c r="H38" s="149">
        <f t="shared" si="2"/>
        <v>15850</v>
      </c>
      <c r="I38" s="149">
        <f t="shared" si="2"/>
        <v>14154</v>
      </c>
    </row>
    <row r="39" spans="2:9">
      <c r="B39" s="11" t="s">
        <v>266</v>
      </c>
      <c r="C39" s="133">
        <v>-2767</v>
      </c>
      <c r="D39" s="133">
        <v>-2505</v>
      </c>
      <c r="E39" s="133">
        <v>-2407</v>
      </c>
      <c r="F39" s="133">
        <v>-2784</v>
      </c>
      <c r="G39" s="133">
        <v>-3138</v>
      </c>
      <c r="H39" s="133">
        <v>-381</v>
      </c>
      <c r="I39" s="133">
        <v>-2268</v>
      </c>
    </row>
    <row r="40" spans="2:9">
      <c r="B40" s="11" t="s">
        <v>290</v>
      </c>
      <c r="C40" s="133">
        <v>0</v>
      </c>
      <c r="D40" s="133" t="s">
        <v>289</v>
      </c>
      <c r="E40" s="133" t="s">
        <v>289</v>
      </c>
      <c r="F40" s="133" t="s">
        <v>289</v>
      </c>
      <c r="G40" s="133">
        <v>-1</v>
      </c>
      <c r="H40" s="133">
        <v>0</v>
      </c>
      <c r="I40" s="133">
        <v>0</v>
      </c>
    </row>
    <row r="41" spans="2:9">
      <c r="B41" s="11" t="s">
        <v>291</v>
      </c>
      <c r="C41" s="133">
        <v>0</v>
      </c>
      <c r="D41" s="133">
        <v>-6</v>
      </c>
      <c r="E41" s="133">
        <v>-1</v>
      </c>
      <c r="F41" s="133">
        <v>3</v>
      </c>
      <c r="G41" s="133">
        <v>-1</v>
      </c>
      <c r="H41" s="133">
        <v>0</v>
      </c>
      <c r="I41" s="133">
        <v>0</v>
      </c>
    </row>
    <row r="42" spans="2:9" ht="15" thickBot="1">
      <c r="B42" s="92" t="s">
        <v>267</v>
      </c>
      <c r="C42" s="134">
        <f>SUM(C38:C41)</f>
        <v>5800</v>
      </c>
      <c r="D42" s="134">
        <f t="shared" ref="D42:I42" si="3">SUM(D38:D41)</f>
        <v>7623</v>
      </c>
      <c r="E42" s="134">
        <f t="shared" si="3"/>
        <v>9163</v>
      </c>
      <c r="F42" s="134">
        <f t="shared" si="3"/>
        <v>9048</v>
      </c>
      <c r="G42" s="134">
        <f t="shared" si="3"/>
        <v>9991</v>
      </c>
      <c r="H42" s="134">
        <f t="shared" si="3"/>
        <v>15469</v>
      </c>
      <c r="I42" s="134">
        <f t="shared" si="3"/>
        <v>11886</v>
      </c>
    </row>
    <row r="44" spans="2:9">
      <c r="B44" s="152" t="s">
        <v>268</v>
      </c>
    </row>
    <row r="45" spans="2:9">
      <c r="B45" s="152"/>
    </row>
    <row r="46" spans="2:9">
      <c r="B46" s="11" t="s">
        <v>269</v>
      </c>
      <c r="C46" s="133">
        <v>-695</v>
      </c>
      <c r="D46" s="133">
        <v>-850</v>
      </c>
      <c r="E46" s="133">
        <v>-741</v>
      </c>
      <c r="F46" s="133">
        <v>-1225</v>
      </c>
      <c r="G46" s="133">
        <v>-1174</v>
      </c>
      <c r="H46" s="133">
        <v>-1468</v>
      </c>
      <c r="I46" s="133">
        <v>-1254</v>
      </c>
    </row>
    <row r="47" spans="2:9">
      <c r="B47" s="11" t="s">
        <v>270</v>
      </c>
      <c r="C47" s="133">
        <v>13</v>
      </c>
      <c r="D47" s="133">
        <v>52</v>
      </c>
      <c r="E47" s="133">
        <v>97</v>
      </c>
      <c r="F47" s="133">
        <v>146</v>
      </c>
      <c r="G47" s="133">
        <v>121</v>
      </c>
      <c r="H47" s="133">
        <v>20</v>
      </c>
      <c r="I47" s="133">
        <v>13</v>
      </c>
    </row>
    <row r="48" spans="2:9">
      <c r="B48" s="11" t="s">
        <v>271</v>
      </c>
      <c r="C48" s="133">
        <v>-72</v>
      </c>
      <c r="D48" s="133">
        <v>-12</v>
      </c>
      <c r="E48" s="133">
        <v>-3422</v>
      </c>
      <c r="F48" s="133">
        <v>-3</v>
      </c>
      <c r="G48" s="133">
        <v>-18</v>
      </c>
      <c r="H48" s="133">
        <v>-9</v>
      </c>
      <c r="I48" s="133">
        <v>-21</v>
      </c>
    </row>
    <row r="49" spans="2:9">
      <c r="B49" s="11" t="s">
        <v>272</v>
      </c>
      <c r="C49" s="133">
        <v>0</v>
      </c>
      <c r="D49" s="133" t="s">
        <v>289</v>
      </c>
      <c r="E49" s="133" t="s">
        <v>289</v>
      </c>
      <c r="F49" s="133">
        <v>29</v>
      </c>
      <c r="G49" s="133">
        <v>60</v>
      </c>
      <c r="H49" s="133" t="s">
        <v>289</v>
      </c>
      <c r="I49" s="133">
        <v>595</v>
      </c>
    </row>
    <row r="50" spans="2:9">
      <c r="B50" s="11" t="s">
        <v>294</v>
      </c>
      <c r="D50" s="133" t="s">
        <v>289</v>
      </c>
      <c r="E50" s="133" t="s">
        <v>289</v>
      </c>
      <c r="F50" s="133" t="s">
        <v>289</v>
      </c>
      <c r="G50" s="133">
        <v>-264</v>
      </c>
      <c r="H50" s="133">
        <v>0</v>
      </c>
      <c r="I50" s="133">
        <v>0</v>
      </c>
    </row>
    <row r="51" spans="2:9">
      <c r="B51" s="11" t="s">
        <v>295</v>
      </c>
      <c r="D51" s="133" t="s">
        <v>289</v>
      </c>
      <c r="E51" s="133" t="s">
        <v>289</v>
      </c>
      <c r="F51" s="133" t="s">
        <v>289</v>
      </c>
      <c r="G51" s="133">
        <v>-2</v>
      </c>
      <c r="H51" s="133">
        <v>0</v>
      </c>
      <c r="I51" s="133">
        <v>0</v>
      </c>
    </row>
    <row r="52" spans="2:9">
      <c r="B52" s="11" t="s">
        <v>296</v>
      </c>
      <c r="D52" s="133" t="s">
        <v>289</v>
      </c>
      <c r="E52" s="133" t="s">
        <v>289</v>
      </c>
      <c r="F52" s="133" t="s">
        <v>289</v>
      </c>
      <c r="G52" s="133">
        <v>-70</v>
      </c>
      <c r="H52" s="133">
        <v>0</v>
      </c>
      <c r="I52" s="133">
        <v>0</v>
      </c>
    </row>
    <row r="53" spans="2:9">
      <c r="B53" s="11" t="s">
        <v>273</v>
      </c>
      <c r="C53" s="133">
        <v>-13</v>
      </c>
      <c r="D53" s="133">
        <v>-30</v>
      </c>
      <c r="E53" s="133">
        <v>-33</v>
      </c>
      <c r="F53" s="133">
        <v>-41</v>
      </c>
      <c r="G53" s="133">
        <v>-40</v>
      </c>
      <c r="H53" s="133">
        <v>-4</v>
      </c>
      <c r="I53" s="133" t="s">
        <v>289</v>
      </c>
    </row>
    <row r="54" spans="2:9">
      <c r="B54" s="11" t="s">
        <v>274</v>
      </c>
      <c r="C54" s="133">
        <v>-74365</v>
      </c>
      <c r="D54" s="133">
        <v>-36090</v>
      </c>
      <c r="E54" s="133">
        <v>-39876</v>
      </c>
      <c r="F54" s="133">
        <v>-48522</v>
      </c>
      <c r="G54" s="133">
        <v>-22649</v>
      </c>
      <c r="H54" s="133">
        <v>-21337</v>
      </c>
      <c r="I54" s="133">
        <v>-22957</v>
      </c>
    </row>
    <row r="55" spans="2:9">
      <c r="B55" s="11" t="s">
        <v>275</v>
      </c>
      <c r="C55" s="133">
        <v>74691</v>
      </c>
      <c r="D55" s="133">
        <v>37690</v>
      </c>
      <c r="E55" s="133">
        <v>38486</v>
      </c>
      <c r="F55" s="133">
        <v>47786</v>
      </c>
      <c r="G55" s="133">
        <v>23462</v>
      </c>
      <c r="H55" s="133">
        <v>19846</v>
      </c>
      <c r="I55" s="133">
        <v>23987</v>
      </c>
    </row>
    <row r="56" spans="2:9">
      <c r="B56" s="11" t="s">
        <v>297</v>
      </c>
      <c r="D56" s="133" t="s">
        <v>289</v>
      </c>
      <c r="E56" s="133" t="s">
        <v>289</v>
      </c>
      <c r="F56" s="133">
        <v>-4</v>
      </c>
      <c r="G56" s="133">
        <v>-1</v>
      </c>
      <c r="H56" s="133">
        <v>1</v>
      </c>
      <c r="I56" s="133" t="s">
        <v>289</v>
      </c>
    </row>
    <row r="57" spans="2:9">
      <c r="B57" s="11" t="s">
        <v>276</v>
      </c>
      <c r="C57" s="133">
        <v>-4343</v>
      </c>
      <c r="D57" s="133">
        <v>-4979</v>
      </c>
      <c r="E57" s="133">
        <v>-2874</v>
      </c>
      <c r="F57" s="133">
        <v>-3711</v>
      </c>
      <c r="G57" s="133">
        <v>-3668</v>
      </c>
      <c r="H57" s="133">
        <v>-9170</v>
      </c>
      <c r="I57" s="133">
        <v>-2499</v>
      </c>
    </row>
    <row r="58" spans="2:9">
      <c r="B58" s="11" t="s">
        <v>277</v>
      </c>
      <c r="C58" s="133">
        <v>4056</v>
      </c>
      <c r="D58" s="133">
        <v>5658</v>
      </c>
      <c r="E58" s="133">
        <v>6601</v>
      </c>
      <c r="F58" s="133">
        <v>3656</v>
      </c>
      <c r="G58" s="133">
        <v>2488</v>
      </c>
      <c r="H58" s="133">
        <v>6369</v>
      </c>
      <c r="I58" s="133">
        <v>7774</v>
      </c>
    </row>
    <row r="59" spans="2:9">
      <c r="B59" s="11" t="s">
        <v>293</v>
      </c>
      <c r="C59" s="133">
        <v>0</v>
      </c>
      <c r="D59" s="133" t="s">
        <v>289</v>
      </c>
      <c r="E59" s="133" t="s">
        <v>289</v>
      </c>
      <c r="F59" s="133">
        <v>-1</v>
      </c>
      <c r="G59" s="133" t="s">
        <v>289</v>
      </c>
    </row>
    <row r="60" spans="2:9">
      <c r="B60" s="11" t="s">
        <v>278</v>
      </c>
      <c r="C60" s="133">
        <v>289</v>
      </c>
      <c r="D60" s="133">
        <v>351</v>
      </c>
      <c r="E60" s="133">
        <v>277</v>
      </c>
      <c r="F60" s="133">
        <v>161</v>
      </c>
      <c r="G60" s="133">
        <v>259</v>
      </c>
      <c r="H60" s="133">
        <v>425</v>
      </c>
      <c r="I60" s="133">
        <v>835</v>
      </c>
    </row>
    <row r="61" spans="2:9">
      <c r="B61" s="11" t="s">
        <v>279</v>
      </c>
      <c r="C61" s="133">
        <v>1</v>
      </c>
      <c r="D61" s="133">
        <v>1</v>
      </c>
      <c r="E61" s="133">
        <v>1</v>
      </c>
      <c r="F61" s="133">
        <v>1</v>
      </c>
      <c r="G61" s="133">
        <v>2</v>
      </c>
      <c r="H61" s="133">
        <v>3</v>
      </c>
      <c r="I61" s="133" t="s">
        <v>289</v>
      </c>
    </row>
    <row r="62" spans="2:9">
      <c r="B62" s="11" t="s">
        <v>292</v>
      </c>
      <c r="C62" s="133">
        <v>0</v>
      </c>
      <c r="D62" s="133" t="s">
        <v>289</v>
      </c>
      <c r="E62" s="133">
        <v>-44</v>
      </c>
      <c r="F62" s="133" t="s">
        <v>289</v>
      </c>
      <c r="G62" s="133" t="s">
        <v>289</v>
      </c>
      <c r="H62" s="133">
        <v>0</v>
      </c>
      <c r="I62" s="133">
        <v>0</v>
      </c>
    </row>
    <row r="63" spans="2:9" ht="15" thickBot="1">
      <c r="B63" s="92" t="s">
        <v>280</v>
      </c>
      <c r="C63" s="134">
        <f>SUM(C46:C62)</f>
        <v>-438</v>
      </c>
      <c r="D63" s="134">
        <f t="shared" ref="D63:I63" si="4">SUM(D46:D62)</f>
        <v>1791</v>
      </c>
      <c r="E63" s="134">
        <f t="shared" si="4"/>
        <v>-1528</v>
      </c>
      <c r="F63" s="134">
        <f t="shared" si="4"/>
        <v>-1728</v>
      </c>
      <c r="G63" s="134">
        <f t="shared" si="4"/>
        <v>-1494</v>
      </c>
      <c r="H63" s="134">
        <f t="shared" si="4"/>
        <v>-5324</v>
      </c>
      <c r="I63" s="134">
        <f t="shared" si="4"/>
        <v>6473</v>
      </c>
    </row>
    <row r="65" spans="2:9">
      <c r="B65" s="152" t="s">
        <v>281</v>
      </c>
    </row>
    <row r="66" spans="2:9">
      <c r="B66" s="152"/>
    </row>
    <row r="67" spans="2:9">
      <c r="B67" s="11" t="s">
        <v>244</v>
      </c>
      <c r="C67" s="133">
        <v>-4554</v>
      </c>
      <c r="D67" s="133">
        <v>-5196</v>
      </c>
      <c r="E67" s="133">
        <v>-8811</v>
      </c>
      <c r="F67" s="133">
        <v>-7526</v>
      </c>
      <c r="G67" s="133">
        <v>-8473</v>
      </c>
      <c r="H67" s="133">
        <v>-9416</v>
      </c>
      <c r="I67" s="133">
        <v>-12473</v>
      </c>
    </row>
    <row r="68" spans="2:9">
      <c r="B68" s="11" t="s">
        <v>298</v>
      </c>
      <c r="C68" s="133">
        <v>-928</v>
      </c>
      <c r="D68" s="133">
        <v>-1061</v>
      </c>
      <c r="E68" s="133" t="s">
        <v>289</v>
      </c>
      <c r="F68" s="133" t="s">
        <v>289</v>
      </c>
      <c r="G68" s="133" t="s">
        <v>289</v>
      </c>
    </row>
    <row r="69" spans="2:9">
      <c r="B69" s="11" t="s">
        <v>299</v>
      </c>
      <c r="C69" s="133">
        <v>99</v>
      </c>
      <c r="D69" s="133" t="s">
        <v>289</v>
      </c>
      <c r="E69" s="133">
        <v>188</v>
      </c>
      <c r="F69" s="133" t="s">
        <v>289</v>
      </c>
      <c r="G69" s="133">
        <v>98</v>
      </c>
    </row>
    <row r="70" spans="2:9">
      <c r="B70" s="11" t="s">
        <v>282</v>
      </c>
      <c r="C70" s="133">
        <v>0</v>
      </c>
      <c r="D70" s="133">
        <v>-99</v>
      </c>
      <c r="E70" s="133">
        <v>-188</v>
      </c>
      <c r="F70" s="133" t="s">
        <v>289</v>
      </c>
      <c r="G70" s="133" t="s">
        <v>289</v>
      </c>
      <c r="H70" s="133">
        <v>-85</v>
      </c>
      <c r="I70" s="133" t="s">
        <v>289</v>
      </c>
    </row>
    <row r="71" spans="2:9">
      <c r="B71" s="11" t="s">
        <v>245</v>
      </c>
      <c r="C71" s="133">
        <v>0</v>
      </c>
      <c r="D71" s="133">
        <v>-373</v>
      </c>
      <c r="E71" s="133">
        <v>-406</v>
      </c>
      <c r="F71" s="133">
        <v>-409</v>
      </c>
      <c r="G71" s="133">
        <v>-427</v>
      </c>
      <c r="H71" s="133">
        <v>-423</v>
      </c>
      <c r="I71" s="133">
        <v>-498</v>
      </c>
    </row>
    <row r="72" spans="2:9">
      <c r="B72" s="11" t="s">
        <v>283</v>
      </c>
      <c r="C72" s="133">
        <v>0</v>
      </c>
      <c r="D72" s="133">
        <v>-80</v>
      </c>
      <c r="E72" s="133">
        <v>-86</v>
      </c>
      <c r="F72" s="133">
        <v>-101</v>
      </c>
      <c r="G72" s="133">
        <v>-114</v>
      </c>
      <c r="H72" s="133">
        <v>-106</v>
      </c>
      <c r="I72" s="133">
        <v>-127</v>
      </c>
    </row>
    <row r="73" spans="2:9">
      <c r="B73" s="11" t="s">
        <v>284</v>
      </c>
      <c r="C73" s="133">
        <v>-7</v>
      </c>
      <c r="D73" s="133">
        <v>-10</v>
      </c>
      <c r="E73" s="133">
        <v>-6</v>
      </c>
      <c r="F73" s="133">
        <v>-1</v>
      </c>
      <c r="G73" s="133">
        <v>-14</v>
      </c>
      <c r="H73" s="133">
        <v>-4</v>
      </c>
      <c r="I73" s="133">
        <v>-3</v>
      </c>
    </row>
    <row r="74" spans="2:9">
      <c r="B74" s="11" t="s">
        <v>300</v>
      </c>
      <c r="C74" s="133">
        <v>0</v>
      </c>
      <c r="D74" s="133">
        <v>0</v>
      </c>
      <c r="E74" s="133">
        <v>0</v>
      </c>
      <c r="F74" s="133">
        <v>143</v>
      </c>
      <c r="G74" s="133" t="s">
        <v>289</v>
      </c>
    </row>
    <row r="75" spans="2:9" ht="15" thickBot="1">
      <c r="B75" s="92" t="s">
        <v>285</v>
      </c>
      <c r="C75" s="134">
        <f>SUM(C67:C74)</f>
        <v>-5390</v>
      </c>
      <c r="D75" s="134">
        <f t="shared" ref="D75:I75" si="5">SUM(D67:D74)</f>
        <v>-6819</v>
      </c>
      <c r="E75" s="134">
        <f t="shared" si="5"/>
        <v>-9309</v>
      </c>
      <c r="F75" s="134">
        <f t="shared" si="5"/>
        <v>-7894</v>
      </c>
      <c r="G75" s="134">
        <f t="shared" si="5"/>
        <v>-8930</v>
      </c>
      <c r="H75" s="134">
        <f t="shared" si="5"/>
        <v>-10034</v>
      </c>
      <c r="I75" s="134">
        <f t="shared" si="5"/>
        <v>-13101</v>
      </c>
    </row>
    <row r="77" spans="2:9">
      <c r="B77" s="153" t="s">
        <v>286</v>
      </c>
      <c r="C77" s="136">
        <f>C42+C63+C75</f>
        <v>-28</v>
      </c>
      <c r="D77" s="136">
        <f t="shared" ref="D77:I77" si="6">D42+D63+D75</f>
        <v>2595</v>
      </c>
      <c r="E77" s="136">
        <f t="shared" si="6"/>
        <v>-1674</v>
      </c>
      <c r="F77" s="136">
        <f t="shared" si="6"/>
        <v>-574</v>
      </c>
      <c r="G77" s="136">
        <f t="shared" si="6"/>
        <v>-433</v>
      </c>
      <c r="H77" s="136">
        <f t="shared" si="6"/>
        <v>111</v>
      </c>
      <c r="I77" s="136">
        <f t="shared" si="6"/>
        <v>5258</v>
      </c>
    </row>
    <row r="78" spans="2:9">
      <c r="B78" s="11" t="s">
        <v>287</v>
      </c>
      <c r="C78" s="133">
        <v>649</v>
      </c>
      <c r="D78" s="133">
        <v>621</v>
      </c>
      <c r="E78" s="133">
        <v>3216</v>
      </c>
      <c r="F78" s="133">
        <v>1721</v>
      </c>
      <c r="G78" s="133">
        <v>1147</v>
      </c>
      <c r="H78" s="133">
        <v>701</v>
      </c>
      <c r="I78" s="133">
        <v>812</v>
      </c>
    </row>
    <row r="79" spans="2:9">
      <c r="B79" s="11" t="s">
        <v>648</v>
      </c>
      <c r="D79" s="133" t="s">
        <v>289</v>
      </c>
      <c r="E79" s="133">
        <v>300</v>
      </c>
      <c r="F79" s="133" t="s">
        <v>289</v>
      </c>
      <c r="G79" s="133">
        <v>0</v>
      </c>
    </row>
    <row r="80" spans="2:9" ht="15" thickBot="1">
      <c r="B80" s="92" t="s">
        <v>288</v>
      </c>
      <c r="C80" s="134">
        <f>SUM(C77:C79)</f>
        <v>621</v>
      </c>
      <c r="D80" s="134">
        <f t="shared" ref="D80:I80" si="7">SUM(D77:D79)</f>
        <v>3216</v>
      </c>
      <c r="E80" s="134">
        <f t="shared" si="7"/>
        <v>1842</v>
      </c>
      <c r="F80" s="134">
        <f t="shared" si="7"/>
        <v>1147</v>
      </c>
      <c r="G80" s="134">
        <f t="shared" si="7"/>
        <v>714</v>
      </c>
      <c r="H80" s="134">
        <f t="shared" si="7"/>
        <v>812</v>
      </c>
      <c r="I80" s="134">
        <f t="shared" si="7"/>
        <v>6070</v>
      </c>
    </row>
  </sheetData>
  <pageMargins left="0.75" right="0.75" top="1" bottom="1" header="0.5" footer="0.5"/>
  <pageSetup scale="3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4</vt:i4>
      </vt:variant>
    </vt:vector>
  </HeadingPairs>
  <TitlesOfParts>
    <vt:vector size="32" baseType="lpstr">
      <vt:lpstr>Cover Sheet&gt;</vt:lpstr>
      <vt:lpstr>Input Sheet</vt:lpstr>
      <vt:lpstr>Damodaran Data</vt:lpstr>
      <vt:lpstr>Control Sheet</vt:lpstr>
      <vt:lpstr>Schedules</vt:lpstr>
      <vt:lpstr>3Statement Model</vt:lpstr>
      <vt:lpstr>CommonSize Statement</vt:lpstr>
      <vt:lpstr>Ratio Analysis</vt:lpstr>
      <vt:lpstr>DuPont Analysis</vt:lpstr>
      <vt:lpstr>ROIIC Profiling- Saber</vt:lpstr>
      <vt:lpstr>DCF&gt;</vt:lpstr>
      <vt:lpstr>WACC</vt:lpstr>
      <vt:lpstr>DCFVal</vt:lpstr>
      <vt:lpstr>Relative&gt;</vt:lpstr>
      <vt:lpstr>Comps_Description </vt:lpstr>
      <vt:lpstr>Benchmarking</vt:lpstr>
      <vt:lpstr>Relative_Val</vt:lpstr>
      <vt:lpstr>Valuation Summary</vt:lpstr>
      <vt:lpstr>Workings&gt;</vt:lpstr>
      <vt:lpstr>Assumptions Working</vt:lpstr>
      <vt:lpstr>Report</vt:lpstr>
      <vt:lpstr>Growth Drivers</vt:lpstr>
      <vt:lpstr>Option value</vt:lpstr>
      <vt:lpstr>Client Data&gt;</vt:lpstr>
      <vt:lpstr> Income Statement</vt:lpstr>
      <vt:lpstr> Income Statement (2)</vt:lpstr>
      <vt:lpstr>Balance Sheet</vt:lpstr>
      <vt:lpstr>Cash Flow Statement</vt:lpstr>
      <vt:lpstr>' Income Statement'!Print_Area</vt:lpstr>
      <vt:lpstr>' Income Statement (2)'!Print_Area</vt:lpstr>
      <vt:lpstr>'Balance Sheet'!Print_Area</vt:lpstr>
      <vt:lpstr>'Cash Flow 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Mandhana</dc:creator>
  <cp:lastModifiedBy>Suyash Mandhana</cp:lastModifiedBy>
  <dcterms:created xsi:type="dcterms:W3CDTF">2015-06-05T18:17:20Z</dcterms:created>
  <dcterms:modified xsi:type="dcterms:W3CDTF">2026-03-23T10:51:30Z</dcterms:modified>
</cp:coreProperties>
</file>