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InkAnnotation="0" autoCompressPictures="0"/>
  <mc:AlternateContent xmlns:mc="http://schemas.openxmlformats.org/markup-compatibility/2006">
    <mc:Choice Requires="x15">
      <x15ac:absPath xmlns:x15ac="http://schemas.microsoft.com/office/spreadsheetml/2010/11/ac" url="C:\Users\Suyash Kumar\Downloads\"/>
    </mc:Choice>
  </mc:AlternateContent>
  <xr:revisionPtr revIDLastSave="0" documentId="13_ncr:1_{F1C6B13F-465A-4780-AA55-29371B582D8E}" xr6:coauthVersionLast="47" xr6:coauthVersionMax="47" xr10:uidLastSave="{00000000-0000-0000-0000-000000000000}"/>
  <bookViews>
    <workbookView xWindow="-110" yWindow="-110" windowWidth="19420" windowHeight="10300" tabRatio="728" activeTab="4" xr2:uid="{00000000-000D-0000-FFFF-FFFF00000000}"/>
  </bookViews>
  <sheets>
    <sheet name="Assumptions" sheetId="8" r:id="rId1"/>
    <sheet name="Funds Required" sheetId="10" r:id="rId2"/>
    <sheet name="Income Statement" sheetId="5" r:id="rId3"/>
    <sheet name="Cash Flow Statement" sheetId="7" r:id="rId4"/>
    <sheet name="Valuation (DCF)"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2" i="10" l="1"/>
  <c r="B20" i="10"/>
  <c r="B16" i="10"/>
  <c r="B11" i="10"/>
  <c r="B8" i="10"/>
  <c r="D38" i="8"/>
  <c r="D37" i="8"/>
  <c r="D34" i="8"/>
  <c r="D33" i="8"/>
  <c r="D32" i="8"/>
  <c r="B9" i="10"/>
  <c r="D43" i="9"/>
  <c r="D42" i="9"/>
  <c r="D40" i="9"/>
  <c r="D38" i="9"/>
  <c r="B37" i="9"/>
  <c r="I36" i="9"/>
  <c r="I34" i="9"/>
  <c r="I33" i="9"/>
  <c r="C16" i="9"/>
  <c r="D16" i="9"/>
  <c r="B16" i="9"/>
  <c r="B14" i="9"/>
  <c r="B11" i="9"/>
  <c r="D15" i="9"/>
  <c r="D12" i="9"/>
  <c r="C15" i="9"/>
  <c r="C12" i="9"/>
  <c r="B15" i="9"/>
  <c r="B12" i="9"/>
  <c r="D27" i="9"/>
  <c r="D26" i="9"/>
  <c r="H14" i="9"/>
  <c r="G10" i="9"/>
  <c r="G8" i="9"/>
  <c r="G7" i="9"/>
  <c r="D21" i="7"/>
  <c r="D22" i="7" s="1"/>
  <c r="C21" i="7"/>
  <c r="C22" i="7" s="1"/>
  <c r="B22" i="7"/>
  <c r="B22" i="5"/>
  <c r="B21" i="7"/>
  <c r="C18" i="7"/>
  <c r="D18" i="7"/>
  <c r="B18" i="7"/>
  <c r="C13" i="7"/>
  <c r="D13" i="7"/>
  <c r="B13" i="7"/>
  <c r="B8" i="7"/>
  <c r="D27" i="5"/>
  <c r="C27" i="5"/>
  <c r="B27" i="5"/>
  <c r="B24" i="5"/>
  <c r="B30" i="5" s="1"/>
  <c r="C22" i="5"/>
  <c r="D22" i="5" s="1"/>
  <c r="C21" i="5"/>
  <c r="D21" i="5"/>
  <c r="B21" i="5"/>
  <c r="D19" i="5"/>
  <c r="C19" i="5"/>
  <c r="B19" i="5"/>
  <c r="D18" i="5"/>
  <c r="C18" i="5"/>
  <c r="B18" i="5"/>
  <c r="D17" i="5"/>
  <c r="C17" i="5"/>
  <c r="B17" i="5"/>
  <c r="D16" i="5"/>
  <c r="C16" i="5"/>
  <c r="B16" i="5"/>
  <c r="C13" i="5"/>
  <c r="D13" i="5"/>
  <c r="B13" i="5"/>
  <c r="C12" i="5"/>
  <c r="D12" i="5"/>
  <c r="B12" i="5"/>
  <c r="D10" i="5"/>
  <c r="C10" i="5"/>
  <c r="B10" i="5"/>
  <c r="C8" i="5"/>
  <c r="D8" i="5"/>
  <c r="B8" i="5"/>
  <c r="D6" i="5"/>
  <c r="C6" i="5"/>
  <c r="B6" i="5"/>
  <c r="D5" i="5"/>
  <c r="C5" i="5"/>
  <c r="B5" i="5"/>
  <c r="B14" i="10"/>
  <c r="B7" i="10"/>
  <c r="B38" i="9"/>
  <c r="D8" i="7" l="1"/>
  <c r="D24" i="5"/>
  <c r="B7" i="7"/>
  <c r="B9" i="7" s="1"/>
  <c r="B31" i="5"/>
  <c r="C24" i="5"/>
  <c r="B25" i="5"/>
  <c r="C8" i="7"/>
  <c r="D35" i="9"/>
  <c r="C6" i="9"/>
  <c r="B22" i="9"/>
  <c r="D30" i="5" l="1"/>
  <c r="D25" i="5"/>
  <c r="C30" i="5"/>
  <c r="C25" i="5"/>
  <c r="D22" i="9"/>
  <c r="D19" i="9"/>
  <c r="D31" i="5" l="1"/>
  <c r="D7" i="7"/>
  <c r="D9" i="7" s="1"/>
  <c r="C31" i="5"/>
  <c r="C7" i="7"/>
  <c r="C9" i="7" s="1"/>
  <c r="D24" i="9"/>
  <c r="D11" i="9" l="1"/>
  <c r="D14" i="9" s="1"/>
  <c r="C11" i="9"/>
  <c r="C14" i="9" s="1"/>
  <c r="H13" i="9" l="1"/>
  <c r="H16" i="9" s="1"/>
  <c r="B21" i="9" s="1"/>
</calcChain>
</file>

<file path=xl/sharedStrings.xml><?xml version="1.0" encoding="utf-8"?>
<sst xmlns="http://schemas.openxmlformats.org/spreadsheetml/2006/main" count="150" uniqueCount="117">
  <si>
    <t>REVENUES</t>
  </si>
  <si>
    <t>Direct Operating Costs</t>
  </si>
  <si>
    <t>Indirect Operating Costs</t>
  </si>
  <si>
    <t>Salaries</t>
  </si>
  <si>
    <t>Depreciation</t>
  </si>
  <si>
    <t>NET PROFIT</t>
  </si>
  <si>
    <t>OPERATING PROFIT (EBIT)</t>
  </si>
  <si>
    <t>Tax on Income</t>
  </si>
  <si>
    <t>Interest on Loans</t>
  </si>
  <si>
    <t>Interest charged on Loan (% per annum)</t>
  </si>
  <si>
    <t>Life of Equipment (number of years)</t>
  </si>
  <si>
    <t>Personnel Costs (Rs. Per month)</t>
  </si>
  <si>
    <t>Based on the above, do the following on Excel:</t>
  </si>
  <si>
    <t>Operating Cash Flow</t>
  </si>
  <si>
    <t>Net Profit</t>
  </si>
  <si>
    <t>Plus: Depreciation &amp; Amortization</t>
  </si>
  <si>
    <t>Cash from Operations</t>
  </si>
  <si>
    <t>Investing Cash Flow</t>
  </si>
  <si>
    <t>Investments in Equipment</t>
  </si>
  <si>
    <t>Cash from Investing</t>
  </si>
  <si>
    <t>Financing Cash Flow</t>
  </si>
  <si>
    <t>Issuance (repayment) of Debt</t>
  </si>
  <si>
    <t>Issuance (repayment) of Equity</t>
  </si>
  <si>
    <t>Cash from Financing</t>
  </si>
  <si>
    <t>Net increase (decrease) in Cash</t>
  </si>
  <si>
    <t>Opening Cash Balance</t>
  </si>
  <si>
    <t>Closing Cash Balance</t>
  </si>
  <si>
    <t>Equipment - Salvage Value (Rs.)</t>
  </si>
  <si>
    <t>Financial Year 2024-2025</t>
  </si>
  <si>
    <t>Financial Year 2025-2026</t>
  </si>
  <si>
    <t>Financial Year 2026-2027</t>
  </si>
  <si>
    <t>Cash Flow Statement (Projections)</t>
  </si>
  <si>
    <t>Income Statement (Projections)</t>
  </si>
  <si>
    <t>Marketing Expenses</t>
  </si>
  <si>
    <t xml:space="preserve">Office Maintenance Expenses </t>
  </si>
  <si>
    <t>Total - Indirect Operating Costs</t>
  </si>
  <si>
    <t>(Assume)</t>
  </si>
  <si>
    <t>NIL</t>
  </si>
  <si>
    <t>Office Supplies</t>
  </si>
  <si>
    <t>Discount Rate:</t>
  </si>
  <si>
    <t>Growth Rate:</t>
  </si>
  <si>
    <t>Year 1</t>
  </si>
  <si>
    <t>Year 2</t>
  </si>
  <si>
    <t>Year 3</t>
  </si>
  <si>
    <t>Value in Perpetuity =</t>
  </si>
  <si>
    <t xml:space="preserve">Discount Factor: </t>
  </si>
  <si>
    <t>Present Value:</t>
  </si>
  <si>
    <t xml:space="preserve">Value in Perpetuity: </t>
  </si>
  <si>
    <t>Total Present Value of the Company:</t>
  </si>
  <si>
    <t>Pre-money Valuation</t>
  </si>
  <si>
    <t>% Equity of Founders (before Investors' funding)</t>
  </si>
  <si>
    <t>PV of the Company</t>
  </si>
  <si>
    <t>Round up</t>
  </si>
  <si>
    <t>(Negotiated?)</t>
  </si>
  <si>
    <t>Investors' Contribution</t>
  </si>
  <si>
    <t>Post-money Valuation</t>
  </si>
  <si>
    <t>% Equity to Investors</t>
  </si>
  <si>
    <t>% Equity of Founders</t>
  </si>
  <si>
    <t>Funds Raising</t>
  </si>
  <si>
    <t>(when starting the Venture)</t>
  </si>
  <si>
    <t>Use of Funds</t>
  </si>
  <si>
    <t>TOTAL USE OF FUNDS</t>
  </si>
  <si>
    <t>Sources of Funds</t>
  </si>
  <si>
    <t>Founders' Contribution</t>
  </si>
  <si>
    <t>TOTAL SOURCES OF FUNDS</t>
  </si>
  <si>
    <t>Founders' investment at start of the Venture (Rs.)</t>
  </si>
  <si>
    <t>Founders' Loan given on 31st March 2024 (Rs.)</t>
  </si>
  <si>
    <t>Office Supplies consumed during the year</t>
  </si>
  <si>
    <t>Current Liabilities (Accounts Payable) - 2 months of Indirect Expenses in 1st year</t>
  </si>
  <si>
    <t>Office Maintenance Expenses (Rs. Per month)</t>
  </si>
  <si>
    <t>Marketing Expenses (Rs. Per year)</t>
  </si>
  <si>
    <t>GROSS PROFIT MARGIN (%)</t>
  </si>
  <si>
    <t>GROSS PROFIT (Rs.)</t>
  </si>
  <si>
    <t>OPERATING PROFIT MARGIN (%)</t>
  </si>
  <si>
    <t>NET PROFIT MARGIN (%)</t>
  </si>
  <si>
    <t>Loans from Founders</t>
  </si>
  <si>
    <t>For Capital Investments</t>
  </si>
  <si>
    <t>For Working Capital</t>
  </si>
  <si>
    <t>For Funding Operating Losses</t>
  </si>
  <si>
    <t>Current Assets (Inventory) maintained (planned 10% of Direct Operating Costs in 1st year)</t>
  </si>
  <si>
    <t>Current Ratio</t>
  </si>
  <si>
    <t>Quick Ratio</t>
  </si>
  <si>
    <t>3-Year Present Value:</t>
  </si>
  <si>
    <t>3.</t>
  </si>
  <si>
    <t>Discount Rate</t>
  </si>
  <si>
    <t>Growth Rate (Going Concern Principle)</t>
  </si>
  <si>
    <t>1.   Based on the entries in "Assumptions" sheet, calculate Current Assets, Current Liabilities, Current Ratio and Quick Ratio</t>
  </si>
  <si>
    <t>Based on the Cash Flow Statement and following assumptions, determine Valuation using DCF Methodology, and propose amount of Investors' Contribution and percentage of equity that should be offered to the Investors.</t>
  </si>
  <si>
    <t>2.   Based on the entries in "Assumptions" sheet, prepare "Funds Required", projected "Income Statement" and "Cash Flow Statement" for next 3 years.</t>
  </si>
  <si>
    <t>Discounted Cash Flow Model (first 3 Years)</t>
  </si>
  <si>
    <t>Please note that all cells that are shaded "grey" are input numbers, whereas  others are "formulae".  This is applicable across all worksheets in this excel model.</t>
  </si>
  <si>
    <t>After Year 3 (Going Concern Principle)</t>
  </si>
  <si>
    <t>Mobile Products Private Limited (MPPL)</t>
  </si>
  <si>
    <t>Servicing Equipment Purchased (Rs.) on 31st March 2024</t>
  </si>
  <si>
    <t>Number of Mobile Phones sold every month in the 1st year (quantity)</t>
  </si>
  <si>
    <t>Cost of Refurbushing each Mobile Phone</t>
  </si>
  <si>
    <t xml:space="preserve">  (a) Purchase of Old Phone</t>
  </si>
  <si>
    <t xml:space="preserve">  (b) Repair &amp; Packaging</t>
  </si>
  <si>
    <t>(From end of 1st year onwards, assume no changes in these 3 above)</t>
  </si>
  <si>
    <t>Price charged per Mobile Phone (Rs.)</t>
  </si>
  <si>
    <t>Increase in Number of Mobile Phones sold (% every year)</t>
  </si>
  <si>
    <t>Decrease in Price charged per Mobile Phone (% every year)</t>
  </si>
  <si>
    <t>A company, Mobile Products Private Limited (MPPL) is in the business of buying old Mobile phones, and after refurbishing sell them to their customers.  The Founders decided to start the company on 1st March 2024 when they became shareholders and invested Rs.1 crore as Equity, and also gave a loan of Rs.50 Lacs at 15% interest starting 1st April 2024.  MPPL started their operations on 1st April 2024 and hired personnel and started buying old Mobile phones.
Now, MPPL is approaching investors for raising funds and has prepared financial projections for next 3 years (starting 1st April 2024 till 31st March 2027).  Given below are the current transactions and a few assumptions on their business operations; see specifically those cells that are shaded in “grey”.</t>
  </si>
  <si>
    <t>Computers for Employees Purchased (Rs.) on 31st March 2024</t>
  </si>
  <si>
    <t>Life of Computers (number of years)</t>
  </si>
  <si>
    <t>Computers - Salvage Value (Rs.)</t>
  </si>
  <si>
    <t>Current Assets (Accounts Receivable) - 2 months of Sales in 1st year</t>
  </si>
  <si>
    <t>(For calculating both these Ratios, assume "Cash Balance is "NIL")</t>
  </si>
  <si>
    <t>Excess/(Shortfall) Funds</t>
  </si>
  <si>
    <t>Number of Mobile Phones sold in an year</t>
  </si>
  <si>
    <t>End-Sem-2</t>
  </si>
  <si>
    <t>4.   If the Discount Rate is 30%, then what should be the amount of Investors' Contribution and what percentage of equity should be offered to the Investors?</t>
  </si>
  <si>
    <t>Discount Factor (for 30%):</t>
  </si>
  <si>
    <t>Present Value (for 30%):</t>
  </si>
  <si>
    <t>3 YEAR Present Value(for 30 %):</t>
  </si>
  <si>
    <t>Value in Perpetuity:</t>
  </si>
  <si>
    <t>Total Value of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</si>
</sst>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_(* \(#,##0.00\);_(* &quot;-&quot;??_);_(@_)"/>
    <numFmt numFmtId="165" formatCode="_(* #,##0_);_(* \(#,##0\);_(* &quot;-&quot;??_);_(@_)"/>
    <numFmt numFmtId="166" formatCode="0.000"/>
    <numFmt numFmtId="167" formatCode="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2"/>
      <color theme="1"/>
      <name val="Arial"/>
      <family val="2"/>
    </font>
    <font>
      <sz val="12"/>
      <color theme="1"/>
      <name val="Arial"/>
      <family val="2"/>
    </font>
    <font>
      <b/>
      <sz val="14"/>
      <color theme="1"/>
      <name val="Arial"/>
      <family val="2"/>
    </font>
    <font>
      <u/>
      <sz val="12"/>
      <color theme="1"/>
      <name val="Arial"/>
      <family val="2"/>
    </font>
    <font>
      <b/>
      <sz val="20"/>
      <color theme="1"/>
      <name val="Arial"/>
      <family val="2"/>
    </font>
    <font>
      <sz val="20"/>
      <color theme="1"/>
      <name val="Calibri"/>
      <family val="2"/>
      <scheme val="minor"/>
    </font>
    <font>
      <sz val="14"/>
      <color theme="1"/>
      <name val="Arial"/>
      <family val="2"/>
    </font>
    <font>
      <sz val="12"/>
      <color rgb="FFFF0000"/>
      <name val="Arial"/>
      <family val="2"/>
    </font>
    <font>
      <sz val="14"/>
      <color rgb="FFFF0000"/>
      <name val="Arial"/>
      <family val="2"/>
    </font>
    <font>
      <sz val="12"/>
      <color rgb="FF0070C0"/>
      <name val="Arial"/>
      <family val="2"/>
    </font>
    <font>
      <i/>
      <sz val="12"/>
      <color rgb="FF0070C0"/>
      <name val="Arial"/>
      <family val="2"/>
    </font>
    <font>
      <sz val="11"/>
      <color rgb="FFFF0000"/>
      <name val="Calibri"/>
      <family val="2"/>
      <scheme val="minor"/>
    </font>
    <font>
      <i/>
      <sz val="12"/>
      <color theme="1"/>
      <name val="Arial"/>
      <family val="2"/>
    </font>
    <font>
      <sz val="11"/>
      <color theme="1"/>
      <name val="Calibri"/>
      <family val="2"/>
    </font>
    <font>
      <sz val="14"/>
      <name val="Arial"/>
      <family val="2"/>
    </font>
    <font>
      <b/>
      <sz val="20"/>
      <color rgb="FFFF0000"/>
      <name val="Arial"/>
      <family val="2"/>
    </font>
    <font>
      <b/>
      <sz val="16"/>
      <color rgb="FFFF0000"/>
      <name val="Arial"/>
      <family val="2"/>
    </font>
  </fonts>
  <fills count="5">
    <fill>
      <patternFill patternType="none"/>
    </fill>
    <fill>
      <patternFill patternType="gray125"/>
    </fill>
    <fill>
      <patternFill patternType="solid">
        <fgColor theme="0"/>
        <bgColor theme="0"/>
      </patternFill>
    </fill>
    <fill>
      <patternFill patternType="solid">
        <fgColor theme="0" tint="-0.14999847407452621"/>
        <bgColor indexed="64"/>
      </patternFill>
    </fill>
    <fill>
      <patternFill patternType="solid">
        <fgColor theme="1" tint="0.499984740745262"/>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cellStyleXfs>
  <cellXfs count="100">
    <xf numFmtId="0" fontId="0" fillId="0" borderId="0" xfId="0"/>
    <xf numFmtId="0" fontId="6" fillId="0" borderId="0" xfId="0" applyFont="1"/>
    <xf numFmtId="0" fontId="7" fillId="0" borderId="0" xfId="0" applyFont="1"/>
    <xf numFmtId="0" fontId="9" fillId="0" borderId="0" xfId="0" applyFont="1"/>
    <xf numFmtId="0" fontId="8" fillId="0" borderId="0" xfId="0" applyFont="1" applyAlignment="1">
      <alignment horizontal="center" vertical="center" wrapText="1"/>
    </xf>
    <xf numFmtId="0" fontId="11" fillId="0" borderId="0" xfId="0" applyFont="1"/>
    <xf numFmtId="0" fontId="8" fillId="0" borderId="0" xfId="0" applyFont="1"/>
    <xf numFmtId="165" fontId="8" fillId="0" borderId="0" xfId="13" applyNumberFormat="1" applyFont="1"/>
    <xf numFmtId="0" fontId="10" fillId="0" borderId="0" xfId="0" applyFont="1"/>
    <xf numFmtId="165" fontId="12" fillId="0" borderId="0" xfId="13" applyNumberFormat="1" applyFont="1"/>
    <xf numFmtId="0" fontId="13" fillId="0" borderId="0" xfId="0" applyFont="1"/>
    <xf numFmtId="0" fontId="15" fillId="0" borderId="0" xfId="0" applyFont="1"/>
    <xf numFmtId="3" fontId="16" fillId="0" borderId="0" xfId="13" applyNumberFormat="1" applyFont="1"/>
    <xf numFmtId="0" fontId="7" fillId="0" borderId="1" xfId="0" applyFont="1" applyBorder="1"/>
    <xf numFmtId="0" fontId="17" fillId="0" borderId="0" xfId="0" applyFont="1"/>
    <xf numFmtId="0" fontId="7" fillId="0" borderId="0" xfId="0" applyFont="1" applyAlignment="1">
      <alignment wrapText="1"/>
    </xf>
    <xf numFmtId="37" fontId="0" fillId="0" borderId="0" xfId="0" applyNumberFormat="1"/>
    <xf numFmtId="0" fontId="7" fillId="0" borderId="0" xfId="0" applyFont="1" applyAlignment="1">
      <alignment vertical="top" wrapText="1"/>
    </xf>
    <xf numFmtId="37" fontId="12" fillId="0" borderId="0" xfId="13" applyNumberFormat="1" applyFont="1"/>
    <xf numFmtId="37" fontId="12" fillId="0" borderId="0" xfId="13" applyNumberFormat="1" applyFont="1" applyFill="1"/>
    <xf numFmtId="37" fontId="8" fillId="0" borderId="0" xfId="13" applyNumberFormat="1" applyFont="1"/>
    <xf numFmtId="37" fontId="12" fillId="0" borderId="0" xfId="0" applyNumberFormat="1" applyFont="1" applyAlignment="1">
      <alignment horizontal="right" vertical="center" wrapText="1"/>
    </xf>
    <xf numFmtId="37" fontId="8" fillId="0" borderId="0" xfId="13" applyNumberFormat="1" applyFont="1" applyFill="1"/>
    <xf numFmtId="37" fontId="12" fillId="0" borderId="0" xfId="13" applyNumberFormat="1" applyFont="1" applyBorder="1"/>
    <xf numFmtId="37" fontId="12" fillId="0" borderId="1" xfId="13" applyNumberFormat="1" applyFont="1" applyBorder="1"/>
    <xf numFmtId="3" fontId="18" fillId="0" borderId="0" xfId="13" applyNumberFormat="1" applyFont="1"/>
    <xf numFmtId="0" fontId="8" fillId="0" borderId="0" xfId="0" applyFont="1" applyAlignment="1">
      <alignment horizontal="center" vertical="center"/>
    </xf>
    <xf numFmtId="0" fontId="19" fillId="2" borderId="0" xfId="0" applyFont="1" applyFill="1"/>
    <xf numFmtId="0" fontId="2" fillId="0" borderId="0" xfId="0" applyFont="1" applyAlignment="1">
      <alignment wrapText="1"/>
    </xf>
    <xf numFmtId="0" fontId="7" fillId="0" borderId="2" xfId="0" applyFont="1" applyBorder="1"/>
    <xf numFmtId="0" fontId="19" fillId="2" borderId="3" xfId="0" applyFont="1" applyFill="1" applyBorder="1"/>
    <xf numFmtId="0" fontId="19" fillId="2" borderId="4" xfId="0" applyFont="1" applyFill="1" applyBorder="1"/>
    <xf numFmtId="0" fontId="7" fillId="0" borderId="5" xfId="0" applyFont="1" applyBorder="1"/>
    <xf numFmtId="9" fontId="7" fillId="0" borderId="0" xfId="14" applyFont="1" applyBorder="1"/>
    <xf numFmtId="0" fontId="19" fillId="2" borderId="6" xfId="0" applyFont="1" applyFill="1" applyBorder="1"/>
    <xf numFmtId="0" fontId="7" fillId="0" borderId="7" xfId="0" applyFont="1" applyBorder="1"/>
    <xf numFmtId="0" fontId="19" fillId="2" borderId="8" xfId="0" applyFont="1" applyFill="1" applyBorder="1"/>
    <xf numFmtId="0" fontId="19" fillId="0" borderId="0" xfId="0" applyFont="1"/>
    <xf numFmtId="165" fontId="7" fillId="0" borderId="0" xfId="13" applyNumberFormat="1" applyFont="1" applyBorder="1"/>
    <xf numFmtId="0" fontId="19" fillId="0" borderId="7" xfId="0" applyFont="1" applyBorder="1"/>
    <xf numFmtId="0" fontId="7" fillId="0" borderId="3" xfId="0" applyFont="1" applyBorder="1"/>
    <xf numFmtId="165" fontId="7" fillId="0" borderId="4" xfId="13" applyNumberFormat="1" applyFont="1" applyBorder="1"/>
    <xf numFmtId="165" fontId="7" fillId="0" borderId="8" xfId="13" applyNumberFormat="1" applyFont="1" applyBorder="1"/>
    <xf numFmtId="0" fontId="7" fillId="0" borderId="9" xfId="0" applyFont="1" applyBorder="1" applyAlignment="1">
      <alignment wrapText="1"/>
    </xf>
    <xf numFmtId="0" fontId="7" fillId="0" borderId="10" xfId="0" applyFont="1" applyBorder="1"/>
    <xf numFmtId="165" fontId="7" fillId="0" borderId="11" xfId="13" applyNumberFormat="1" applyFont="1" applyBorder="1"/>
    <xf numFmtId="0" fontId="6" fillId="0" borderId="0" xfId="0" applyFont="1" applyAlignment="1">
      <alignment horizontal="center" vertical="center"/>
    </xf>
    <xf numFmtId="0" fontId="2" fillId="0" borderId="0" xfId="0" applyFont="1"/>
    <xf numFmtId="10" fontId="13" fillId="0" borderId="0" xfId="14" applyNumberFormat="1" applyFont="1" applyBorder="1"/>
    <xf numFmtId="10" fontId="7" fillId="3" borderId="0" xfId="14" applyNumberFormat="1" applyFont="1" applyFill="1" applyBorder="1"/>
    <xf numFmtId="165" fontId="7" fillId="0" borderId="0" xfId="13" applyNumberFormat="1" applyFont="1" applyFill="1" applyBorder="1"/>
    <xf numFmtId="165" fontId="7" fillId="0" borderId="0" xfId="13" applyNumberFormat="1" applyFont="1" applyFill="1" applyBorder="1" applyAlignment="1">
      <alignment horizontal="right"/>
    </xf>
    <xf numFmtId="165" fontId="7" fillId="3" borderId="0" xfId="13" applyNumberFormat="1" applyFont="1" applyFill="1" applyBorder="1"/>
    <xf numFmtId="165" fontId="7" fillId="0" borderId="0" xfId="13" applyNumberFormat="1" applyFont="1" applyFill="1" applyBorder="1" applyAlignment="1">
      <alignment horizontal="left"/>
    </xf>
    <xf numFmtId="0" fontId="12" fillId="0" borderId="0" xfId="0" applyFont="1"/>
    <xf numFmtId="165" fontId="12" fillId="3" borderId="0" xfId="13" applyNumberFormat="1" applyFont="1" applyFill="1"/>
    <xf numFmtId="0" fontId="12" fillId="0" borderId="0" xfId="0" quotePrefix="1" applyFont="1"/>
    <xf numFmtId="167" fontId="8" fillId="0" borderId="0" xfId="14" applyNumberFormat="1" applyFont="1"/>
    <xf numFmtId="165" fontId="20" fillId="0" borderId="0" xfId="13" applyNumberFormat="1" applyFont="1" applyFill="1"/>
    <xf numFmtId="165" fontId="12" fillId="0" borderId="0" xfId="13" applyNumberFormat="1" applyFont="1" applyFill="1"/>
    <xf numFmtId="3" fontId="7" fillId="3" borderId="0" xfId="13" applyNumberFormat="1" applyFont="1" applyFill="1"/>
    <xf numFmtId="9" fontId="7" fillId="3" borderId="0" xfId="14" applyFont="1" applyFill="1"/>
    <xf numFmtId="3" fontId="7" fillId="3" borderId="0" xfId="0" applyNumberFormat="1" applyFont="1" applyFill="1"/>
    <xf numFmtId="37" fontId="12" fillId="3" borderId="0" xfId="13" applyNumberFormat="1" applyFont="1" applyFill="1"/>
    <xf numFmtId="3" fontId="7" fillId="0" borderId="0" xfId="13" applyNumberFormat="1" applyFont="1"/>
    <xf numFmtId="4" fontId="7" fillId="0" borderId="0" xfId="13" applyNumberFormat="1" applyFont="1"/>
    <xf numFmtId="165" fontId="6" fillId="0" borderId="0" xfId="13" applyNumberFormat="1" applyFont="1" applyFill="1" applyBorder="1"/>
    <xf numFmtId="0" fontId="1" fillId="0" borderId="0" xfId="0" applyFont="1"/>
    <xf numFmtId="10" fontId="7" fillId="0" borderId="0" xfId="14" applyNumberFormat="1" applyFont="1" applyBorder="1"/>
    <xf numFmtId="0" fontId="7" fillId="0" borderId="0" xfId="0" quotePrefix="1" applyFont="1" applyAlignment="1">
      <alignment horizontal="left" vertical="top" wrapText="1"/>
    </xf>
    <xf numFmtId="9" fontId="7" fillId="3" borderId="0" xfId="0" applyNumberFormat="1" applyFont="1" applyFill="1"/>
    <xf numFmtId="9" fontId="7" fillId="0" borderId="1" xfId="14" applyFont="1" applyFill="1" applyBorder="1"/>
    <xf numFmtId="3" fontId="18" fillId="3" borderId="0" xfId="13" applyNumberFormat="1" applyFont="1" applyFill="1" applyAlignment="1">
      <alignment horizontal="right"/>
    </xf>
    <xf numFmtId="9" fontId="7" fillId="0" borderId="3" xfId="14" applyFont="1" applyFill="1" applyBorder="1"/>
    <xf numFmtId="0" fontId="7" fillId="0" borderId="4" xfId="0" applyFont="1" applyBorder="1"/>
    <xf numFmtId="0" fontId="7" fillId="0" borderId="6" xfId="0" applyFont="1" applyBorder="1"/>
    <xf numFmtId="0" fontId="6" fillId="0" borderId="0" xfId="0" applyFont="1" applyAlignment="1">
      <alignment horizontal="center" wrapText="1"/>
    </xf>
    <xf numFmtId="0" fontId="6" fillId="0" borderId="6" xfId="0" applyFont="1" applyBorder="1" applyAlignment="1">
      <alignment horizontal="center" wrapText="1"/>
    </xf>
    <xf numFmtId="165" fontId="7" fillId="0" borderId="6" xfId="13" applyNumberFormat="1" applyFont="1" applyBorder="1"/>
    <xf numFmtId="166" fontId="7" fillId="0" borderId="0" xfId="0" applyNumberFormat="1" applyFont="1"/>
    <xf numFmtId="166" fontId="7" fillId="0" borderId="6" xfId="0" applyNumberFormat="1" applyFont="1" applyBorder="1"/>
    <xf numFmtId="165" fontId="7" fillId="0" borderId="1" xfId="13" applyNumberFormat="1" applyFont="1" applyBorder="1"/>
    <xf numFmtId="0" fontId="0" fillId="4" borderId="0" xfId="0" applyFill="1"/>
    <xf numFmtId="9" fontId="7" fillId="3" borderId="0" xfId="14" applyFont="1" applyFill="1" applyBorder="1"/>
    <xf numFmtId="0" fontId="10" fillId="0" borderId="0" xfId="0" applyFont="1" applyAlignment="1">
      <alignment horizontal="center"/>
    </xf>
    <xf numFmtId="0" fontId="21" fillId="0" borderId="0" xfId="0" applyFont="1"/>
    <xf numFmtId="0" fontId="14" fillId="0" borderId="0" xfId="0" applyFont="1"/>
    <xf numFmtId="0" fontId="7" fillId="0" borderId="0" xfId="0" applyFont="1" applyAlignment="1">
      <alignment vertical="top" wrapText="1"/>
    </xf>
    <xf numFmtId="0" fontId="7" fillId="0" borderId="0" xfId="0" applyFont="1" applyAlignment="1">
      <alignment wrapText="1"/>
    </xf>
    <xf numFmtId="0" fontId="21" fillId="0" borderId="0" xfId="0" applyFont="1"/>
    <xf numFmtId="0" fontId="22" fillId="0" borderId="0" xfId="0" applyFont="1"/>
    <xf numFmtId="0" fontId="10"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center"/>
    </xf>
    <xf numFmtId="0" fontId="9" fillId="0" borderId="4" xfId="0" applyFont="1" applyBorder="1" applyAlignment="1">
      <alignment horizontal="center"/>
    </xf>
    <xf numFmtId="0" fontId="7" fillId="0" borderId="1" xfId="0" applyFont="1" applyBorder="1"/>
    <xf numFmtId="0" fontId="7" fillId="0" borderId="8" xfId="0" applyFont="1" applyBorder="1"/>
    <xf numFmtId="43" fontId="9" fillId="0" borderId="3" xfId="0" applyNumberFormat="1" applyFont="1" applyBorder="1" applyAlignment="1">
      <alignment horizontal="center"/>
    </xf>
    <xf numFmtId="37" fontId="19" fillId="2" borderId="0" xfId="0" applyNumberFormat="1" applyFont="1" applyFill="1"/>
    <xf numFmtId="0" fontId="0" fillId="0" borderId="0" xfId="0" applyAlignment="1">
      <alignment horizontal="center"/>
    </xf>
  </cellXfs>
  <cellStyles count="15">
    <cellStyle name="Comma" xfId="13"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Percent" xfId="14"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CF915-02D5-CB49-864B-A83BDD994437}">
  <dimension ref="A2:L53"/>
  <sheetViews>
    <sheetView topLeftCell="A4" workbookViewId="0">
      <selection activeCell="E35" sqref="E35"/>
    </sheetView>
  </sheetViews>
  <sheetFormatPr defaultColWidth="10.90625" defaultRowHeight="14.5" x14ac:dyDescent="0.35"/>
  <cols>
    <col min="1" max="1" width="3.1796875" customWidth="1"/>
    <col min="2" max="2" width="3.36328125" customWidth="1"/>
    <col min="3" max="3" width="82.81640625" customWidth="1"/>
    <col min="4" max="4" width="13.81640625" customWidth="1"/>
  </cols>
  <sheetData>
    <row r="2" spans="1:12" ht="26" x14ac:dyDescent="0.6">
      <c r="A2" s="5"/>
      <c r="B2" s="8" t="s">
        <v>92</v>
      </c>
      <c r="C2" s="8"/>
      <c r="D2" s="89" t="s">
        <v>110</v>
      </c>
      <c r="E2" s="89"/>
      <c r="F2" s="5"/>
      <c r="G2" s="5"/>
      <c r="H2" s="5"/>
      <c r="I2" s="5"/>
      <c r="J2" s="5"/>
      <c r="K2" s="5"/>
      <c r="L2" s="5"/>
    </row>
    <row r="4" spans="1:12" ht="104" customHeight="1" x14ac:dyDescent="0.35">
      <c r="B4" s="87" t="s">
        <v>102</v>
      </c>
      <c r="C4" s="87"/>
      <c r="D4" s="87"/>
      <c r="E4" s="87"/>
      <c r="F4" s="87"/>
      <c r="G4" s="87"/>
      <c r="H4" s="87"/>
      <c r="I4" s="17"/>
      <c r="J4" s="15"/>
      <c r="K4" s="15"/>
      <c r="L4" s="15"/>
    </row>
    <row r="5" spans="1:12" ht="16" customHeight="1" x14ac:dyDescent="0.35">
      <c r="B5" s="17"/>
      <c r="C5" s="17"/>
      <c r="D5" s="17"/>
      <c r="E5" s="17"/>
      <c r="F5" s="17"/>
      <c r="G5" s="17"/>
      <c r="H5" s="17"/>
      <c r="I5" s="17"/>
      <c r="J5" s="15"/>
      <c r="K5" s="15"/>
      <c r="L5" s="15"/>
    </row>
    <row r="6" spans="1:12" ht="15.5" x14ac:dyDescent="0.35">
      <c r="B6" s="2"/>
      <c r="C6" s="2" t="s">
        <v>65</v>
      </c>
      <c r="D6" s="60">
        <v>10000000</v>
      </c>
      <c r="E6" s="2"/>
      <c r="F6" s="2"/>
      <c r="G6" s="2"/>
      <c r="H6" s="2"/>
      <c r="I6" s="2"/>
      <c r="J6" s="2"/>
    </row>
    <row r="7" spans="1:12" ht="15.5" x14ac:dyDescent="0.35">
      <c r="B7" s="2"/>
      <c r="C7" s="2" t="s">
        <v>66</v>
      </c>
      <c r="D7" s="60">
        <v>5000000</v>
      </c>
      <c r="E7" s="2"/>
      <c r="F7" s="2"/>
      <c r="G7" s="2"/>
      <c r="H7" s="2"/>
      <c r="I7" s="2"/>
      <c r="J7" s="2"/>
    </row>
    <row r="8" spans="1:12" ht="16" customHeight="1" x14ac:dyDescent="0.35">
      <c r="B8" s="2"/>
      <c r="C8" s="2" t="s">
        <v>9</v>
      </c>
      <c r="D8" s="61">
        <v>0.15</v>
      </c>
      <c r="E8" s="2"/>
      <c r="F8" s="2"/>
      <c r="G8" s="2"/>
      <c r="H8" s="2"/>
      <c r="I8" s="2"/>
      <c r="J8" s="2"/>
    </row>
    <row r="9" spans="1:12" ht="16" customHeight="1" x14ac:dyDescent="0.4">
      <c r="B9" s="2"/>
      <c r="C9" s="2"/>
      <c r="D9" s="2"/>
      <c r="E9" s="90" t="s">
        <v>110</v>
      </c>
      <c r="F9" s="90"/>
      <c r="G9" s="2"/>
      <c r="H9" s="2"/>
      <c r="I9" s="2"/>
      <c r="J9" s="2"/>
    </row>
    <row r="10" spans="1:12" ht="15.5" x14ac:dyDescent="0.35">
      <c r="B10" s="2"/>
      <c r="C10" s="2" t="s">
        <v>93</v>
      </c>
      <c r="D10" s="60">
        <v>10000000</v>
      </c>
      <c r="E10" s="2"/>
      <c r="F10" s="2"/>
      <c r="G10" s="2"/>
      <c r="H10" s="2"/>
      <c r="I10" s="2"/>
      <c r="J10" s="2"/>
    </row>
    <row r="11" spans="1:12" ht="15.5" x14ac:dyDescent="0.35">
      <c r="B11" s="2"/>
      <c r="C11" s="2" t="s">
        <v>10</v>
      </c>
      <c r="D11" s="62">
        <v>4</v>
      </c>
      <c r="E11" s="2"/>
      <c r="F11" s="2"/>
      <c r="G11" s="2"/>
      <c r="H11" s="2"/>
      <c r="I11" s="2"/>
      <c r="J11" s="2"/>
    </row>
    <row r="12" spans="1:12" ht="15.5" x14ac:dyDescent="0.35">
      <c r="B12" s="2"/>
      <c r="C12" s="2" t="s">
        <v>27</v>
      </c>
      <c r="D12" s="60">
        <v>2000000</v>
      </c>
      <c r="E12" s="2"/>
      <c r="F12" s="2"/>
      <c r="G12" s="2"/>
      <c r="H12" s="2"/>
      <c r="I12" s="2"/>
      <c r="J12" s="2"/>
    </row>
    <row r="13" spans="1:12" ht="15.5" x14ac:dyDescent="0.35">
      <c r="B13" s="2"/>
      <c r="C13" s="2"/>
      <c r="D13" s="62"/>
      <c r="E13" s="2"/>
      <c r="F13" s="2"/>
      <c r="G13" s="2"/>
      <c r="H13" s="2"/>
      <c r="I13" s="2"/>
      <c r="J13" s="2"/>
    </row>
    <row r="14" spans="1:12" ht="15.5" x14ac:dyDescent="0.35">
      <c r="B14" s="2"/>
      <c r="C14" s="2" t="s">
        <v>103</v>
      </c>
      <c r="D14" s="60">
        <v>2400000</v>
      </c>
      <c r="E14" s="2"/>
      <c r="F14" s="2"/>
      <c r="G14" s="2"/>
      <c r="H14" s="2"/>
      <c r="I14" s="2"/>
      <c r="J14" s="2"/>
    </row>
    <row r="15" spans="1:12" ht="15.5" x14ac:dyDescent="0.35">
      <c r="B15" s="2"/>
      <c r="C15" s="2" t="s">
        <v>104</v>
      </c>
      <c r="D15" s="62">
        <v>3</v>
      </c>
      <c r="E15" s="2"/>
      <c r="F15" s="2"/>
      <c r="G15" s="2"/>
      <c r="H15" s="2"/>
      <c r="I15" s="2"/>
      <c r="J15" s="2"/>
    </row>
    <row r="16" spans="1:12" ht="15.5" x14ac:dyDescent="0.35">
      <c r="B16" s="2"/>
      <c r="C16" s="2" t="s">
        <v>105</v>
      </c>
      <c r="D16" s="60">
        <v>300000</v>
      </c>
      <c r="E16" s="2"/>
      <c r="F16" s="2"/>
      <c r="G16" s="2"/>
      <c r="H16" s="2"/>
      <c r="I16" s="2"/>
      <c r="J16" s="2"/>
    </row>
    <row r="17" spans="2:10" ht="15.5" x14ac:dyDescent="0.35">
      <c r="B17" s="2"/>
      <c r="C17" s="2"/>
      <c r="D17" s="62"/>
      <c r="E17" s="2"/>
      <c r="F17" s="2"/>
      <c r="G17" s="2"/>
      <c r="H17" s="2"/>
      <c r="I17" s="2"/>
      <c r="J17" s="2"/>
    </row>
    <row r="18" spans="2:10" ht="15.5" x14ac:dyDescent="0.35">
      <c r="B18" s="2"/>
      <c r="C18" s="2" t="s">
        <v>94</v>
      </c>
      <c r="D18" s="62">
        <v>900</v>
      </c>
      <c r="E18" s="2"/>
      <c r="F18" s="2"/>
      <c r="G18" s="2"/>
      <c r="H18" s="2"/>
      <c r="I18" s="2"/>
      <c r="J18" s="2"/>
    </row>
    <row r="19" spans="2:10" ht="15.5" x14ac:dyDescent="0.35">
      <c r="B19" s="2"/>
      <c r="C19" s="2" t="s">
        <v>99</v>
      </c>
      <c r="D19" s="62">
        <v>4000</v>
      </c>
      <c r="E19" s="2"/>
      <c r="F19" s="2"/>
      <c r="G19" s="2"/>
      <c r="H19" s="2"/>
      <c r="I19" s="2"/>
      <c r="J19" s="2"/>
    </row>
    <row r="20" spans="2:10" ht="15.5" x14ac:dyDescent="0.35">
      <c r="B20" s="2"/>
      <c r="C20" s="2" t="s">
        <v>100</v>
      </c>
      <c r="D20" s="61">
        <v>0.5</v>
      </c>
      <c r="E20" s="2"/>
      <c r="F20" s="2"/>
      <c r="G20" s="2"/>
      <c r="H20" s="2"/>
      <c r="I20" s="2"/>
      <c r="J20" s="2"/>
    </row>
    <row r="21" spans="2:10" ht="15.5" x14ac:dyDescent="0.35">
      <c r="B21" s="2"/>
      <c r="C21" s="2" t="s">
        <v>101</v>
      </c>
      <c r="D21" s="61">
        <v>0.1</v>
      </c>
      <c r="E21" s="2"/>
      <c r="F21" s="2"/>
      <c r="G21" s="2"/>
      <c r="H21" s="2"/>
      <c r="I21" s="2"/>
      <c r="J21" s="2"/>
    </row>
    <row r="22" spans="2:10" ht="20" x14ac:dyDescent="0.4">
      <c r="B22" s="2"/>
      <c r="C22" s="2"/>
      <c r="D22" s="62"/>
      <c r="E22" s="90" t="s">
        <v>110</v>
      </c>
      <c r="F22" s="90"/>
      <c r="G22" s="2"/>
      <c r="H22" s="2"/>
      <c r="I22" s="2"/>
      <c r="J22" s="2"/>
    </row>
    <row r="23" spans="2:10" ht="15.5" x14ac:dyDescent="0.35">
      <c r="B23" s="2"/>
      <c r="C23" s="2" t="s">
        <v>95</v>
      </c>
      <c r="D23" s="62"/>
      <c r="E23" s="2"/>
      <c r="F23" s="2"/>
      <c r="G23" s="2"/>
      <c r="H23" s="2"/>
      <c r="I23" s="2"/>
      <c r="J23" s="2"/>
    </row>
    <row r="24" spans="2:10" ht="15.5" x14ac:dyDescent="0.35">
      <c r="B24" s="2"/>
      <c r="C24" s="2" t="s">
        <v>96</v>
      </c>
      <c r="D24" s="62">
        <v>1500</v>
      </c>
      <c r="E24" s="2"/>
      <c r="F24" s="2"/>
      <c r="G24" s="2"/>
      <c r="H24" s="2"/>
      <c r="I24" s="2"/>
      <c r="J24" s="2"/>
    </row>
    <row r="25" spans="2:10" ht="15.5" x14ac:dyDescent="0.35">
      <c r="B25" s="2"/>
      <c r="C25" s="2" t="s">
        <v>97</v>
      </c>
      <c r="D25" s="62">
        <v>150</v>
      </c>
      <c r="E25" s="2"/>
      <c r="F25" s="2"/>
      <c r="G25" s="2"/>
      <c r="H25" s="2"/>
      <c r="I25" s="2"/>
      <c r="J25" s="2"/>
    </row>
    <row r="26" spans="2:10" ht="15.5" x14ac:dyDescent="0.35">
      <c r="B26" s="2"/>
      <c r="C26" s="2"/>
      <c r="D26" s="62"/>
      <c r="E26" s="2"/>
      <c r="F26" s="2"/>
      <c r="G26" s="2"/>
      <c r="H26" s="2"/>
      <c r="I26" s="2"/>
      <c r="J26" s="2"/>
    </row>
    <row r="27" spans="2:10" ht="15.5" x14ac:dyDescent="0.35">
      <c r="B27" s="2"/>
      <c r="C27" s="2" t="s">
        <v>11</v>
      </c>
      <c r="D27" s="60">
        <v>1500000</v>
      </c>
      <c r="E27" s="2"/>
      <c r="F27" s="2"/>
      <c r="G27" s="2"/>
      <c r="H27" s="2"/>
      <c r="I27" s="2"/>
      <c r="J27" s="2"/>
    </row>
    <row r="28" spans="2:10" ht="15.5" x14ac:dyDescent="0.35">
      <c r="B28" s="2"/>
      <c r="C28" s="2" t="s">
        <v>70</v>
      </c>
      <c r="D28" s="60">
        <v>5000000</v>
      </c>
      <c r="E28" s="2"/>
      <c r="F28" s="2"/>
      <c r="G28" s="2"/>
      <c r="H28" s="2"/>
      <c r="I28" s="2"/>
      <c r="J28" s="2"/>
    </row>
    <row r="29" spans="2:10" ht="15.5" x14ac:dyDescent="0.35">
      <c r="B29" s="2"/>
      <c r="C29" s="2" t="s">
        <v>69</v>
      </c>
      <c r="D29" s="60">
        <v>120000</v>
      </c>
      <c r="E29" s="2"/>
      <c r="F29" s="2"/>
      <c r="G29" s="2"/>
      <c r="H29" s="2"/>
      <c r="I29" s="2"/>
      <c r="J29" s="2"/>
    </row>
    <row r="30" spans="2:10" ht="15.5" x14ac:dyDescent="0.35">
      <c r="B30" s="2"/>
      <c r="C30" s="2" t="s">
        <v>67</v>
      </c>
      <c r="D30" s="60">
        <v>400000</v>
      </c>
      <c r="E30" s="2"/>
      <c r="F30" s="2"/>
      <c r="G30" s="2"/>
      <c r="H30" s="2"/>
      <c r="I30" s="2"/>
      <c r="J30" s="2"/>
    </row>
    <row r="31" spans="2:10" ht="15.5" x14ac:dyDescent="0.35">
      <c r="B31" s="2"/>
      <c r="C31" s="2"/>
      <c r="D31" s="25"/>
      <c r="E31" s="2"/>
      <c r="F31" s="2"/>
      <c r="G31" s="2"/>
      <c r="H31" s="2"/>
      <c r="I31" s="2"/>
      <c r="J31" s="2"/>
    </row>
    <row r="32" spans="2:10" ht="15.5" x14ac:dyDescent="0.35">
      <c r="B32" s="2"/>
      <c r="C32" s="2" t="s">
        <v>79</v>
      </c>
      <c r="D32" s="64">
        <f>'Income Statement'!B10*0.1</f>
        <v>1782000</v>
      </c>
      <c r="E32" s="2"/>
      <c r="F32" s="2"/>
      <c r="G32" s="2"/>
      <c r="H32" s="2"/>
      <c r="I32" s="2"/>
      <c r="J32" s="2"/>
    </row>
    <row r="33" spans="2:11" ht="15.5" x14ac:dyDescent="0.35">
      <c r="B33" s="2"/>
      <c r="C33" s="2" t="s">
        <v>106</v>
      </c>
      <c r="D33" s="64">
        <f>'Income Statement'!B8/6</f>
        <v>7200000</v>
      </c>
      <c r="E33" s="2"/>
      <c r="F33" s="2"/>
      <c r="G33" s="2"/>
      <c r="H33" s="2"/>
      <c r="I33" s="2"/>
      <c r="J33" s="2"/>
    </row>
    <row r="34" spans="2:11" ht="15.5" x14ac:dyDescent="0.35">
      <c r="B34" s="2"/>
      <c r="C34" s="2" t="s">
        <v>68</v>
      </c>
      <c r="D34" s="64">
        <f>'Income Statement'!B21/6</f>
        <v>4140000</v>
      </c>
      <c r="E34" s="2"/>
      <c r="F34" s="2"/>
      <c r="G34" s="2"/>
      <c r="H34" s="2"/>
      <c r="I34" s="2"/>
      <c r="J34" s="2"/>
    </row>
    <row r="35" spans="2:11" ht="15.5" x14ac:dyDescent="0.35">
      <c r="B35" s="2"/>
      <c r="C35" s="2" t="s">
        <v>98</v>
      </c>
      <c r="D35" s="64"/>
      <c r="E35" s="2"/>
      <c r="F35" s="2"/>
      <c r="G35" s="2"/>
      <c r="H35" s="2"/>
      <c r="I35" s="2"/>
      <c r="J35" s="2"/>
    </row>
    <row r="36" spans="2:11" ht="15.5" x14ac:dyDescent="0.35">
      <c r="B36" s="2"/>
      <c r="C36" s="2"/>
      <c r="D36" s="64"/>
      <c r="E36" s="2"/>
      <c r="F36" s="2"/>
      <c r="G36" s="2"/>
      <c r="H36" s="2"/>
      <c r="I36" s="2"/>
      <c r="J36" s="2"/>
    </row>
    <row r="37" spans="2:11" ht="15.5" x14ac:dyDescent="0.35">
      <c r="B37" s="2"/>
      <c r="C37" s="2" t="s">
        <v>80</v>
      </c>
      <c r="D37" s="65">
        <f>(D32+D33)/D34</f>
        <v>2.1695652173913045</v>
      </c>
      <c r="E37" s="2"/>
      <c r="F37" s="2"/>
      <c r="G37" s="2"/>
      <c r="H37" s="2"/>
      <c r="I37" s="2"/>
      <c r="J37" s="2"/>
    </row>
    <row r="38" spans="2:11" ht="15.5" x14ac:dyDescent="0.35">
      <c r="B38" s="2"/>
      <c r="C38" s="2" t="s">
        <v>81</v>
      </c>
      <c r="D38" s="65">
        <f>D33/D34</f>
        <v>1.7391304347826086</v>
      </c>
      <c r="E38" s="2"/>
      <c r="F38" s="2"/>
      <c r="G38" s="2"/>
      <c r="H38" s="2"/>
      <c r="I38" s="2"/>
      <c r="J38" s="2"/>
    </row>
    <row r="39" spans="2:11" ht="16" customHeight="1" x14ac:dyDescent="0.4">
      <c r="B39" s="2"/>
      <c r="C39" s="2" t="s">
        <v>107</v>
      </c>
      <c r="D39" s="64"/>
      <c r="E39" s="90" t="s">
        <v>110</v>
      </c>
      <c r="F39" s="90"/>
      <c r="G39" s="2"/>
      <c r="H39" s="2"/>
      <c r="I39" s="2"/>
      <c r="J39" s="2"/>
    </row>
    <row r="40" spans="2:11" ht="15.5" x14ac:dyDescent="0.35">
      <c r="B40" s="2"/>
      <c r="C40" s="2"/>
      <c r="D40" s="25"/>
      <c r="E40" s="2"/>
      <c r="F40" s="2"/>
      <c r="G40" s="2"/>
      <c r="H40" s="2"/>
      <c r="I40" s="2"/>
      <c r="J40" s="2"/>
    </row>
    <row r="41" spans="2:11" ht="15.5" x14ac:dyDescent="0.35">
      <c r="B41" s="2"/>
      <c r="C41" s="2" t="s">
        <v>7</v>
      </c>
      <c r="D41" s="72" t="s">
        <v>37</v>
      </c>
      <c r="E41" s="2" t="s">
        <v>36</v>
      </c>
      <c r="F41" s="2"/>
      <c r="G41" s="2"/>
      <c r="H41" s="2"/>
      <c r="I41" s="2"/>
      <c r="J41" s="2"/>
    </row>
    <row r="42" spans="2:11" ht="15.5" x14ac:dyDescent="0.35">
      <c r="B42" s="2"/>
      <c r="C42" s="11"/>
      <c r="D42" s="12"/>
      <c r="E42" s="2"/>
      <c r="F42" s="2"/>
      <c r="G42" s="2"/>
      <c r="H42" s="2"/>
      <c r="I42" s="2"/>
      <c r="J42" s="2"/>
    </row>
    <row r="43" spans="2:11" ht="15.5" x14ac:dyDescent="0.35">
      <c r="B43" s="2"/>
      <c r="C43" s="2" t="s">
        <v>84</v>
      </c>
      <c r="D43" s="70">
        <v>0.2</v>
      </c>
      <c r="E43" s="2"/>
      <c r="F43" s="2"/>
      <c r="G43" s="2"/>
      <c r="H43" s="2"/>
      <c r="I43" s="2"/>
      <c r="J43" s="10"/>
      <c r="K43" s="14"/>
    </row>
    <row r="44" spans="2:11" ht="15.5" x14ac:dyDescent="0.35">
      <c r="B44" s="2"/>
      <c r="C44" s="2" t="s">
        <v>85</v>
      </c>
      <c r="D44" s="70">
        <v>0.03</v>
      </c>
      <c r="E44" s="2"/>
      <c r="F44" s="2"/>
      <c r="G44" s="2"/>
      <c r="H44" s="2"/>
      <c r="I44" s="2"/>
      <c r="J44" s="10"/>
      <c r="K44" s="14"/>
    </row>
    <row r="45" spans="2:11" x14ac:dyDescent="0.35">
      <c r="J45" s="14"/>
      <c r="K45" s="14"/>
    </row>
    <row r="46" spans="2:11" ht="15.5" x14ac:dyDescent="0.35">
      <c r="B46" s="1" t="s">
        <v>12</v>
      </c>
      <c r="C46" s="2"/>
      <c r="D46" s="2"/>
      <c r="E46" s="2"/>
      <c r="F46" s="2"/>
      <c r="G46" s="2"/>
      <c r="H46" s="2"/>
      <c r="I46" s="2"/>
      <c r="J46" s="10"/>
      <c r="K46" s="14"/>
    </row>
    <row r="47" spans="2:11" ht="15.5" x14ac:dyDescent="0.35">
      <c r="B47" s="2"/>
      <c r="C47" s="2"/>
      <c r="D47" s="2"/>
      <c r="E47" s="2"/>
      <c r="F47" s="2"/>
      <c r="G47" s="2"/>
      <c r="H47" s="2"/>
      <c r="I47" s="2"/>
      <c r="J47" s="10"/>
      <c r="K47" s="14"/>
    </row>
    <row r="48" spans="2:11" ht="16" customHeight="1" x14ac:dyDescent="0.35">
      <c r="B48" s="2" t="s">
        <v>86</v>
      </c>
      <c r="C48" s="2"/>
      <c r="D48" s="2"/>
      <c r="E48" s="2"/>
      <c r="F48" s="2"/>
      <c r="G48" s="2"/>
      <c r="H48" s="2"/>
      <c r="I48" s="2"/>
      <c r="J48" s="10"/>
      <c r="K48" s="14"/>
    </row>
    <row r="49" spans="2:11" ht="15.5" x14ac:dyDescent="0.35">
      <c r="B49" s="2" t="s">
        <v>88</v>
      </c>
      <c r="C49" s="2"/>
      <c r="D49" s="2"/>
      <c r="E49" s="2"/>
      <c r="F49" s="2"/>
      <c r="G49" s="2"/>
      <c r="H49" s="2"/>
      <c r="I49" s="2"/>
      <c r="J49" s="10"/>
      <c r="K49" s="14"/>
    </row>
    <row r="50" spans="2:11" ht="31" customHeight="1" x14ac:dyDescent="0.35">
      <c r="B50" s="69" t="s">
        <v>83</v>
      </c>
      <c r="C50" s="88" t="s">
        <v>87</v>
      </c>
      <c r="D50" s="88"/>
      <c r="E50" s="88"/>
      <c r="F50" s="88"/>
      <c r="G50" s="88"/>
      <c r="H50" s="2"/>
      <c r="I50" s="2"/>
      <c r="J50" s="10"/>
      <c r="K50" s="14"/>
    </row>
    <row r="51" spans="2:11" ht="15.5" x14ac:dyDescent="0.35">
      <c r="B51" s="2" t="s">
        <v>111</v>
      </c>
      <c r="C51" s="2"/>
      <c r="D51" s="2"/>
      <c r="E51" s="2"/>
      <c r="F51" s="2"/>
      <c r="G51" s="2"/>
      <c r="H51" s="2"/>
      <c r="I51" s="2"/>
      <c r="J51" s="10"/>
      <c r="K51" s="14"/>
    </row>
    <row r="52" spans="2:11" x14ac:dyDescent="0.35">
      <c r="J52" s="14"/>
      <c r="K52" s="14"/>
    </row>
    <row r="53" spans="2:11" ht="15.5" x14ac:dyDescent="0.35">
      <c r="B53" s="10" t="s">
        <v>90</v>
      </c>
      <c r="C53" s="2"/>
    </row>
  </sheetData>
  <mergeCells count="6">
    <mergeCell ref="B4:H4"/>
    <mergeCell ref="C50:G50"/>
    <mergeCell ref="D2:E2"/>
    <mergeCell ref="E22:F22"/>
    <mergeCell ref="E39:F39"/>
    <mergeCell ref="E9:F9"/>
  </mergeCells>
  <pageMargins left="0.7" right="0.7" top="0.75" bottom="0.75" header="0.3" footer="0.3"/>
  <ignoredErrors>
    <ignoredError sqref="B5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A304A-88C3-5144-9C49-82B8D68B4F22}">
  <dimension ref="A2:F22"/>
  <sheetViews>
    <sheetView topLeftCell="A8" workbookViewId="0">
      <selection activeCell="B23" sqref="B23"/>
    </sheetView>
  </sheetViews>
  <sheetFormatPr defaultColWidth="10.90625" defaultRowHeight="14.5" x14ac:dyDescent="0.35"/>
  <cols>
    <col min="1" max="1" width="37.81640625" customWidth="1"/>
    <col min="2" max="2" width="20.81640625" customWidth="1"/>
  </cols>
  <sheetData>
    <row r="2" spans="1:6" ht="25" x14ac:dyDescent="0.5">
      <c r="A2" s="91" t="s">
        <v>92</v>
      </c>
      <c r="B2" s="91"/>
      <c r="C2" s="91"/>
      <c r="D2" s="91"/>
      <c r="E2" s="85" t="s">
        <v>110</v>
      </c>
      <c r="F2" s="85"/>
    </row>
    <row r="4" spans="1:6" ht="36" x14ac:dyDescent="0.35">
      <c r="A4" s="26" t="s">
        <v>58</v>
      </c>
      <c r="B4" s="4" t="s">
        <v>59</v>
      </c>
    </row>
    <row r="6" spans="1:6" ht="18" x14ac:dyDescent="0.4">
      <c r="A6" s="6" t="s">
        <v>60</v>
      </c>
      <c r="B6" s="9"/>
    </row>
    <row r="7" spans="1:6" ht="17.5" x14ac:dyDescent="0.35">
      <c r="A7" s="54" t="s">
        <v>76</v>
      </c>
      <c r="B7" s="58">
        <f>Assumptions!D10+Assumptions!D14</f>
        <v>12400000</v>
      </c>
      <c r="C7" s="54"/>
    </row>
    <row r="8" spans="1:6" ht="17.5" x14ac:dyDescent="0.35">
      <c r="A8" s="54" t="s">
        <v>77</v>
      </c>
      <c r="B8" s="58">
        <f>Assumptions!D32+Assumptions!D33-Assumptions!D34</f>
        <v>4842000</v>
      </c>
      <c r="C8" s="56"/>
    </row>
    <row r="9" spans="1:6" ht="17.5" x14ac:dyDescent="0.35">
      <c r="A9" s="54" t="s">
        <v>78</v>
      </c>
      <c r="B9" s="9">
        <f>-'Cash Flow Statement'!B9</f>
        <v>210000</v>
      </c>
      <c r="C9" s="54"/>
    </row>
    <row r="10" spans="1:6" ht="17.5" x14ac:dyDescent="0.35">
      <c r="A10" s="2"/>
      <c r="B10" s="9"/>
    </row>
    <row r="11" spans="1:6" ht="18" x14ac:dyDescent="0.4">
      <c r="A11" s="1" t="s">
        <v>61</v>
      </c>
      <c r="B11" s="7">
        <f>SUM(B7:B9)</f>
        <v>17452000</v>
      </c>
    </row>
    <row r="12" spans="1:6" ht="17.5" x14ac:dyDescent="0.35">
      <c r="A12" s="2"/>
      <c r="B12" s="9"/>
    </row>
    <row r="13" spans="1:6" ht="18" x14ac:dyDescent="0.4">
      <c r="A13" s="6" t="s">
        <v>62</v>
      </c>
      <c r="B13" s="9"/>
    </row>
    <row r="14" spans="1:6" ht="17.5" x14ac:dyDescent="0.35">
      <c r="A14" s="54" t="s">
        <v>75</v>
      </c>
      <c r="B14" s="9">
        <f>Assumptions!D7</f>
        <v>5000000</v>
      </c>
    </row>
    <row r="15" spans="1:6" ht="18" x14ac:dyDescent="0.4">
      <c r="A15" s="6"/>
      <c r="B15" s="9"/>
    </row>
    <row r="16" spans="1:6" ht="17.5" x14ac:dyDescent="0.35">
      <c r="A16" s="54" t="s">
        <v>63</v>
      </c>
      <c r="B16" s="59">
        <f>Assumptions!D6</f>
        <v>10000000</v>
      </c>
      <c r="C16" s="54"/>
    </row>
    <row r="17" spans="1:3" ht="17.5" x14ac:dyDescent="0.35">
      <c r="A17" s="54" t="s">
        <v>54</v>
      </c>
      <c r="B17" s="55">
        <v>5000000</v>
      </c>
    </row>
    <row r="18" spans="1:3" ht="17.5" x14ac:dyDescent="0.35">
      <c r="A18" s="2"/>
      <c r="B18" s="9"/>
    </row>
    <row r="19" spans="1:3" ht="17.5" x14ac:dyDescent="0.35">
      <c r="A19" s="2"/>
      <c r="B19" s="9"/>
    </row>
    <row r="20" spans="1:3" ht="18" x14ac:dyDescent="0.4">
      <c r="A20" s="1" t="s">
        <v>64</v>
      </c>
      <c r="B20" s="7">
        <f>B14+B16+B17</f>
        <v>20000000</v>
      </c>
    </row>
    <row r="22" spans="1:3" ht="18" x14ac:dyDescent="0.4">
      <c r="A22" s="54" t="s">
        <v>108</v>
      </c>
      <c r="B22" s="7">
        <f>B20-B11</f>
        <v>2548000</v>
      </c>
      <c r="C22" s="86"/>
    </row>
  </sheetData>
  <mergeCells count="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D71-426F-AD4E-9BDD-59B5AE8CE75C}">
  <dimension ref="A2:F32"/>
  <sheetViews>
    <sheetView topLeftCell="A16" zoomScaleNormal="100" workbookViewId="0">
      <selection activeCell="F22" sqref="F22"/>
    </sheetView>
  </sheetViews>
  <sheetFormatPr defaultColWidth="10.90625" defaultRowHeight="14.5" x14ac:dyDescent="0.35"/>
  <cols>
    <col min="1" max="1" width="40.36328125" customWidth="1"/>
    <col min="2" max="4" width="18.81640625" customWidth="1"/>
  </cols>
  <sheetData>
    <row r="2" spans="1:4" s="5" customFormat="1" ht="26" x14ac:dyDescent="0.6">
      <c r="A2" s="91" t="s">
        <v>92</v>
      </c>
      <c r="B2" s="91"/>
      <c r="C2" s="91"/>
      <c r="D2" s="85" t="s">
        <v>110</v>
      </c>
    </row>
    <row r="3" spans="1:4" ht="47" customHeight="1" x14ac:dyDescent="0.35">
      <c r="A3" s="4" t="s">
        <v>32</v>
      </c>
      <c r="B3" s="4" t="s">
        <v>28</v>
      </c>
      <c r="C3" s="4" t="s">
        <v>29</v>
      </c>
      <c r="D3" s="4" t="s">
        <v>30</v>
      </c>
    </row>
    <row r="4" spans="1:4" ht="18" customHeight="1" x14ac:dyDescent="0.35">
      <c r="A4" s="4"/>
      <c r="B4" s="4"/>
      <c r="C4" s="4"/>
      <c r="D4" s="4"/>
    </row>
    <row r="5" spans="1:4" ht="18" customHeight="1" x14ac:dyDescent="0.35">
      <c r="A5" s="2" t="s">
        <v>109</v>
      </c>
      <c r="B5" s="19">
        <f>Assumptions!D18*12</f>
        <v>10800</v>
      </c>
      <c r="C5" s="21">
        <f>B5*(1+Assumptions!D20)</f>
        <v>16200</v>
      </c>
      <c r="D5" s="21">
        <f>C5*(1+Assumptions!D20)</f>
        <v>24300</v>
      </c>
    </row>
    <row r="6" spans="1:4" ht="17.5" x14ac:dyDescent="0.35">
      <c r="A6" s="2" t="s">
        <v>99</v>
      </c>
      <c r="B6" s="19">
        <f>Assumptions!D19</f>
        <v>4000</v>
      </c>
      <c r="C6" s="21">
        <f>B6*(1-Assumptions!D21)</f>
        <v>3600</v>
      </c>
      <c r="D6" s="21">
        <f>C6*(1-Assumptions!D21)</f>
        <v>3240</v>
      </c>
    </row>
    <row r="7" spans="1:4" x14ac:dyDescent="0.35">
      <c r="B7" s="16"/>
      <c r="C7" s="16"/>
      <c r="D7" s="16"/>
    </row>
    <row r="8" spans="1:4" ht="18" x14ac:dyDescent="0.4">
      <c r="A8" s="6" t="s">
        <v>0</v>
      </c>
      <c r="B8" s="22">
        <f>B5*B6</f>
        <v>43200000</v>
      </c>
      <c r="C8" s="22">
        <f t="shared" ref="C8:D8" si="0">C5*C6</f>
        <v>58320000</v>
      </c>
      <c r="D8" s="22">
        <f t="shared" si="0"/>
        <v>78732000</v>
      </c>
    </row>
    <row r="9" spans="1:4" ht="18" x14ac:dyDescent="0.4">
      <c r="A9" s="6"/>
      <c r="B9" s="16"/>
      <c r="C9" s="16"/>
      <c r="D9" s="16"/>
    </row>
    <row r="10" spans="1:4" ht="17.5" x14ac:dyDescent="0.35">
      <c r="A10" s="2" t="s">
        <v>1</v>
      </c>
      <c r="B10" s="19">
        <f>(Assumptions!D24+Assumptions!D25)*B5</f>
        <v>17820000</v>
      </c>
      <c r="C10" s="19">
        <f>(Assumptions!D24+Assumptions!D25)*C5</f>
        <v>26730000</v>
      </c>
      <c r="D10" s="19">
        <f>(Assumptions!D24+Assumptions!D25)*D5</f>
        <v>40095000</v>
      </c>
    </row>
    <row r="11" spans="1:4" ht="15.5" x14ac:dyDescent="0.35">
      <c r="A11" s="2"/>
      <c r="B11" s="16"/>
      <c r="C11" s="16"/>
      <c r="D11" s="16"/>
    </row>
    <row r="12" spans="1:4" ht="18" x14ac:dyDescent="0.4">
      <c r="A12" s="6" t="s">
        <v>72</v>
      </c>
      <c r="B12" s="20">
        <f>B8-B10</f>
        <v>25380000</v>
      </c>
      <c r="C12" s="20">
        <f t="shared" ref="C12:D12" si="1">C8-C10</f>
        <v>31590000</v>
      </c>
      <c r="D12" s="20">
        <f t="shared" si="1"/>
        <v>38637000</v>
      </c>
    </row>
    <row r="13" spans="1:4" ht="18" x14ac:dyDescent="0.4">
      <c r="A13" s="6" t="s">
        <v>71</v>
      </c>
      <c r="B13" s="57">
        <f>B12/B8</f>
        <v>0.58750000000000002</v>
      </c>
      <c r="C13" s="57">
        <f t="shared" ref="C13:D13" si="2">C12/C8</f>
        <v>0.54166666666666663</v>
      </c>
      <c r="D13" s="57">
        <f t="shared" si="2"/>
        <v>0.49074074074074076</v>
      </c>
    </row>
    <row r="14" spans="1:4" ht="17.5" x14ac:dyDescent="0.35">
      <c r="A14" s="2"/>
      <c r="B14" s="18"/>
      <c r="C14" s="18"/>
      <c r="D14" s="18"/>
    </row>
    <row r="15" spans="1:4" ht="17.5" x14ac:dyDescent="0.35">
      <c r="A15" s="3" t="s">
        <v>2</v>
      </c>
      <c r="B15" s="18"/>
      <c r="C15" s="18"/>
      <c r="D15" s="18"/>
    </row>
    <row r="16" spans="1:4" ht="17.5" x14ac:dyDescent="0.35">
      <c r="A16" s="2" t="s">
        <v>3</v>
      </c>
      <c r="B16" s="19">
        <f>Assumptions!D27*12</f>
        <v>18000000</v>
      </c>
      <c r="C16" s="19">
        <f>B16</f>
        <v>18000000</v>
      </c>
      <c r="D16" s="19">
        <f>C16</f>
        <v>18000000</v>
      </c>
    </row>
    <row r="17" spans="1:6" ht="17.5" x14ac:dyDescent="0.35">
      <c r="A17" s="2" t="s">
        <v>33</v>
      </c>
      <c r="B17" s="19">
        <f>Assumptions!D28</f>
        <v>5000000</v>
      </c>
      <c r="C17" s="19">
        <f>B17</f>
        <v>5000000</v>
      </c>
      <c r="D17" s="19">
        <f>C17</f>
        <v>5000000</v>
      </c>
    </row>
    <row r="18" spans="1:6" ht="17.5" x14ac:dyDescent="0.35">
      <c r="A18" s="2" t="s">
        <v>34</v>
      </c>
      <c r="B18" s="19">
        <f>Assumptions!D29*12</f>
        <v>1440000</v>
      </c>
      <c r="C18" s="19">
        <f>B18</f>
        <v>1440000</v>
      </c>
      <c r="D18" s="19">
        <f>C18</f>
        <v>1440000</v>
      </c>
    </row>
    <row r="19" spans="1:6" ht="17.5" x14ac:dyDescent="0.35">
      <c r="A19" s="2" t="s">
        <v>38</v>
      </c>
      <c r="B19" s="19">
        <f>Assumptions!D30</f>
        <v>400000</v>
      </c>
      <c r="C19" s="19">
        <f>B19</f>
        <v>400000</v>
      </c>
      <c r="D19" s="19">
        <f>C19</f>
        <v>400000</v>
      </c>
    </row>
    <row r="20" spans="1:6" ht="20" x14ac:dyDescent="0.4">
      <c r="A20" s="2"/>
      <c r="B20" s="19"/>
      <c r="C20" s="19"/>
      <c r="D20" s="19"/>
      <c r="E20" s="90" t="s">
        <v>110</v>
      </c>
      <c r="F20" s="90"/>
    </row>
    <row r="21" spans="1:6" ht="18" x14ac:dyDescent="0.4">
      <c r="A21" s="1" t="s">
        <v>35</v>
      </c>
      <c r="B21" s="22">
        <f>SUM(B16:B19)</f>
        <v>24840000</v>
      </c>
      <c r="C21" s="22">
        <f t="shared" ref="C21:D21" si="3">SUM(C16:C19)</f>
        <v>24840000</v>
      </c>
      <c r="D21" s="22">
        <f t="shared" si="3"/>
        <v>24840000</v>
      </c>
    </row>
    <row r="22" spans="1:6" ht="17.5" x14ac:dyDescent="0.35">
      <c r="A22" s="2" t="s">
        <v>4</v>
      </c>
      <c r="B22" s="19">
        <f>((Assumptions!D14-Assumptions!D16)/Assumptions!D15)+(Assumptions!D10-Assumptions!D12)/Assumptions!D11</f>
        <v>2700000</v>
      </c>
      <c r="C22" s="19">
        <f>B22</f>
        <v>2700000</v>
      </c>
      <c r="D22" s="19">
        <f>C22</f>
        <v>2700000</v>
      </c>
    </row>
    <row r="23" spans="1:6" ht="17.5" x14ac:dyDescent="0.35">
      <c r="A23" s="2"/>
      <c r="B23" s="18"/>
      <c r="C23" s="18"/>
      <c r="D23" s="18"/>
    </row>
    <row r="24" spans="1:6" ht="18" x14ac:dyDescent="0.4">
      <c r="A24" s="6" t="s">
        <v>6</v>
      </c>
      <c r="B24" s="20">
        <f>B12-B21-B22</f>
        <v>-2160000</v>
      </c>
      <c r="C24" s="20">
        <f t="shared" ref="C24:D24" si="4">C12-C21-C22</f>
        <v>4050000</v>
      </c>
      <c r="D24" s="20">
        <f t="shared" si="4"/>
        <v>11097000</v>
      </c>
    </row>
    <row r="25" spans="1:6" ht="18" x14ac:dyDescent="0.4">
      <c r="A25" s="6" t="s">
        <v>73</v>
      </c>
      <c r="B25" s="57">
        <f>B24/B8</f>
        <v>-0.05</v>
      </c>
      <c r="C25" s="57">
        <f t="shared" ref="C25:D25" si="5">C24/C8</f>
        <v>6.9444444444444448E-2</v>
      </c>
      <c r="D25" s="57">
        <f t="shared" si="5"/>
        <v>0.14094650205761317</v>
      </c>
    </row>
    <row r="26" spans="1:6" ht="17.5" x14ac:dyDescent="0.35">
      <c r="A26" s="2"/>
      <c r="B26" s="18"/>
      <c r="C26" s="18"/>
      <c r="D26" s="18"/>
    </row>
    <row r="27" spans="1:6" ht="17.5" x14ac:dyDescent="0.35">
      <c r="A27" s="2" t="s">
        <v>8</v>
      </c>
      <c r="B27" s="19">
        <f>Assumptions!D7*Assumptions!D8</f>
        <v>750000</v>
      </c>
      <c r="C27" s="19">
        <f>Assumptions!D7*Assumptions!D8</f>
        <v>750000</v>
      </c>
      <c r="D27" s="19">
        <f>Assumptions!D7*Assumptions!D8</f>
        <v>750000</v>
      </c>
    </row>
    <row r="28" spans="1:6" ht="17.5" x14ac:dyDescent="0.35">
      <c r="A28" s="2" t="s">
        <v>7</v>
      </c>
      <c r="B28" s="18">
        <v>0</v>
      </c>
      <c r="C28" s="18">
        <v>0</v>
      </c>
      <c r="D28" s="18">
        <v>0</v>
      </c>
    </row>
    <row r="29" spans="1:6" ht="17.5" x14ac:dyDescent="0.35">
      <c r="A29" s="2"/>
      <c r="B29" s="18"/>
      <c r="C29" s="18"/>
      <c r="D29" s="18"/>
    </row>
    <row r="30" spans="1:6" ht="18" x14ac:dyDescent="0.4">
      <c r="A30" s="6" t="s">
        <v>5</v>
      </c>
      <c r="B30" s="20">
        <f>B24-B27-B28</f>
        <v>-2910000</v>
      </c>
      <c r="C30" s="20">
        <f t="shared" ref="C30:D30" si="6">C24-C27-C28</f>
        <v>3300000</v>
      </c>
      <c r="D30" s="20">
        <f t="shared" si="6"/>
        <v>10347000</v>
      </c>
    </row>
    <row r="31" spans="1:6" ht="18" x14ac:dyDescent="0.4">
      <c r="A31" s="6" t="s">
        <v>74</v>
      </c>
      <c r="B31" s="57">
        <f>B30/B8</f>
        <v>-6.7361111111111108E-2</v>
      </c>
      <c r="C31" s="57">
        <f t="shared" ref="C31:D31" si="7">C30/C8</f>
        <v>5.6584362139917695E-2</v>
      </c>
      <c r="D31" s="57">
        <f t="shared" si="7"/>
        <v>0.13142051516537112</v>
      </c>
    </row>
    <row r="32" spans="1:6" ht="15.5" x14ac:dyDescent="0.35">
      <c r="A32" s="2"/>
    </row>
  </sheetData>
  <mergeCells count="2">
    <mergeCell ref="A2:C2"/>
    <mergeCell ref="E20: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79916-40B8-D14B-A9B0-05EA79F8B964}">
  <dimension ref="A2:F22"/>
  <sheetViews>
    <sheetView topLeftCell="A7" workbookViewId="0">
      <selection activeCell="D22" sqref="D22"/>
    </sheetView>
  </sheetViews>
  <sheetFormatPr defaultColWidth="10.90625" defaultRowHeight="14.5" x14ac:dyDescent="0.35"/>
  <cols>
    <col min="1" max="1" width="44.453125" customWidth="1"/>
    <col min="2" max="4" width="18.81640625" customWidth="1"/>
  </cols>
  <sheetData>
    <row r="2" spans="1:6" ht="25" x14ac:dyDescent="0.5">
      <c r="A2" s="92" t="s">
        <v>92</v>
      </c>
      <c r="B2" s="92"/>
      <c r="C2" s="92"/>
      <c r="D2" s="85" t="s">
        <v>110</v>
      </c>
      <c r="E2" s="84"/>
    </row>
    <row r="4" spans="1:6" ht="36" x14ac:dyDescent="0.35">
      <c r="A4" s="4" t="s">
        <v>31</v>
      </c>
      <c r="B4" s="4" t="s">
        <v>28</v>
      </c>
      <c r="C4" s="4" t="s">
        <v>29</v>
      </c>
      <c r="D4" s="4" t="s">
        <v>30</v>
      </c>
    </row>
    <row r="6" spans="1:6" ht="15.5" x14ac:dyDescent="0.35">
      <c r="A6" s="1" t="s">
        <v>13</v>
      </c>
    </row>
    <row r="7" spans="1:6" ht="17.5" x14ac:dyDescent="0.35">
      <c r="A7" s="2" t="s">
        <v>14</v>
      </c>
      <c r="B7" s="18">
        <f>'Income Statement'!B30</f>
        <v>-2910000</v>
      </c>
      <c r="C7" s="18">
        <f>'Income Statement'!C30</f>
        <v>3300000</v>
      </c>
      <c r="D7" s="18">
        <f>'Income Statement'!D30</f>
        <v>10347000</v>
      </c>
    </row>
    <row r="8" spans="1:6" ht="17.5" x14ac:dyDescent="0.35">
      <c r="A8" s="13" t="s">
        <v>15</v>
      </c>
      <c r="B8" s="24">
        <f>'Income Statement'!B22</f>
        <v>2700000</v>
      </c>
      <c r="C8" s="24">
        <f>'Income Statement'!C22</f>
        <v>2700000</v>
      </c>
      <c r="D8" s="24">
        <f>'Income Statement'!D22</f>
        <v>2700000</v>
      </c>
    </row>
    <row r="9" spans="1:6" ht="18" x14ac:dyDescent="0.4">
      <c r="A9" s="1" t="s">
        <v>16</v>
      </c>
      <c r="B9" s="20">
        <f>B7+B8</f>
        <v>-210000</v>
      </c>
      <c r="C9" s="20">
        <f t="shared" ref="C9:D9" si="0">C7+C8</f>
        <v>6000000</v>
      </c>
      <c r="D9" s="20">
        <f t="shared" si="0"/>
        <v>13047000</v>
      </c>
    </row>
    <row r="10" spans="1:6" ht="15.5" x14ac:dyDescent="0.35">
      <c r="A10" s="2"/>
      <c r="B10" s="16"/>
      <c r="C10" s="16"/>
      <c r="D10" s="16"/>
    </row>
    <row r="11" spans="1:6" ht="16" customHeight="1" x14ac:dyDescent="0.4">
      <c r="A11" s="1" t="s">
        <v>17</v>
      </c>
      <c r="B11" s="16"/>
      <c r="C11" s="16"/>
      <c r="D11" s="16"/>
      <c r="E11" s="90" t="s">
        <v>110</v>
      </c>
      <c r="F11" s="90"/>
    </row>
    <row r="12" spans="1:6" ht="17.5" x14ac:dyDescent="0.35">
      <c r="A12" s="13" t="s">
        <v>18</v>
      </c>
      <c r="B12" s="24">
        <v>0</v>
      </c>
      <c r="C12" s="24">
        <v>0</v>
      </c>
      <c r="D12" s="24">
        <v>0</v>
      </c>
    </row>
    <row r="13" spans="1:6" ht="18" x14ac:dyDescent="0.4">
      <c r="A13" s="1" t="s">
        <v>19</v>
      </c>
      <c r="B13" s="20">
        <f>B12</f>
        <v>0</v>
      </c>
      <c r="C13" s="20">
        <f t="shared" ref="C13:D13" si="1">C12</f>
        <v>0</v>
      </c>
      <c r="D13" s="20">
        <f t="shared" si="1"/>
        <v>0</v>
      </c>
    </row>
    <row r="14" spans="1:6" ht="15.5" x14ac:dyDescent="0.35">
      <c r="A14" s="2"/>
      <c r="B14" s="16"/>
      <c r="C14" s="16"/>
      <c r="D14" s="16"/>
    </row>
    <row r="15" spans="1:6" ht="15.5" x14ac:dyDescent="0.35">
      <c r="A15" s="1" t="s">
        <v>20</v>
      </c>
      <c r="B15" s="16"/>
      <c r="C15" s="16"/>
      <c r="D15" s="16"/>
    </row>
    <row r="16" spans="1:6" ht="17.5" x14ac:dyDescent="0.35">
      <c r="A16" s="2" t="s">
        <v>21</v>
      </c>
      <c r="B16" s="23">
        <v>0</v>
      </c>
      <c r="C16" s="23">
        <v>0</v>
      </c>
      <c r="D16" s="23">
        <v>0</v>
      </c>
    </row>
    <row r="17" spans="1:4" ht="17.5" x14ac:dyDescent="0.35">
      <c r="A17" s="13" t="s">
        <v>22</v>
      </c>
      <c r="B17" s="24">
        <v>0</v>
      </c>
      <c r="C17" s="24">
        <v>0</v>
      </c>
      <c r="D17" s="24">
        <v>0</v>
      </c>
    </row>
    <row r="18" spans="1:4" ht="18" x14ac:dyDescent="0.4">
      <c r="A18" s="1" t="s">
        <v>23</v>
      </c>
      <c r="B18" s="20">
        <f>B16+B17</f>
        <v>0</v>
      </c>
      <c r="C18" s="20">
        <f t="shared" ref="C18:D18" si="2">C16+C17</f>
        <v>0</v>
      </c>
      <c r="D18" s="20">
        <f t="shared" si="2"/>
        <v>0</v>
      </c>
    </row>
    <row r="19" spans="1:4" ht="15.5" x14ac:dyDescent="0.35">
      <c r="A19" s="2"/>
      <c r="B19" s="16"/>
      <c r="C19" s="16"/>
      <c r="D19" s="16"/>
    </row>
    <row r="20" spans="1:4" ht="15.5" x14ac:dyDescent="0.35">
      <c r="A20" s="1" t="s">
        <v>24</v>
      </c>
      <c r="B20" s="16"/>
      <c r="C20" s="16"/>
      <c r="D20" s="16"/>
    </row>
    <row r="21" spans="1:4" ht="17.5" x14ac:dyDescent="0.35">
      <c r="A21" s="2" t="s">
        <v>25</v>
      </c>
      <c r="B21" s="63">
        <f>Assumptions!D6+Assumptions!D7-Assumptions!D10-Assumptions!D14</f>
        <v>2600000</v>
      </c>
      <c r="C21" s="18">
        <f>B22</f>
        <v>2390000</v>
      </c>
      <c r="D21" s="18">
        <f>C22</f>
        <v>8390000</v>
      </c>
    </row>
    <row r="22" spans="1:4" ht="18" x14ac:dyDescent="0.4">
      <c r="A22" s="1" t="s">
        <v>26</v>
      </c>
      <c r="B22" s="20">
        <f>B21+B18+B13+B9</f>
        <v>2390000</v>
      </c>
      <c r="C22" s="20">
        <f t="shared" ref="C22:D22" si="3">C21+C18+C13+C9</f>
        <v>8390000</v>
      </c>
      <c r="D22" s="20">
        <f t="shared" si="3"/>
        <v>21437000</v>
      </c>
    </row>
  </sheetData>
  <mergeCells count="2">
    <mergeCell ref="A2:C2"/>
    <mergeCell ref="E11:F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D3D-551F-4141-BEE7-054A8C175614}">
  <dimension ref="A2:J44"/>
  <sheetViews>
    <sheetView tabSelected="1" topLeftCell="A31" workbookViewId="0">
      <selection activeCell="F41" sqref="F41"/>
    </sheetView>
  </sheetViews>
  <sheetFormatPr defaultColWidth="10.90625" defaultRowHeight="14.5" x14ac:dyDescent="0.35"/>
  <cols>
    <col min="1" max="1" width="34.6328125" customWidth="1"/>
    <col min="2" max="4" width="15.81640625" customWidth="1"/>
    <col min="5" max="5" width="6" customWidth="1"/>
    <col min="6" max="6" width="21.453125" customWidth="1"/>
    <col min="7" max="7" width="12.7265625" customWidth="1"/>
    <col min="8" max="8" width="20.1796875" customWidth="1"/>
    <col min="10" max="10" width="22.453125" customWidth="1"/>
  </cols>
  <sheetData>
    <row r="2" spans="1:10" ht="25" x14ac:dyDescent="0.5">
      <c r="A2" s="91" t="s">
        <v>92</v>
      </c>
      <c r="B2" s="91"/>
      <c r="C2" s="91"/>
      <c r="D2" s="91"/>
      <c r="F2" s="85" t="s">
        <v>110</v>
      </c>
    </row>
    <row r="4" spans="1:10" ht="18" x14ac:dyDescent="0.35">
      <c r="A4" s="93" t="s">
        <v>89</v>
      </c>
      <c r="B4" s="93"/>
      <c r="C4" s="27"/>
      <c r="D4" s="27"/>
      <c r="E4" s="27"/>
      <c r="F4" s="27"/>
      <c r="G4" s="27"/>
      <c r="H4" s="27"/>
      <c r="I4" s="27"/>
      <c r="J4" s="27"/>
    </row>
    <row r="5" spans="1:10" ht="15.5" x14ac:dyDescent="0.35">
      <c r="A5" s="1"/>
      <c r="B5" s="27"/>
      <c r="C5" s="27"/>
      <c r="D5" s="27"/>
      <c r="E5" s="27"/>
      <c r="F5" s="27"/>
      <c r="G5" s="27"/>
      <c r="H5" s="28"/>
      <c r="I5" s="28"/>
      <c r="J5" s="28"/>
    </row>
    <row r="6" spans="1:10" ht="15.5" x14ac:dyDescent="0.35">
      <c r="A6" s="29" t="s">
        <v>39</v>
      </c>
      <c r="B6" s="40"/>
      <c r="C6" s="73">
        <f>(Assumptions!D43)</f>
        <v>0.2</v>
      </c>
      <c r="D6" s="74"/>
      <c r="E6" s="27"/>
      <c r="F6" s="29" t="s">
        <v>91</v>
      </c>
      <c r="G6" s="30"/>
      <c r="H6" s="31"/>
    </row>
    <row r="7" spans="1:10" ht="15.5" x14ac:dyDescent="0.35">
      <c r="A7" s="32"/>
      <c r="B7" s="2"/>
      <c r="C7" s="2"/>
      <c r="D7" s="75"/>
      <c r="E7" s="27"/>
      <c r="F7" s="32" t="s">
        <v>39</v>
      </c>
      <c r="G7" s="33">
        <f>Assumptions!D43</f>
        <v>0.2</v>
      </c>
      <c r="H7" s="34"/>
    </row>
    <row r="8" spans="1:10" ht="15.5" x14ac:dyDescent="0.35">
      <c r="A8" s="32"/>
      <c r="B8" s="2">
        <v>1</v>
      </c>
      <c r="C8" s="2">
        <v>2</v>
      </c>
      <c r="D8" s="75">
        <v>3</v>
      </c>
      <c r="E8" s="27"/>
      <c r="F8" s="35" t="s">
        <v>40</v>
      </c>
      <c r="G8" s="71">
        <f>Assumptions!D44</f>
        <v>0.03</v>
      </c>
      <c r="H8" s="36"/>
    </row>
    <row r="9" spans="1:10" ht="15.5" x14ac:dyDescent="0.35">
      <c r="A9" s="32"/>
      <c r="B9" s="2"/>
      <c r="C9" s="2"/>
      <c r="D9" s="75"/>
      <c r="E9" s="27"/>
      <c r="F9" s="37"/>
      <c r="G9" s="37"/>
      <c r="H9" s="37"/>
    </row>
    <row r="10" spans="1:10" ht="15.5" x14ac:dyDescent="0.35">
      <c r="A10" s="32"/>
      <c r="B10" s="76" t="s">
        <v>41</v>
      </c>
      <c r="C10" s="76" t="s">
        <v>42</v>
      </c>
      <c r="D10" s="77" t="s">
        <v>43</v>
      </c>
      <c r="E10" s="27"/>
      <c r="F10" s="29" t="s">
        <v>44</v>
      </c>
      <c r="G10" s="97">
        <f>D14/(G7-G8)</f>
        <v>44413807.18954248</v>
      </c>
      <c r="H10" s="94"/>
    </row>
    <row r="11" spans="1:10" ht="15.5" x14ac:dyDescent="0.35">
      <c r="A11" s="32" t="s">
        <v>16</v>
      </c>
      <c r="B11" s="38">
        <f>MAX(0,'Cash Flow Statement'!B9)</f>
        <v>0</v>
      </c>
      <c r="C11" s="38">
        <f>MAX(0,'Cash Flow Statement'!C9)</f>
        <v>6000000</v>
      </c>
      <c r="D11" s="78">
        <f>MAX(0,'Cash Flow Statement'!D9)</f>
        <v>13047000</v>
      </c>
      <c r="E11" s="27"/>
      <c r="F11" s="39"/>
      <c r="G11" s="95"/>
      <c r="H11" s="96"/>
    </row>
    <row r="12" spans="1:10" ht="15.5" x14ac:dyDescent="0.35">
      <c r="A12" s="32" t="s">
        <v>45</v>
      </c>
      <c r="B12" s="79">
        <f>1/((1+$C$6)^B8)</f>
        <v>0.83333333333333337</v>
      </c>
      <c r="C12" s="79">
        <f>1/((1+$C$6)^C8)</f>
        <v>0.69444444444444442</v>
      </c>
      <c r="D12" s="80">
        <f>1/((1+$C$6)^D8)</f>
        <v>0.57870370370370372</v>
      </c>
      <c r="E12" s="27"/>
      <c r="F12" s="37"/>
      <c r="G12" s="37"/>
      <c r="H12" s="37"/>
    </row>
    <row r="13" spans="1:10" ht="15.5" x14ac:dyDescent="0.35">
      <c r="A13" s="32"/>
      <c r="B13" s="2"/>
      <c r="C13" s="2"/>
      <c r="D13" s="75"/>
      <c r="E13" s="27"/>
      <c r="F13" s="29" t="s">
        <v>82</v>
      </c>
      <c r="G13" s="40"/>
      <c r="H13" s="41">
        <f>SUM(B14:D14)</f>
        <v>11717013.888888888</v>
      </c>
    </row>
    <row r="14" spans="1:10" ht="15.5" x14ac:dyDescent="0.35">
      <c r="A14" s="35" t="s">
        <v>46</v>
      </c>
      <c r="B14" s="81">
        <f>B11*B12</f>
        <v>0</v>
      </c>
      <c r="C14" s="81">
        <f t="shared" ref="B14:D14" si="0">C11*C12</f>
        <v>4166666.6666666665</v>
      </c>
      <c r="D14" s="42">
        <f t="shared" si="0"/>
        <v>7550347.222222222</v>
      </c>
      <c r="E14" s="27"/>
      <c r="F14" s="35" t="s">
        <v>47</v>
      </c>
      <c r="G14" s="13"/>
      <c r="H14" s="42">
        <f>G10</f>
        <v>44413807.18954248</v>
      </c>
    </row>
    <row r="15" spans="1:10" ht="15.5" x14ac:dyDescent="0.35">
      <c r="A15" s="2" t="s">
        <v>112</v>
      </c>
      <c r="B15" s="2">
        <f>1/((1+$C$31)^B8)</f>
        <v>0.76923076923076916</v>
      </c>
      <c r="C15" s="2">
        <f>1/((1+$C$31)^C8)</f>
        <v>0.59171597633136086</v>
      </c>
      <c r="D15" s="2">
        <f>1/((1+$C$31)^D8)</f>
        <v>0.45516613563950831</v>
      </c>
      <c r="E15" s="27"/>
      <c r="F15" s="37"/>
      <c r="G15" s="37"/>
      <c r="H15" s="37"/>
    </row>
    <row r="16" spans="1:10" ht="30" customHeight="1" x14ac:dyDescent="0.35">
      <c r="A16" s="27" t="s">
        <v>113</v>
      </c>
      <c r="B16" s="98">
        <f>B11*B15</f>
        <v>0</v>
      </c>
      <c r="C16" s="98">
        <f t="shared" ref="C16:D16" si="1">C11*C15</f>
        <v>3550295.8579881652</v>
      </c>
      <c r="D16" s="98">
        <f t="shared" si="1"/>
        <v>5938552.5716886651</v>
      </c>
      <c r="E16" s="27"/>
      <c r="F16" s="43" t="s">
        <v>48</v>
      </c>
      <c r="G16" s="44"/>
      <c r="H16" s="45">
        <f>+(H13+H14)</f>
        <v>56130821.078431368</v>
      </c>
    </row>
    <row r="17" spans="1:8" ht="18" x14ac:dyDescent="0.35">
      <c r="A17" s="93" t="s">
        <v>49</v>
      </c>
      <c r="B17" s="93"/>
      <c r="C17" s="47"/>
      <c r="D17" s="47"/>
      <c r="E17" s="47"/>
    </row>
    <row r="18" spans="1:8" ht="15.5" x14ac:dyDescent="0.35">
      <c r="A18" s="46"/>
      <c r="B18" s="46"/>
      <c r="C18" s="47"/>
      <c r="D18" s="47"/>
      <c r="E18" s="47"/>
    </row>
    <row r="19" spans="1:8" ht="15.5" x14ac:dyDescent="0.35">
      <c r="A19" s="2" t="s">
        <v>50</v>
      </c>
      <c r="B19" s="48"/>
      <c r="C19" s="47"/>
      <c r="D19" s="49">
        <f>(1)</f>
        <v>1</v>
      </c>
      <c r="E19" s="47"/>
    </row>
    <row r="20" spans="1:8" ht="15.5" x14ac:dyDescent="0.35">
      <c r="A20" s="46"/>
      <c r="B20" s="46"/>
      <c r="C20" s="47"/>
      <c r="D20" s="47"/>
      <c r="E20" s="47"/>
    </row>
    <row r="21" spans="1:8" ht="15.5" x14ac:dyDescent="0.35">
      <c r="A21" s="2" t="s">
        <v>51</v>
      </c>
      <c r="B21" s="50">
        <f>(H16)</f>
        <v>56130821.078431368</v>
      </c>
      <c r="C21" s="51" t="s">
        <v>52</v>
      </c>
      <c r="D21" s="52">
        <v>60000000</v>
      </c>
      <c r="E21" s="53" t="s">
        <v>53</v>
      </c>
    </row>
    <row r="22" spans="1:8" ht="15.5" x14ac:dyDescent="0.35">
      <c r="A22" s="2" t="s">
        <v>54</v>
      </c>
      <c r="B22" s="50">
        <f>('Funds Required'!B17)</f>
        <v>5000000</v>
      </c>
      <c r="C22" s="51"/>
      <c r="D22" s="50">
        <f>(B22)</f>
        <v>5000000</v>
      </c>
      <c r="E22" s="47"/>
    </row>
    <row r="23" spans="1:8" ht="15.5" x14ac:dyDescent="0.35">
      <c r="A23" s="47"/>
      <c r="B23" s="47"/>
      <c r="C23" s="47"/>
      <c r="D23" s="47"/>
      <c r="E23" s="47"/>
    </row>
    <row r="24" spans="1:8" ht="18" x14ac:dyDescent="0.35">
      <c r="A24" s="93" t="s">
        <v>55</v>
      </c>
      <c r="B24" s="93"/>
      <c r="C24" s="47"/>
      <c r="D24" s="66">
        <f>(D21+D22)</f>
        <v>65000000</v>
      </c>
      <c r="E24" s="47"/>
    </row>
    <row r="25" spans="1:8" ht="15.5" x14ac:dyDescent="0.35">
      <c r="A25" s="47"/>
      <c r="B25" s="47"/>
      <c r="C25" s="47"/>
      <c r="D25" s="67"/>
      <c r="E25" s="47"/>
    </row>
    <row r="26" spans="1:8" ht="15.5" x14ac:dyDescent="0.35">
      <c r="A26" s="2" t="s">
        <v>56</v>
      </c>
      <c r="B26" s="48"/>
      <c r="C26" s="47"/>
      <c r="D26" s="68">
        <f>D22/D21</f>
        <v>8.3333333333333329E-2</v>
      </c>
      <c r="E26" s="47"/>
    </row>
    <row r="27" spans="1:8" ht="15.5" x14ac:dyDescent="0.35">
      <c r="A27" s="2" t="s">
        <v>57</v>
      </c>
      <c r="B27" s="48"/>
      <c r="C27" s="47"/>
      <c r="D27" s="68">
        <f>1-D26</f>
        <v>0.91666666666666663</v>
      </c>
      <c r="E27" s="47"/>
    </row>
    <row r="28" spans="1:8" ht="20" x14ac:dyDescent="0.4">
      <c r="F28" s="90" t="s">
        <v>110</v>
      </c>
      <c r="G28" s="90"/>
    </row>
    <row r="29" spans="1:8" x14ac:dyDescent="0.35">
      <c r="A29" s="82"/>
      <c r="B29" s="82"/>
      <c r="C29" s="82"/>
      <c r="D29" s="82"/>
      <c r="E29" s="82"/>
      <c r="F29" s="82"/>
      <c r="G29" s="82"/>
      <c r="H29" s="82"/>
    </row>
    <row r="31" spans="1:8" ht="15.5" x14ac:dyDescent="0.35">
      <c r="A31" s="2" t="s">
        <v>39</v>
      </c>
      <c r="B31" s="2"/>
      <c r="C31" s="83">
        <v>0.3</v>
      </c>
    </row>
    <row r="33" spans="1:9" ht="18" x14ac:dyDescent="0.35">
      <c r="A33" s="93" t="s">
        <v>49</v>
      </c>
      <c r="B33" s="93"/>
      <c r="C33" s="47"/>
      <c r="D33" s="47"/>
      <c r="E33" s="47"/>
      <c r="G33" s="99" t="s">
        <v>114</v>
      </c>
      <c r="H33" s="99"/>
      <c r="I33" s="16">
        <f>SUM(B16:D16)</f>
        <v>9488848.4296768308</v>
      </c>
    </row>
    <row r="34" spans="1:9" ht="15.5" x14ac:dyDescent="0.35">
      <c r="A34" s="46"/>
      <c r="B34" s="46"/>
      <c r="C34" s="47"/>
      <c r="D34" s="47"/>
      <c r="E34" s="47"/>
      <c r="G34" s="99" t="s">
        <v>115</v>
      </c>
      <c r="H34" s="99"/>
      <c r="I34">
        <f>D16/(C31-G8)</f>
        <v>21994639.154402461</v>
      </c>
    </row>
    <row r="35" spans="1:9" ht="15.5" x14ac:dyDescent="0.35">
      <c r="A35" s="2" t="s">
        <v>50</v>
      </c>
      <c r="B35" s="48"/>
      <c r="C35" s="47"/>
      <c r="D35" s="49">
        <f>(1)</f>
        <v>1</v>
      </c>
      <c r="E35" s="47"/>
    </row>
    <row r="36" spans="1:9" ht="15.5" x14ac:dyDescent="0.35">
      <c r="A36" s="46"/>
      <c r="B36" s="46"/>
      <c r="C36" s="47"/>
      <c r="D36" s="47"/>
      <c r="E36" s="47"/>
      <c r="G36" t="s">
        <v>116</v>
      </c>
      <c r="I36" s="16">
        <f>I33+I34</f>
        <v>31483487.584079292</v>
      </c>
    </row>
    <row r="37" spans="1:9" ht="15.5" x14ac:dyDescent="0.35">
      <c r="A37" s="2" t="s">
        <v>51</v>
      </c>
      <c r="B37" s="50">
        <f>I36</f>
        <v>31483487.584079292</v>
      </c>
      <c r="C37" s="51" t="s">
        <v>52</v>
      </c>
      <c r="D37" s="52">
        <v>32000000</v>
      </c>
      <c r="E37" s="53" t="s">
        <v>53</v>
      </c>
    </row>
    <row r="38" spans="1:9" ht="15.5" x14ac:dyDescent="0.35">
      <c r="A38" s="2" t="s">
        <v>54</v>
      </c>
      <c r="B38" s="50">
        <f>('Funds Required'!B17)</f>
        <v>5000000</v>
      </c>
      <c r="C38" s="51"/>
      <c r="D38" s="50">
        <f>B38</f>
        <v>5000000</v>
      </c>
      <c r="E38" s="47"/>
    </row>
    <row r="39" spans="1:9" ht="15.5" x14ac:dyDescent="0.35">
      <c r="A39" s="47"/>
      <c r="B39" s="47"/>
      <c r="C39" s="47"/>
      <c r="D39" s="47"/>
      <c r="E39" s="47"/>
    </row>
    <row r="40" spans="1:9" ht="18" x14ac:dyDescent="0.35">
      <c r="A40" s="93" t="s">
        <v>55</v>
      </c>
      <c r="B40" s="93"/>
      <c r="C40" s="47"/>
      <c r="D40" s="66">
        <f>D37+D38</f>
        <v>37000000</v>
      </c>
      <c r="E40" s="47"/>
    </row>
    <row r="41" spans="1:9" ht="15.5" x14ac:dyDescent="0.35">
      <c r="A41" s="47"/>
      <c r="B41" s="47"/>
      <c r="C41" s="47"/>
      <c r="D41" s="67"/>
      <c r="E41" s="47"/>
    </row>
    <row r="42" spans="1:9" ht="15.5" x14ac:dyDescent="0.35">
      <c r="A42" s="2" t="s">
        <v>56</v>
      </c>
      <c r="B42" s="48"/>
      <c r="C42" s="47"/>
      <c r="D42" s="68">
        <f>D38/D37</f>
        <v>0.15625</v>
      </c>
      <c r="E42" s="47"/>
    </row>
    <row r="43" spans="1:9" ht="15.5" x14ac:dyDescent="0.35">
      <c r="A43" s="2" t="s">
        <v>57</v>
      </c>
      <c r="B43" s="48"/>
      <c r="C43" s="47"/>
      <c r="D43" s="68">
        <f>1-D42</f>
        <v>0.84375</v>
      </c>
      <c r="E43" s="47"/>
    </row>
    <row r="44" spans="1:9" ht="16" customHeight="1" x14ac:dyDescent="0.4">
      <c r="F44" s="90" t="s">
        <v>110</v>
      </c>
      <c r="G44" s="90"/>
    </row>
  </sheetData>
  <mergeCells count="12">
    <mergeCell ref="F44:G44"/>
    <mergeCell ref="A33:B33"/>
    <mergeCell ref="A40:B40"/>
    <mergeCell ref="A24:B24"/>
    <mergeCell ref="F28:G28"/>
    <mergeCell ref="G33:H33"/>
    <mergeCell ref="G34:H34"/>
    <mergeCell ref="A2:D2"/>
    <mergeCell ref="A4:B4"/>
    <mergeCell ref="G10:H10"/>
    <mergeCell ref="G11:H11"/>
    <mergeCell ref="A17:B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Assumptions</vt:lpstr>
      <vt:lpstr>Funds Required</vt:lpstr>
      <vt:lpstr>Income Statement</vt:lpstr>
      <vt:lpstr>Cash Flow Statement</vt:lpstr>
      <vt:lpstr>Valuation (DCF)</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J. Burns</dc:creator>
  <cp:lastModifiedBy>SUYASH KUMAR</cp:lastModifiedBy>
  <dcterms:created xsi:type="dcterms:W3CDTF">2014-06-26T22:06:34Z</dcterms:created>
  <dcterms:modified xsi:type="dcterms:W3CDTF">2024-05-07T06:04:16Z</dcterms:modified>
</cp:coreProperties>
</file>