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upamsaronwala/Desktop/"/>
    </mc:Choice>
  </mc:AlternateContent>
  <xr:revisionPtr revIDLastSave="0" documentId="13_ncr:1_{FCDC1D85-9273-4146-9913-1D3C2A51C030}" xr6:coauthVersionLast="47" xr6:coauthVersionMax="47" xr10:uidLastSave="{00000000-0000-0000-0000-000000000000}"/>
  <bookViews>
    <workbookView xWindow="0" yWindow="740" windowWidth="21360" windowHeight="16060" tabRatio="728" xr2:uid="{00000000-000D-0000-FFFF-FFFF00000000}"/>
  </bookViews>
  <sheets>
    <sheet name="Assumptions" sheetId="6" r:id="rId1"/>
    <sheet name="Funds Required" sheetId="9" r:id="rId2"/>
    <sheet name="Balance Sheet" sheetId="3" r:id="rId3"/>
    <sheet name="Income Statement" sheetId="5" r:id="rId4"/>
    <sheet name="Cash Flow Statement" sheetId="8" r:id="rId5"/>
    <sheet name="DCF Valuation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0" l="1"/>
  <c r="B23" i="8"/>
  <c r="D20" i="10"/>
  <c r="B6" i="9"/>
  <c r="B23" i="10"/>
  <c r="D23" i="10" s="1"/>
  <c r="I7" i="10"/>
  <c r="C12" i="10"/>
  <c r="D12" i="10"/>
  <c r="E12" i="10"/>
  <c r="F12" i="10"/>
  <c r="D25" i="10" l="1"/>
  <c r="D27" i="10"/>
  <c r="D28" i="10" s="1"/>
  <c r="B7" i="9" l="1"/>
  <c r="C20" i="5"/>
  <c r="D20" i="5" s="1"/>
  <c r="E20" i="5" s="1"/>
  <c r="F20" i="5" s="1"/>
  <c r="G20" i="5" s="1"/>
  <c r="F9" i="8" s="1"/>
  <c r="E15" i="5"/>
  <c r="D11" i="5"/>
  <c r="D18" i="5" s="1"/>
  <c r="D8" i="5"/>
  <c r="C8" i="5"/>
  <c r="E9" i="8" l="1"/>
  <c r="D9" i="8"/>
  <c r="C9" i="8"/>
  <c r="B9" i="8"/>
  <c r="D22" i="5"/>
  <c r="D27" i="5" s="1"/>
  <c r="E11" i="5"/>
  <c r="E18" i="5" s="1"/>
  <c r="E22" i="5" s="1"/>
  <c r="E27" i="5" s="1"/>
  <c r="F8" i="5"/>
  <c r="G8" i="5"/>
  <c r="C11" i="5"/>
  <c r="C18" i="5" s="1"/>
  <c r="C22" i="5" s="1"/>
  <c r="C27" i="5" s="1"/>
  <c r="F11" i="5"/>
  <c r="F18" i="5" s="1"/>
  <c r="F22" i="5" s="1"/>
  <c r="F27" i="5" s="1"/>
  <c r="F29" i="5" s="1"/>
  <c r="G11" i="5"/>
  <c r="H11" i="5" s="1"/>
  <c r="E8" i="5"/>
  <c r="C29" i="5" l="1"/>
  <c r="C31" i="5" s="1"/>
  <c r="H25" i="5"/>
  <c r="H24" i="5"/>
  <c r="H15" i="5"/>
  <c r="H14" i="5"/>
  <c r="H16" i="5"/>
  <c r="D29" i="5"/>
  <c r="D31" i="5" s="1"/>
  <c r="C8" i="8" s="1"/>
  <c r="H20" i="5"/>
  <c r="G18" i="5"/>
  <c r="H18" i="5" s="1"/>
  <c r="F31" i="5"/>
  <c r="E8" i="8" s="1"/>
  <c r="C11" i="8" l="1"/>
  <c r="C11" i="10" s="1"/>
  <c r="C14" i="10" s="1"/>
  <c r="E11" i="8"/>
  <c r="E11" i="10" s="1"/>
  <c r="E14" i="10" s="1"/>
  <c r="E29" i="5"/>
  <c r="B8" i="8"/>
  <c r="G22" i="5"/>
  <c r="G27" i="5" s="1"/>
  <c r="B11" i="8" l="1"/>
  <c r="H27" i="5"/>
  <c r="G29" i="5"/>
  <c r="G31" i="5" s="1"/>
  <c r="B16" i="9"/>
  <c r="B9" i="9"/>
  <c r="D20" i="6"/>
  <c r="D25" i="6"/>
  <c r="D18" i="6"/>
  <c r="D15" i="6"/>
  <c r="D8" i="6"/>
  <c r="B24" i="8" l="1"/>
  <c r="C23" i="8" s="1"/>
  <c r="C24" i="8" s="1"/>
  <c r="D23" i="8" s="1"/>
  <c r="B11" i="10"/>
  <c r="B14" i="10" s="1"/>
  <c r="H31" i="5"/>
  <c r="F8" i="8"/>
  <c r="B18" i="9"/>
  <c r="B28" i="3"/>
  <c r="B15" i="3"/>
  <c r="F11" i="8" l="1"/>
  <c r="F11" i="10" s="1"/>
  <c r="F14" i="10" s="1"/>
  <c r="J14" i="10" s="1"/>
  <c r="B30" i="3"/>
  <c r="E31" i="5"/>
  <c r="D8" i="8" s="1"/>
  <c r="D11" i="8" l="1"/>
  <c r="D24" i="8" l="1"/>
  <c r="E23" i="8" s="1"/>
  <c r="E24" i="8" s="1"/>
  <c r="F23" i="8" s="1"/>
  <c r="F24" i="8" s="1"/>
  <c r="D11" i="10"/>
  <c r="D14" i="10" s="1"/>
  <c r="J13" i="10" s="1"/>
  <c r="J16" i="10" s="1"/>
  <c r="B2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6" authorId="0" shapeId="0" xr:uid="{A49C96D0-A580-4C40-A9B5-88B5FF3807DE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ID#AAAAHR82teE
</t>
        </r>
        <r>
          <rPr>
            <sz val="11"/>
            <color rgb="FF000000"/>
            <rFont val="Arial"/>
            <family val="2"/>
          </rPr>
          <t xml:space="preserve">Varnika Kairon    (2020-11-17 17:25:02)
</t>
        </r>
        <r>
          <rPr>
            <sz val="11"/>
            <color rgb="FF000000"/>
            <rFont val="Arial"/>
            <family val="2"/>
          </rPr>
          <t xml:space="preserve">CA - 50k
</t>
        </r>
        <r>
          <rPr>
            <sz val="11"/>
            <color rgb="FF000000"/>
            <rFont val="Arial"/>
            <family val="2"/>
          </rPr>
          <t xml:space="preserve">Legal - 50k
</t>
        </r>
        <r>
          <rPr>
            <sz val="11"/>
            <color rgb="FF000000"/>
            <rFont val="Arial"/>
            <family val="2"/>
          </rPr>
          <t xml:space="preserve">Email - 4.5k
</t>
        </r>
        <r>
          <rPr>
            <sz val="11"/>
            <color rgb="FF000000"/>
            <rFont val="Arial"/>
            <family val="2"/>
          </rPr>
          <t xml:space="preserve">Website- 1st year: 200
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We would be handling the customer support by ourselves so that we can understand the challenges they are facing better and work on providing a better experience.
</t>
        </r>
        <r>
          <rPr>
            <sz val="11"/>
            <color rgb="FF000000"/>
            <rFont val="Arial"/>
            <family val="2"/>
          </rPr>
          <t>Total: 1.047 Lakh</t>
        </r>
      </text>
    </comment>
    <comment ref="D16" authorId="0" shapeId="0" xr:uid="{A5D4C46D-F3A9-5840-8FB5-0B2A8DF99EA1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ID#AAAAHR82teM
</t>
        </r>
        <r>
          <rPr>
            <sz val="11"/>
            <color rgb="FF000000"/>
            <rFont val="Arial"/>
            <family val="2"/>
          </rPr>
          <t xml:space="preserve">Varnika Kairon    (2020-11-17 17:25:24)
</t>
        </r>
        <r>
          <rPr>
            <sz val="11"/>
            <color rgb="FF000000"/>
            <rFont val="Arial"/>
            <family val="2"/>
          </rPr>
          <t xml:space="preserve">CA Cost- 50k
</t>
        </r>
        <r>
          <rPr>
            <sz val="11"/>
            <color rgb="FF000000"/>
            <rFont val="Arial"/>
            <family val="2"/>
          </rPr>
          <t xml:space="preserve">Legal - 50k
</t>
        </r>
        <r>
          <rPr>
            <sz val="11"/>
            <color rgb="FF000000"/>
            <rFont val="Arial"/>
            <family val="2"/>
          </rPr>
          <t xml:space="preserve">Email- Outlook: 4.5k
</t>
        </r>
        <r>
          <rPr>
            <sz val="11"/>
            <color rgb="FF000000"/>
            <rFont val="Arial"/>
            <family val="2"/>
          </rPr>
          <t xml:space="preserve">Customer support- We would be building a chatbot and in case the chatbot is unable to provide support to some grievances we would be handling them.
</t>
        </r>
        <r>
          <rPr>
            <sz val="11"/>
            <color rgb="FF000000"/>
            <rFont val="Arial"/>
            <family val="2"/>
          </rPr>
          <t xml:space="preserve">Website - 1050
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>Total: 1.3 Lakhs</t>
        </r>
      </text>
    </comment>
    <comment ref="E16" authorId="0" shapeId="0" xr:uid="{1F09A7AF-3CD5-5A42-8CA9-B284DFE96236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ID#AAAAHR82tm0
</t>
        </r>
        <r>
          <rPr>
            <sz val="11"/>
            <color rgb="FF000000"/>
            <rFont val="Arial"/>
            <family val="2"/>
          </rPr>
          <t xml:space="preserve">Varnika Kairon    (2020-11-17 17:32:55)
</t>
        </r>
        <r>
          <rPr>
            <sz val="11"/>
            <color rgb="FF000000"/>
            <rFont val="Arial"/>
            <family val="2"/>
          </rPr>
          <t xml:space="preserve">CA Cost- 60k
</t>
        </r>
        <r>
          <rPr>
            <sz val="11"/>
            <color rgb="FF000000"/>
            <rFont val="Arial"/>
            <family val="2"/>
          </rPr>
          <t xml:space="preserve">Legal - 60k
</t>
        </r>
        <r>
          <rPr>
            <sz val="11"/>
            <color rgb="FF000000"/>
            <rFont val="Arial"/>
            <family val="2"/>
          </rPr>
          <t xml:space="preserve">Email- Outlook:4.5k
</t>
        </r>
        <r>
          <rPr>
            <sz val="11"/>
            <color rgb="FF000000"/>
            <rFont val="Arial"/>
            <family val="2"/>
          </rPr>
          <t xml:space="preserve">Customer support- 1lakh
</t>
        </r>
        <r>
          <rPr>
            <sz val="11"/>
            <color rgb="FF000000"/>
            <rFont val="Arial"/>
            <family val="2"/>
          </rPr>
          <t>Website- 1050</t>
        </r>
      </text>
    </comment>
    <comment ref="F16" authorId="0" shapeId="0" xr:uid="{7ADEC411-C3F2-1E45-A5E9-B497A17C1864}">
      <text>
        <r>
          <rPr>
            <sz val="11"/>
            <color theme="1"/>
            <rFont val="Arial"/>
            <family val="2"/>
          </rPr>
          <t>======
ID#AAAAHR82tmw
Varnika Kairon    (2020-11-17 17:32:36)
Legal- 85k
CA- 85k
Email- Outlook:5k
Customer support- 2.5 lakhs
Website- 1050</t>
        </r>
      </text>
    </comment>
    <comment ref="G16" authorId="0" shapeId="0" xr:uid="{A090D793-E087-1C46-BAAE-5CC38C2153D8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ID#AAAAHR82tmc
</t>
        </r>
        <r>
          <rPr>
            <sz val="11"/>
            <color rgb="FF000000"/>
            <rFont val="Arial"/>
            <family val="2"/>
          </rPr>
          <t xml:space="preserve">Varnika Kairon    (2020-11-17 17:32:19)
</t>
        </r>
        <r>
          <rPr>
            <sz val="11"/>
            <color rgb="FF000000"/>
            <rFont val="Arial"/>
            <family val="2"/>
          </rPr>
          <t xml:space="preserve">Legal- 1lakh
</t>
        </r>
        <r>
          <rPr>
            <sz val="11"/>
            <color rgb="FF000000"/>
            <rFont val="Arial"/>
            <family val="2"/>
          </rPr>
          <t xml:space="preserve">CA- 1 Lakh
</t>
        </r>
        <r>
          <rPr>
            <sz val="11"/>
            <color rgb="FF000000"/>
            <rFont val="Arial"/>
            <family val="2"/>
          </rPr>
          <t xml:space="preserve">Email- Outlook:5k
</t>
        </r>
        <r>
          <rPr>
            <sz val="11"/>
            <color rgb="FF000000"/>
            <rFont val="Arial"/>
            <family val="2"/>
          </rPr>
          <t xml:space="preserve">Customer support- 5Lakh
</t>
        </r>
        <r>
          <rPr>
            <sz val="11"/>
            <color rgb="FF000000"/>
            <rFont val="Arial"/>
            <family val="2"/>
          </rPr>
          <t>Website- 1050</t>
        </r>
      </text>
    </comment>
  </commentList>
</comments>
</file>

<file path=xl/sharedStrings.xml><?xml version="1.0" encoding="utf-8"?>
<sst xmlns="http://schemas.openxmlformats.org/spreadsheetml/2006/main" count="143" uniqueCount="123">
  <si>
    <t>Balance Sheet</t>
  </si>
  <si>
    <t>Current Assets</t>
  </si>
  <si>
    <t>Cash &amp; Bank Balance</t>
  </si>
  <si>
    <t>Accounts Receivable</t>
  </si>
  <si>
    <t>Non-Current Assets</t>
  </si>
  <si>
    <t>Current Liabilities</t>
  </si>
  <si>
    <t>Non Current Liabilities</t>
  </si>
  <si>
    <t>Reserve &amp; Surplus</t>
  </si>
  <si>
    <t>TOTAL ASSETS</t>
  </si>
  <si>
    <t>TOTAL LIABILITIES</t>
  </si>
  <si>
    <t>ASSETS</t>
  </si>
  <si>
    <t>LIABILITIES</t>
  </si>
  <si>
    <t>Inventory</t>
  </si>
  <si>
    <t>Accounts Payable</t>
  </si>
  <si>
    <t>Loans from various Sources</t>
  </si>
  <si>
    <t>Common stock</t>
  </si>
  <si>
    <t>Shareholders' Funds</t>
  </si>
  <si>
    <t>Income Statement</t>
  </si>
  <si>
    <t>Operating Cash Flow</t>
  </si>
  <si>
    <t>Cash from Operations</t>
  </si>
  <si>
    <t>Investing Cash Flow</t>
  </si>
  <si>
    <t>Investments in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</si>
  <si>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</si>
  <si>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</si>
  <si>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</si>
  <si>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</si>
  <si>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</si>
  <si>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Opening Cash Balance</t>
  </si>
  <si>
    <t>Closing Cash Balance</t>
  </si>
  <si>
    <t>Net increase (decrease) in Cash</t>
  </si>
  <si>
    <t>Plus: Depreciation &amp; Amortization</t>
  </si>
  <si>
    <t>Cash Flow Statement</t>
  </si>
  <si>
    <t>Balance Sheet (check)</t>
  </si>
  <si>
    <t>Less: Depreciation</t>
  </si>
  <si>
    <t>Equipment (Computers)</t>
  </si>
  <si>
    <t>Phlux</t>
  </si>
  <si>
    <t>Price charged per student (Rs.)</t>
  </si>
  <si>
    <t>Margin paid to schools (%)</t>
  </si>
  <si>
    <t>(for first 2 years, Rs. 2,500 from years 3-5)</t>
  </si>
  <si>
    <t>Number of students per school</t>
  </si>
  <si>
    <t>(for first 2 years, 550 from years 3-5)</t>
  </si>
  <si>
    <t>Revenue to Phlux per student (Rs.)</t>
  </si>
  <si>
    <t xml:space="preserve">Number of schools </t>
  </si>
  <si>
    <t>(increasing yearly - 10, 40, 100, 200)</t>
  </si>
  <si>
    <t>Technical Personnel Costs (Rs.)</t>
  </si>
  <si>
    <t>Consummables costs per student (Rs.)</t>
  </si>
  <si>
    <t>(Domain expert: 45k, AR expert + Graphic designer: 2.25 Lakh, 1 Data Analyst: 6 lakhs)</t>
  </si>
  <si>
    <t>AR Software package costs (Rs.)</t>
  </si>
  <si>
    <t>(yearly)</t>
  </si>
  <si>
    <t>(CA - 50k; Legal - 50k; Email - 4.5k; Website- 1st year: 200)</t>
  </si>
  <si>
    <t>Sales &amp; Marketing Costs (Rs.)</t>
  </si>
  <si>
    <t>Other Expenses (Rs.)</t>
  </si>
  <si>
    <t>(Marketing (hiring student partners, transportation, cost to client meetings, merchandise/gifts ): 1Lakh; 2 Conferences: 4 lakhs; 1 brand managers- 0.6 Lakh; Youtube ads- 80k; Ads content creation- 20k; Office supplies- 5k; General expenses- 30k; Office Parties-10K)</t>
  </si>
  <si>
    <t>AWS (Cloud Hosting) costs per year (Rs.)</t>
  </si>
  <si>
    <t>Capital Costs for Headsets (Rs.) per Headset</t>
  </si>
  <si>
    <t>(one headset for each student)</t>
  </si>
  <si>
    <t>Phlux provides students a realistic lab experience via an Augmented Reality Application.  It helps in increasing engagement and testing the student’s conceptual understanding. It enables students to perform interactive hands-free experiments anytime and anywhere, using free AR headset.  This results in providing fun, safe and high quality science education at low cost.</t>
  </si>
  <si>
    <t>(when starting the Venture)</t>
  </si>
  <si>
    <t>Capital Investments</t>
  </si>
  <si>
    <t>Fund Operating Losses</t>
  </si>
  <si>
    <t>Sources of Funds</t>
  </si>
  <si>
    <t>Use of Funds</t>
  </si>
  <si>
    <t>Funds Raising</t>
  </si>
  <si>
    <t>TOTAL USE OF FUNDS</t>
  </si>
  <si>
    <t>TOTAL SOURCES OF FUNDS</t>
  </si>
  <si>
    <t>Founders' Contribution</t>
  </si>
  <si>
    <t>Investors' Contribution</t>
  </si>
  <si>
    <t>From Cash-flow Statement</t>
  </si>
  <si>
    <t>Excess/Shortfall (check)</t>
  </si>
  <si>
    <t>Year 1</t>
  </si>
  <si>
    <t>Year 2</t>
  </si>
  <si>
    <t>Year 3</t>
  </si>
  <si>
    <t>Year 4</t>
  </si>
  <si>
    <t>Year 5</t>
  </si>
  <si>
    <t>Total Units Sold</t>
  </si>
  <si>
    <t>Average Unit Price</t>
  </si>
  <si>
    <t>Revenues</t>
  </si>
  <si>
    <t>Cost of Goods Sold (per Unit)</t>
  </si>
  <si>
    <t>Gross Profit</t>
  </si>
  <si>
    <t>Operating Expenses:</t>
  </si>
  <si>
    <t xml:space="preserve">Research and Development </t>
  </si>
  <si>
    <t>Selling, General &amp; Administrative Expense</t>
  </si>
  <si>
    <t>Other</t>
  </si>
  <si>
    <t>EBITDA</t>
  </si>
  <si>
    <t>Depreciation and Amortization</t>
  </si>
  <si>
    <t>Operating Profit (EBIT)</t>
  </si>
  <si>
    <t>Interest Expense</t>
  </si>
  <si>
    <t>Interest Income</t>
  </si>
  <si>
    <t>Net Profit (EBT)</t>
  </si>
  <si>
    <t>Tax Rate:</t>
  </si>
  <si>
    <t>Income Tax</t>
  </si>
  <si>
    <t>Net Income</t>
  </si>
  <si>
    <t>As at end of the FY</t>
  </si>
  <si>
    <t>Less: Changes in Current Assets</t>
  </si>
  <si>
    <t>% of Revenues</t>
  </si>
  <si>
    <t xml:space="preserve">Discounted Cash Flow Model </t>
  </si>
  <si>
    <t>First Five Years</t>
  </si>
  <si>
    <t>After Year 5 (Going Concern Principle)</t>
  </si>
  <si>
    <t>Discount Rate:</t>
  </si>
  <si>
    <t>Growth Rate:</t>
  </si>
  <si>
    <t>Value in Perpetuity =</t>
  </si>
  <si>
    <t xml:space="preserve">    (Discount Rate - Growth Rate)</t>
  </si>
  <si>
    <t xml:space="preserve">Discount Factor: </t>
  </si>
  <si>
    <t>5 Year Present Value:</t>
  </si>
  <si>
    <t>Present Value:</t>
  </si>
  <si>
    <t xml:space="preserve">Value in Perpetuity: </t>
  </si>
  <si>
    <t>Total Present Value of the Company:</t>
  </si>
  <si>
    <t>Year 5 (Cash)</t>
  </si>
  <si>
    <t>(1000 Headsets, Furniture, Security deposits, Pre-operating expenses, etc.</t>
  </si>
  <si>
    <t>Pre-money Valuation</t>
  </si>
  <si>
    <t>PV of the Company</t>
  </si>
  <si>
    <t>% Equity to Investors</t>
  </si>
  <si>
    <t>Round up</t>
  </si>
  <si>
    <t>Post-money Valuation</t>
  </si>
  <si>
    <t>(Negotiated?)</t>
  </si>
  <si>
    <t>% Equity of Founders (before Investors' funding)</t>
  </si>
  <si>
    <t>% Equity of Founders</t>
  </si>
  <si>
    <t>Notes:</t>
  </si>
  <si>
    <t>1. All cells that are shaded "grey" are input numbers, whereas  others are "formulae".  This is applicable across all worksheets in this excel model.</t>
  </si>
  <si>
    <t>4. As this excel model is an example, the "Assumptions" vary depending on "strategy" adopted by Phlux</t>
  </si>
  <si>
    <t>3. This Example should be used to understand the concepts, and not to validate "Assumptions" of Phlux.</t>
  </si>
  <si>
    <t>2. After you understand the financial model, do "what-if" analysis to better understand concepts related to "Fund Raising" and "Valuation"</t>
  </si>
  <si>
    <t>5. As a consequence of this, the calculations for "input numbers" may change.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</si>
</sst>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sz val="20"/>
      <color theme="1"/>
      <name val="Calibri"/>
      <family val="2"/>
      <scheme val="minor"/>
    </font>
    <font>
      <u/>
      <sz val="14"/>
      <color theme="1"/>
      <name val="Arial"/>
      <family val="2"/>
    </font>
    <font>
      <sz val="14"/>
      <color theme="1"/>
      <name val="Arial"/>
      <family val="2"/>
    </font>
    <font>
      <sz val="12"/>
      <color rgb="FFFF0000"/>
      <name val="Arial"/>
      <family val="2"/>
    </font>
    <font>
      <sz val="14"/>
      <color rgb="FFFF0000"/>
      <name val="Arial"/>
      <family val="2"/>
    </font>
    <font>
      <sz val="12"/>
      <color rgb="FF0070C0"/>
      <name val="Arial"/>
      <family val="2"/>
    </font>
    <font>
      <i/>
      <sz val="12"/>
      <color rgb="FF0070C0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  <font>
      <u/>
      <sz val="12"/>
      <color theme="1"/>
      <name val="Arial"/>
      <family val="2"/>
    </font>
    <font>
      <sz val="14"/>
      <color theme="5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1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/>
    <xf numFmtId="0" fontId="9" fillId="0" borderId="0" xfId="0" applyFont="1"/>
    <xf numFmtId="0" fontId="12" fillId="0" borderId="0" xfId="0" applyFont="1"/>
    <xf numFmtId="0" fontId="10" fillId="0" borderId="0" xfId="0" applyFont="1"/>
    <xf numFmtId="164" fontId="13" fillId="0" borderId="0" xfId="13" applyNumberFormat="1" applyFont="1"/>
    <xf numFmtId="0" fontId="14" fillId="0" borderId="0" xfId="0" applyFont="1"/>
    <xf numFmtId="37" fontId="15" fillId="0" borderId="0" xfId="13" applyNumberFormat="1" applyFont="1"/>
    <xf numFmtId="164" fontId="13" fillId="0" borderId="0" xfId="13" applyNumberFormat="1" applyFont="1" applyFill="1"/>
    <xf numFmtId="0" fontId="16" fillId="0" borderId="0" xfId="0" applyFont="1"/>
    <xf numFmtId="3" fontId="17" fillId="0" borderId="0" xfId="13" applyNumberFormat="1" applyFont="1"/>
    <xf numFmtId="0" fontId="17" fillId="0" borderId="0" xfId="0" applyFont="1"/>
    <xf numFmtId="0" fontId="8" fillId="0" borderId="1" xfId="0" applyFont="1" applyBorder="1"/>
    <xf numFmtId="0" fontId="6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3" fillId="0" borderId="0" xfId="0" applyFont="1"/>
    <xf numFmtId="0" fontId="18" fillId="2" borderId="0" xfId="0" applyFont="1" applyFill="1"/>
    <xf numFmtId="0" fontId="6" fillId="0" borderId="0" xfId="0" applyFont="1"/>
    <xf numFmtId="164" fontId="8" fillId="0" borderId="0" xfId="13" applyNumberFormat="1" applyFont="1"/>
    <xf numFmtId="9" fontId="8" fillId="0" borderId="0" xfId="14" applyFont="1"/>
    <xf numFmtId="0" fontId="18" fillId="0" borderId="1" xfId="0" applyFont="1" applyBorder="1"/>
    <xf numFmtId="0" fontId="18" fillId="2" borderId="1" xfId="0" applyFont="1" applyFill="1" applyBorder="1"/>
    <xf numFmtId="164" fontId="8" fillId="3" borderId="0" xfId="13" applyNumberFormat="1" applyFont="1" applyFill="1"/>
    <xf numFmtId="164" fontId="8" fillId="0" borderId="0" xfId="13" applyNumberFormat="1" applyFont="1" applyFill="1"/>
    <xf numFmtId="164" fontId="8" fillId="3" borderId="1" xfId="13" applyNumberFormat="1" applyFont="1" applyFill="1" applyBorder="1"/>
    <xf numFmtId="9" fontId="8" fillId="0" borderId="0" xfId="14" applyFont="1" applyFill="1"/>
    <xf numFmtId="164" fontId="14" fillId="0" borderId="0" xfId="13" applyNumberFormat="1" applyFont="1" applyFill="1"/>
    <xf numFmtId="0" fontId="21" fillId="2" borderId="0" xfId="0" applyFont="1" applyFill="1" applyAlignment="1">
      <alignment wrapText="1"/>
    </xf>
    <xf numFmtId="0" fontId="7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1" xfId="0" applyBorder="1"/>
    <xf numFmtId="164" fontId="13" fillId="3" borderId="0" xfId="13" applyNumberFormat="1" applyFont="1" applyFill="1"/>
    <xf numFmtId="9" fontId="8" fillId="0" borderId="0" xfId="14" applyFont="1" applyBorder="1"/>
    <xf numFmtId="0" fontId="18" fillId="0" borderId="0" xfId="0" applyFont="1"/>
    <xf numFmtId="164" fontId="8" fillId="0" borderId="0" xfId="13" applyNumberFormat="1" applyFont="1" applyBorder="1"/>
    <xf numFmtId="165" fontId="8" fillId="0" borderId="0" xfId="0" applyNumberFormat="1" applyFont="1"/>
    <xf numFmtId="0" fontId="8" fillId="0" borderId="2" xfId="0" applyFont="1" applyBorder="1"/>
    <xf numFmtId="0" fontId="18" fillId="2" borderId="3" xfId="0" applyFont="1" applyFill="1" applyBorder="1"/>
    <xf numFmtId="0" fontId="18" fillId="2" borderId="4" xfId="0" applyFont="1" applyFill="1" applyBorder="1"/>
    <xf numFmtId="0" fontId="8" fillId="0" borderId="5" xfId="0" applyFont="1" applyBorder="1"/>
    <xf numFmtId="0" fontId="18" fillId="2" borderId="6" xfId="0" applyFont="1" applyFill="1" applyBorder="1"/>
    <xf numFmtId="0" fontId="8" fillId="0" borderId="7" xfId="0" applyFont="1" applyBorder="1"/>
    <xf numFmtId="0" fontId="18" fillId="2" borderId="8" xfId="0" applyFont="1" applyFill="1" applyBorder="1"/>
    <xf numFmtId="0" fontId="8" fillId="0" borderId="3" xfId="0" applyFont="1" applyBorder="1"/>
    <xf numFmtId="0" fontId="18" fillId="0" borderId="7" xfId="0" applyFont="1" applyBorder="1"/>
    <xf numFmtId="0" fontId="8" fillId="0" borderId="10" xfId="0" applyFont="1" applyBorder="1"/>
    <xf numFmtId="164" fontId="8" fillId="0" borderId="4" xfId="13" applyNumberFormat="1" applyFont="1" applyBorder="1"/>
    <xf numFmtId="164" fontId="8" fillId="0" borderId="8" xfId="13" applyNumberFormat="1" applyFont="1" applyBorder="1"/>
    <xf numFmtId="164" fontId="8" fillId="0" borderId="11" xfId="13" applyNumberFormat="1" applyFont="1" applyBorder="1"/>
    <xf numFmtId="0" fontId="8" fillId="0" borderId="9" xfId="0" applyFont="1" applyBorder="1" applyAlignment="1">
      <alignment wrapText="1"/>
    </xf>
    <xf numFmtId="9" fontId="8" fillId="3" borderId="0" xfId="14" applyFont="1" applyFill="1" applyBorder="1"/>
    <xf numFmtId="9" fontId="8" fillId="3" borderId="1" xfId="14" applyFont="1" applyFill="1" applyBorder="1"/>
    <xf numFmtId="10" fontId="14" fillId="0" borderId="0" xfId="14" applyNumberFormat="1" applyFont="1" applyBorder="1"/>
    <xf numFmtId="10" fontId="8" fillId="3" borderId="0" xfId="14" applyNumberFormat="1" applyFont="1" applyFill="1" applyBorder="1"/>
    <xf numFmtId="0" fontId="23" fillId="0" borderId="0" xfId="0" applyFont="1"/>
    <xf numFmtId="3" fontId="17" fillId="3" borderId="0" xfId="13" applyNumberFormat="1" applyFont="1" applyFill="1"/>
    <xf numFmtId="9" fontId="17" fillId="3" borderId="0" xfId="14" applyFont="1" applyFill="1"/>
    <xf numFmtId="0" fontId="17" fillId="3" borderId="0" xfId="0" applyFont="1" applyFill="1"/>
    <xf numFmtId="3" fontId="17" fillId="3" borderId="0" xfId="0" applyNumberFormat="1" applyFont="1" applyFill="1"/>
    <xf numFmtId="0" fontId="7" fillId="0" borderId="0" xfId="0" applyFont="1" applyAlignment="1">
      <alignment horizontal="center" vertical="center"/>
    </xf>
    <xf numFmtId="0" fontId="1" fillId="0" borderId="0" xfId="0" applyFont="1"/>
    <xf numFmtId="164" fontId="8" fillId="0" borderId="0" xfId="13" applyNumberFormat="1" applyFont="1" applyFill="1" applyBorder="1"/>
    <xf numFmtId="164" fontId="8" fillId="0" borderId="0" xfId="13" applyNumberFormat="1" applyFont="1" applyFill="1" applyBorder="1" applyAlignment="1">
      <alignment horizontal="right"/>
    </xf>
    <xf numFmtId="164" fontId="8" fillId="3" borderId="0" xfId="13" applyNumberFormat="1" applyFont="1" applyFill="1" applyBorder="1"/>
    <xf numFmtId="164" fontId="8" fillId="0" borderId="0" xfId="13" applyNumberFormat="1" applyFont="1" applyFill="1" applyBorder="1" applyAlignment="1">
      <alignment horizontal="left"/>
    </xf>
    <xf numFmtId="164" fontId="24" fillId="0" borderId="0" xfId="13" applyNumberFormat="1" applyFont="1" applyFill="1" applyBorder="1"/>
    <xf numFmtId="0" fontId="8" fillId="0" borderId="0" xfId="0" applyFont="1" applyAlignment="1">
      <alignment wrapText="1"/>
    </xf>
    <xf numFmtId="0" fontId="16" fillId="0" borderId="0" xfId="0" applyFont="1" applyAlignment="1">
      <alignment vertical="top"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8" fillId="0" borderId="1" xfId="0" applyFont="1" applyBorder="1"/>
    <xf numFmtId="0" fontId="8" fillId="0" borderId="8" xfId="0" applyFont="1" applyBorder="1"/>
    <xf numFmtId="0" fontId="23" fillId="0" borderId="0" xfId="0" quotePrefix="1" applyFont="1"/>
  </cellXfs>
  <cellStyles count="15">
    <cellStyle name="Comma" xfId="1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 cent" xfId="14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83E5-5A74-ED4C-B77A-7A610C6384E0}">
  <dimension ref="B2:L32"/>
  <sheetViews>
    <sheetView tabSelected="1" zoomScaleNormal="100" workbookViewId="0">
      <selection activeCell="O13" sqref="O13"/>
    </sheetView>
  </sheetViews>
  <sheetFormatPr baseColWidth="10" defaultRowHeight="15" x14ac:dyDescent="0.2"/>
  <cols>
    <col min="1" max="1" width="3.1640625" customWidth="1"/>
    <col min="2" max="2" width="4.1640625" customWidth="1"/>
    <col min="3" max="3" width="48.6640625" customWidth="1"/>
    <col min="4" max="4" width="13.83203125" customWidth="1"/>
    <col min="5" max="5" width="10.83203125" customWidth="1"/>
    <col min="7" max="7" width="14" customWidth="1"/>
    <col min="8" max="8" width="8.5" customWidth="1"/>
    <col min="9" max="9" width="0.33203125" hidden="1" customWidth="1"/>
    <col min="10" max="10" width="1.5" hidden="1" customWidth="1"/>
    <col min="11" max="11" width="1.33203125" hidden="1" customWidth="1"/>
    <col min="12" max="12" width="0.1640625" hidden="1" customWidth="1"/>
  </cols>
  <sheetData>
    <row r="2" spans="2:12" s="5" customFormat="1" ht="26" x14ac:dyDescent="0.3">
      <c r="B2" s="8" t="s">
        <v>35</v>
      </c>
      <c r="C2" s="8"/>
    </row>
    <row r="4" spans="2:12" ht="77" customHeight="1" x14ac:dyDescent="0.2">
      <c r="B4" s="71" t="s">
        <v>56</v>
      </c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2:12" ht="16" x14ac:dyDescent="0.2">
      <c r="B5" s="2"/>
      <c r="C5" s="2"/>
      <c r="D5" s="2"/>
      <c r="E5" s="2"/>
      <c r="F5" s="2"/>
      <c r="G5" s="2"/>
      <c r="H5" s="2"/>
      <c r="I5" s="2"/>
      <c r="J5" s="2"/>
    </row>
    <row r="6" spans="2:12" ht="16" x14ac:dyDescent="0.2">
      <c r="B6" s="2"/>
      <c r="C6" s="13" t="s">
        <v>36</v>
      </c>
      <c r="D6" s="60">
        <v>2000</v>
      </c>
      <c r="E6" s="13" t="s">
        <v>38</v>
      </c>
      <c r="F6" s="2"/>
      <c r="G6" s="2"/>
      <c r="H6" s="2"/>
      <c r="I6" s="2"/>
      <c r="J6" s="2"/>
    </row>
    <row r="7" spans="2:12" ht="16" x14ac:dyDescent="0.2">
      <c r="B7" s="2"/>
      <c r="C7" s="13" t="s">
        <v>37</v>
      </c>
      <c r="D7" s="61">
        <v>0.1</v>
      </c>
      <c r="E7" s="2"/>
      <c r="F7" s="2"/>
      <c r="G7" s="2"/>
      <c r="H7" s="2"/>
      <c r="I7" s="2"/>
      <c r="J7" s="2"/>
    </row>
    <row r="8" spans="2:12" ht="16" x14ac:dyDescent="0.2">
      <c r="B8" s="2"/>
      <c r="C8" s="13" t="s">
        <v>41</v>
      </c>
      <c r="D8" s="14">
        <f>(D6*(1-D7))</f>
        <v>1800</v>
      </c>
      <c r="E8" s="2"/>
      <c r="F8" s="2"/>
      <c r="G8" s="2"/>
      <c r="H8" s="2"/>
      <c r="I8" s="2"/>
      <c r="J8" s="2"/>
    </row>
    <row r="9" spans="2:12" ht="16" x14ac:dyDescent="0.2">
      <c r="B9" s="2"/>
      <c r="C9" s="13"/>
      <c r="D9" s="15"/>
      <c r="E9" s="2"/>
      <c r="F9" s="2"/>
      <c r="G9" s="2"/>
      <c r="H9" s="2"/>
      <c r="I9" s="2"/>
      <c r="J9" s="2"/>
    </row>
    <row r="10" spans="2:12" ht="16" x14ac:dyDescent="0.2">
      <c r="B10" s="2"/>
      <c r="C10" s="13" t="s">
        <v>42</v>
      </c>
      <c r="D10" s="60">
        <v>3</v>
      </c>
      <c r="E10" s="13" t="s">
        <v>43</v>
      </c>
      <c r="F10" s="2"/>
      <c r="G10" s="2"/>
      <c r="H10" s="2"/>
      <c r="I10" s="2"/>
      <c r="J10" s="2"/>
    </row>
    <row r="11" spans="2:12" ht="16" x14ac:dyDescent="0.2">
      <c r="B11" s="2"/>
      <c r="C11" s="13" t="s">
        <v>39</v>
      </c>
      <c r="D11" s="60">
        <v>400</v>
      </c>
      <c r="E11" s="13" t="s">
        <v>40</v>
      </c>
      <c r="F11" s="2"/>
      <c r="G11" s="2"/>
      <c r="H11" s="2"/>
      <c r="I11" s="2"/>
      <c r="J11" s="2"/>
    </row>
    <row r="12" spans="2:12" ht="16" x14ac:dyDescent="0.2">
      <c r="B12" s="2"/>
      <c r="C12" s="13"/>
      <c r="D12" s="62"/>
      <c r="E12" s="2"/>
      <c r="F12" s="2"/>
      <c r="G12" s="2"/>
      <c r="H12" s="2"/>
      <c r="I12" s="2"/>
      <c r="J12" s="2"/>
    </row>
    <row r="13" spans="2:12" ht="16" x14ac:dyDescent="0.2">
      <c r="B13" s="2"/>
      <c r="C13" s="13" t="s">
        <v>45</v>
      </c>
      <c r="D13" s="62">
        <v>200</v>
      </c>
      <c r="E13" s="2"/>
      <c r="F13" s="2"/>
      <c r="G13" s="2"/>
      <c r="H13" s="2"/>
      <c r="I13" s="2"/>
      <c r="J13" s="2"/>
    </row>
    <row r="14" spans="2:12" ht="16" x14ac:dyDescent="0.2">
      <c r="B14" s="2"/>
      <c r="C14" s="13"/>
      <c r="D14" s="62"/>
      <c r="E14" s="2"/>
      <c r="F14" s="2"/>
      <c r="G14" s="2"/>
      <c r="H14" s="2"/>
      <c r="I14" s="2"/>
      <c r="J14" s="2"/>
    </row>
    <row r="15" spans="2:12" ht="16" x14ac:dyDescent="0.2">
      <c r="B15" s="2"/>
      <c r="C15" s="13" t="s">
        <v>44</v>
      </c>
      <c r="D15" s="60">
        <f>(45000+225000+225000+600000)</f>
        <v>1095000</v>
      </c>
      <c r="E15" s="13"/>
      <c r="F15" s="2"/>
      <c r="G15" s="2"/>
      <c r="H15" s="2"/>
      <c r="I15" s="2"/>
      <c r="J15" s="2"/>
    </row>
    <row r="16" spans="2:12" ht="16" x14ac:dyDescent="0.2">
      <c r="B16" s="2"/>
      <c r="C16" s="13" t="s">
        <v>46</v>
      </c>
      <c r="D16" s="15"/>
      <c r="E16" s="2"/>
      <c r="F16" s="2"/>
      <c r="G16" s="2"/>
      <c r="H16" s="2"/>
      <c r="I16" s="2"/>
      <c r="J16" s="2"/>
    </row>
    <row r="17" spans="2:10" ht="16" x14ac:dyDescent="0.2">
      <c r="B17" s="2"/>
      <c r="C17" s="13"/>
      <c r="D17" s="15"/>
      <c r="E17" s="2"/>
      <c r="F17" s="2"/>
      <c r="G17" s="2"/>
      <c r="H17" s="2"/>
      <c r="I17" s="2"/>
      <c r="J17" s="2"/>
    </row>
    <row r="18" spans="2:10" ht="16" x14ac:dyDescent="0.2">
      <c r="B18" s="2"/>
      <c r="C18" s="13" t="s">
        <v>47</v>
      </c>
      <c r="D18" s="60">
        <f>(125000)</f>
        <v>125000</v>
      </c>
      <c r="E18" s="13" t="s">
        <v>48</v>
      </c>
      <c r="F18" s="2"/>
      <c r="G18" s="2"/>
      <c r="H18" s="2"/>
      <c r="I18" s="2"/>
      <c r="J18" s="2"/>
    </row>
    <row r="19" spans="2:10" ht="16" x14ac:dyDescent="0.2">
      <c r="B19" s="2"/>
      <c r="C19" s="13"/>
      <c r="D19" s="15"/>
      <c r="E19" s="2"/>
      <c r="F19" s="2"/>
      <c r="G19" s="2"/>
      <c r="H19" s="2"/>
      <c r="I19" s="2"/>
      <c r="J19" s="2"/>
    </row>
    <row r="20" spans="2:10" ht="16" x14ac:dyDescent="0.2">
      <c r="B20" s="2"/>
      <c r="C20" s="13" t="s">
        <v>50</v>
      </c>
      <c r="D20" s="60">
        <f>(10000+(2*400000)+60000+80000+20000+5000+30000+10000)</f>
        <v>1015000</v>
      </c>
      <c r="E20" s="2"/>
      <c r="F20" s="2"/>
      <c r="G20" s="2"/>
      <c r="H20" s="2"/>
      <c r="I20" s="2"/>
      <c r="J20" s="2"/>
    </row>
    <row r="21" spans="2:10" ht="16" x14ac:dyDescent="0.2">
      <c r="B21" s="2"/>
      <c r="C21" s="72" t="s">
        <v>52</v>
      </c>
      <c r="D21" s="72"/>
      <c r="E21" s="72"/>
      <c r="F21" s="72"/>
      <c r="G21" s="72"/>
      <c r="H21" s="2"/>
      <c r="I21" s="2"/>
      <c r="J21" s="2"/>
    </row>
    <row r="22" spans="2:10" ht="16" x14ac:dyDescent="0.2">
      <c r="B22" s="2"/>
      <c r="C22" s="72"/>
      <c r="D22" s="72"/>
      <c r="E22" s="72"/>
      <c r="F22" s="72"/>
      <c r="G22" s="72"/>
      <c r="H22" s="2"/>
      <c r="I22" s="2"/>
      <c r="J22" s="2"/>
    </row>
    <row r="23" spans="2:10" ht="16" x14ac:dyDescent="0.2">
      <c r="B23" s="2"/>
      <c r="C23" s="72"/>
      <c r="D23" s="72"/>
      <c r="E23" s="72"/>
      <c r="F23" s="72"/>
      <c r="G23" s="72"/>
      <c r="H23" s="2"/>
      <c r="I23" s="2"/>
      <c r="J23" s="2"/>
    </row>
    <row r="24" spans="2:10" ht="16" x14ac:dyDescent="0.2">
      <c r="B24" s="2"/>
      <c r="C24" s="72"/>
      <c r="D24" s="72"/>
      <c r="E24" s="72"/>
      <c r="F24" s="72"/>
      <c r="G24" s="72"/>
      <c r="H24" s="2"/>
      <c r="I24" s="2"/>
      <c r="J24" s="2"/>
    </row>
    <row r="25" spans="2:10" ht="16" x14ac:dyDescent="0.2">
      <c r="B25" s="2"/>
      <c r="C25" s="13" t="s">
        <v>51</v>
      </c>
      <c r="D25" s="60">
        <f>(50000+50000+4500+200)</f>
        <v>104700</v>
      </c>
      <c r="E25" s="2"/>
      <c r="F25" s="2"/>
      <c r="G25" s="2"/>
      <c r="H25" s="2"/>
      <c r="I25" s="2"/>
      <c r="J25" s="2"/>
    </row>
    <row r="26" spans="2:10" ht="16" x14ac:dyDescent="0.2">
      <c r="B26" s="2"/>
      <c r="C26" s="13" t="s">
        <v>49</v>
      </c>
      <c r="D26" s="15"/>
      <c r="E26" s="2"/>
      <c r="F26" s="2"/>
      <c r="G26" s="2"/>
      <c r="H26" s="2"/>
      <c r="I26" s="2"/>
      <c r="J26" s="2"/>
    </row>
    <row r="27" spans="2:10" ht="16" x14ac:dyDescent="0.2">
      <c r="B27" s="2"/>
      <c r="C27" s="13"/>
      <c r="D27" s="15"/>
      <c r="E27" s="2"/>
      <c r="F27" s="2"/>
      <c r="G27" s="2"/>
      <c r="H27" s="2"/>
      <c r="I27" s="2"/>
      <c r="J27" s="2"/>
    </row>
    <row r="28" spans="2:10" ht="16" x14ac:dyDescent="0.2">
      <c r="B28" s="2"/>
      <c r="C28" s="13" t="s">
        <v>53</v>
      </c>
      <c r="D28" s="63">
        <v>21000</v>
      </c>
      <c r="E28" s="2"/>
      <c r="F28" s="2"/>
      <c r="G28" s="2"/>
      <c r="H28" s="2"/>
      <c r="I28" s="2"/>
      <c r="J28" s="2"/>
    </row>
    <row r="29" spans="2:10" ht="16" x14ac:dyDescent="0.2">
      <c r="B29" s="2"/>
      <c r="C29" s="13"/>
      <c r="D29" s="15"/>
      <c r="E29" s="2"/>
      <c r="F29" s="2"/>
      <c r="G29" s="2"/>
      <c r="H29" s="2"/>
      <c r="I29" s="2"/>
      <c r="J29" s="2"/>
    </row>
    <row r="30" spans="2:10" ht="16" x14ac:dyDescent="0.2">
      <c r="B30" s="2"/>
      <c r="C30" s="13" t="s">
        <v>54</v>
      </c>
      <c r="D30" s="62">
        <v>1400</v>
      </c>
      <c r="E30" s="13" t="s">
        <v>55</v>
      </c>
      <c r="F30" s="2"/>
      <c r="G30" s="2"/>
      <c r="H30" s="2"/>
      <c r="I30" s="2"/>
      <c r="J30" s="2"/>
    </row>
    <row r="31" spans="2:10" ht="16" x14ac:dyDescent="0.2">
      <c r="B31" s="2"/>
      <c r="C31" s="13"/>
      <c r="D31" s="15"/>
      <c r="E31" s="2"/>
      <c r="F31" s="2"/>
      <c r="G31" s="2"/>
      <c r="H31" s="2"/>
      <c r="I31" s="2"/>
      <c r="J31" s="2"/>
    </row>
    <row r="32" spans="2:10" ht="16" x14ac:dyDescent="0.2">
      <c r="B32" s="2"/>
      <c r="C32" s="2"/>
      <c r="D32" s="2"/>
      <c r="E32" s="2"/>
      <c r="F32" s="2"/>
      <c r="G32" s="2"/>
      <c r="H32" s="2"/>
      <c r="I32" s="2"/>
      <c r="J32" s="2"/>
    </row>
  </sheetData>
  <mergeCells count="2">
    <mergeCell ref="B4:L4"/>
    <mergeCell ref="C21:G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61ADD-4AA7-444B-B924-CD7AC6A4ADE9}">
  <dimension ref="A2:C26"/>
  <sheetViews>
    <sheetView topLeftCell="A2" zoomScaleNormal="100" workbookViewId="0">
      <selection activeCell="A26" sqref="A26"/>
    </sheetView>
  </sheetViews>
  <sheetFormatPr baseColWidth="10" defaultRowHeight="15" x14ac:dyDescent="0.2"/>
  <cols>
    <col min="1" max="1" width="37.83203125" customWidth="1"/>
    <col min="2" max="2" width="20.83203125" customWidth="1"/>
    <col min="3" max="3" width="99" customWidth="1"/>
  </cols>
  <sheetData>
    <row r="2" spans="1:3" s="5" customFormat="1" ht="26" x14ac:dyDescent="0.3">
      <c r="A2" s="73" t="s">
        <v>35</v>
      </c>
      <c r="B2" s="73"/>
    </row>
    <row r="3" spans="1:3" ht="47" customHeight="1" x14ac:dyDescent="0.2">
      <c r="A3" s="3" t="s">
        <v>62</v>
      </c>
      <c r="B3" s="4" t="s">
        <v>57</v>
      </c>
    </row>
    <row r="5" spans="1:3" ht="18" x14ac:dyDescent="0.2">
      <c r="A5" s="6" t="s">
        <v>61</v>
      </c>
      <c r="B5" s="9"/>
    </row>
    <row r="6" spans="1:3" ht="18" x14ac:dyDescent="0.2">
      <c r="A6" s="20" t="s">
        <v>58</v>
      </c>
      <c r="B6" s="36">
        <f>(2000*1400)+(100000)+(50000)+(220000)</f>
        <v>3170000</v>
      </c>
      <c r="C6" s="20" t="s">
        <v>108</v>
      </c>
    </row>
    <row r="7" spans="1:3" ht="18" customHeight="1" x14ac:dyDescent="0.2">
      <c r="A7" s="20" t="s">
        <v>59</v>
      </c>
      <c r="B7" s="9">
        <f>('Cash Flow Statement'!B23)</f>
        <v>400000</v>
      </c>
      <c r="C7" s="20" t="s">
        <v>67</v>
      </c>
    </row>
    <row r="8" spans="1:3" ht="18" x14ac:dyDescent="0.2">
      <c r="A8" s="2"/>
      <c r="B8" s="9"/>
    </row>
    <row r="9" spans="1:3" ht="18" x14ac:dyDescent="0.2">
      <c r="A9" s="1" t="s">
        <v>63</v>
      </c>
      <c r="B9" s="9">
        <f>(B6+B7)</f>
        <v>3570000</v>
      </c>
    </row>
    <row r="10" spans="1:3" ht="18" x14ac:dyDescent="0.2">
      <c r="A10" s="2"/>
      <c r="B10" s="9"/>
    </row>
    <row r="11" spans="1:3" ht="18" x14ac:dyDescent="0.2">
      <c r="A11" s="6" t="s">
        <v>60</v>
      </c>
      <c r="B11" s="9"/>
    </row>
    <row r="12" spans="1:3" ht="18" x14ac:dyDescent="0.2">
      <c r="A12" s="20" t="s">
        <v>65</v>
      </c>
      <c r="B12" s="36">
        <v>100000</v>
      </c>
      <c r="C12" s="20"/>
    </row>
    <row r="13" spans="1:3" ht="18" customHeight="1" x14ac:dyDescent="0.2">
      <c r="A13" s="20" t="s">
        <v>66</v>
      </c>
      <c r="B13" s="36">
        <v>4000000</v>
      </c>
    </row>
    <row r="14" spans="1:3" ht="18" x14ac:dyDescent="0.2">
      <c r="A14" s="2"/>
      <c r="B14" s="9"/>
    </row>
    <row r="15" spans="1:3" ht="18" x14ac:dyDescent="0.2">
      <c r="A15" s="2"/>
      <c r="B15" s="9"/>
    </row>
    <row r="16" spans="1:3" ht="18" x14ac:dyDescent="0.2">
      <c r="A16" s="1" t="s">
        <v>64</v>
      </c>
      <c r="B16" s="9">
        <f>(B12+B13)</f>
        <v>4100000</v>
      </c>
    </row>
    <row r="18" spans="1:3" ht="18" x14ac:dyDescent="0.2">
      <c r="A18" s="10" t="s">
        <v>68</v>
      </c>
      <c r="B18" s="11">
        <f>(B16-B9)</f>
        <v>530000</v>
      </c>
    </row>
    <row r="21" spans="1:3" ht="18" x14ac:dyDescent="0.2">
      <c r="A21" s="59" t="s">
        <v>117</v>
      </c>
      <c r="B21" s="59"/>
      <c r="C21" s="59"/>
    </row>
    <row r="22" spans="1:3" ht="18" x14ac:dyDescent="0.2">
      <c r="A22" s="59" t="s">
        <v>118</v>
      </c>
      <c r="B22" s="59"/>
      <c r="C22" s="59"/>
    </row>
    <row r="23" spans="1:3" ht="18" x14ac:dyDescent="0.2">
      <c r="A23" s="59" t="s">
        <v>121</v>
      </c>
      <c r="B23" s="59"/>
      <c r="C23" s="59"/>
    </row>
    <row r="24" spans="1:3" ht="18" x14ac:dyDescent="0.2">
      <c r="A24" s="59" t="s">
        <v>120</v>
      </c>
      <c r="B24" s="59"/>
      <c r="C24" s="59"/>
    </row>
    <row r="25" spans="1:3" ht="18" x14ac:dyDescent="0.2">
      <c r="A25" s="80" t="s">
        <v>119</v>
      </c>
      <c r="B25" s="59"/>
      <c r="C25" s="59"/>
    </row>
    <row r="26" spans="1:3" ht="18" x14ac:dyDescent="0.2">
      <c r="A26" s="59" t="s">
        <v>122</v>
      </c>
      <c r="B26" s="59"/>
      <c r="C26" s="59"/>
    </row>
  </sheetData>
  <mergeCells count="1">
    <mergeCell ref="A2:B2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E88D-8011-614B-8D8B-5F307734680E}">
  <dimension ref="A2:B30"/>
  <sheetViews>
    <sheetView zoomScaleNormal="100" workbookViewId="0">
      <selection activeCell="I8" sqref="I8"/>
    </sheetView>
  </sheetViews>
  <sheetFormatPr baseColWidth="10" defaultRowHeight="15" x14ac:dyDescent="0.2"/>
  <cols>
    <col min="1" max="1" width="30.33203125" customWidth="1"/>
    <col min="2" max="2" width="20.83203125" customWidth="1"/>
  </cols>
  <sheetData>
    <row r="2" spans="1:2" s="5" customFormat="1" ht="26" x14ac:dyDescent="0.3">
      <c r="A2" s="73" t="s">
        <v>35</v>
      </c>
      <c r="B2" s="73"/>
    </row>
    <row r="3" spans="1:2" ht="47" customHeight="1" x14ac:dyDescent="0.2">
      <c r="A3" s="3" t="s">
        <v>0</v>
      </c>
      <c r="B3" s="4" t="s">
        <v>92</v>
      </c>
    </row>
    <row r="5" spans="1:2" ht="18" x14ac:dyDescent="0.2">
      <c r="A5" s="6" t="s">
        <v>10</v>
      </c>
    </row>
    <row r="6" spans="1:2" ht="18" x14ac:dyDescent="0.2">
      <c r="A6" s="7" t="s">
        <v>1</v>
      </c>
    </row>
    <row r="7" spans="1:2" ht="18" customHeight="1" x14ac:dyDescent="0.2">
      <c r="A7" s="2" t="s">
        <v>2</v>
      </c>
      <c r="B7" s="9"/>
    </row>
    <row r="8" spans="1:2" ht="18" x14ac:dyDescent="0.2">
      <c r="A8" s="2" t="s">
        <v>12</v>
      </c>
      <c r="B8" s="9"/>
    </row>
    <row r="9" spans="1:2" ht="18" x14ac:dyDescent="0.2">
      <c r="A9" s="2" t="s">
        <v>3</v>
      </c>
      <c r="B9" s="9"/>
    </row>
    <row r="10" spans="1:2" ht="18" x14ac:dyDescent="0.2">
      <c r="A10" s="2"/>
      <c r="B10" s="9"/>
    </row>
    <row r="11" spans="1:2" ht="18" x14ac:dyDescent="0.2">
      <c r="A11" s="7" t="s">
        <v>4</v>
      </c>
      <c r="B11" s="9"/>
    </row>
    <row r="12" spans="1:2" ht="18" x14ac:dyDescent="0.2">
      <c r="A12" s="2" t="s">
        <v>34</v>
      </c>
      <c r="B12" s="12"/>
    </row>
    <row r="13" spans="1:2" ht="18" x14ac:dyDescent="0.2">
      <c r="A13" s="2" t="s">
        <v>33</v>
      </c>
      <c r="B13" s="9"/>
    </row>
    <row r="14" spans="1:2" ht="18" x14ac:dyDescent="0.2">
      <c r="A14" s="2"/>
      <c r="B14" s="9"/>
    </row>
    <row r="15" spans="1:2" ht="18" x14ac:dyDescent="0.2">
      <c r="A15" s="1" t="s">
        <v>8</v>
      </c>
      <c r="B15" s="9">
        <f>SUM(B7:B12)</f>
        <v>0</v>
      </c>
    </row>
    <row r="16" spans="1:2" ht="18" x14ac:dyDescent="0.2">
      <c r="A16" s="2"/>
      <c r="B16" s="9"/>
    </row>
    <row r="17" spans="1:2" ht="18" x14ac:dyDescent="0.2">
      <c r="A17" s="6" t="s">
        <v>11</v>
      </c>
      <c r="B17" s="9"/>
    </row>
    <row r="18" spans="1:2" ht="18" x14ac:dyDescent="0.2">
      <c r="A18" s="7" t="s">
        <v>5</v>
      </c>
      <c r="B18" s="9"/>
    </row>
    <row r="19" spans="1:2" ht="18" x14ac:dyDescent="0.2">
      <c r="A19" s="2" t="s">
        <v>13</v>
      </c>
      <c r="B19" s="9"/>
    </row>
    <row r="20" spans="1:2" ht="18" x14ac:dyDescent="0.2">
      <c r="A20" s="2"/>
      <c r="B20" s="9"/>
    </row>
    <row r="21" spans="1:2" ht="18" x14ac:dyDescent="0.2">
      <c r="A21" s="7" t="s">
        <v>6</v>
      </c>
      <c r="B21" s="9"/>
    </row>
    <row r="22" spans="1:2" ht="18" x14ac:dyDescent="0.2">
      <c r="A22" s="2" t="s">
        <v>14</v>
      </c>
      <c r="B22" s="12"/>
    </row>
    <row r="23" spans="1:2" ht="18" x14ac:dyDescent="0.2">
      <c r="A23" s="2"/>
      <c r="B23" s="9"/>
    </row>
    <row r="24" spans="1:2" ht="18" x14ac:dyDescent="0.2">
      <c r="A24" s="7" t="s">
        <v>16</v>
      </c>
      <c r="B24" s="9"/>
    </row>
    <row r="25" spans="1:2" ht="18" x14ac:dyDescent="0.2">
      <c r="A25" s="2" t="s">
        <v>15</v>
      </c>
      <c r="B25" s="12"/>
    </row>
    <row r="26" spans="1:2" ht="18" x14ac:dyDescent="0.2">
      <c r="A26" s="2" t="s">
        <v>7</v>
      </c>
      <c r="B26" s="9"/>
    </row>
    <row r="27" spans="1:2" ht="18" x14ac:dyDescent="0.2">
      <c r="A27" s="2"/>
      <c r="B27" s="9"/>
    </row>
    <row r="28" spans="1:2" ht="18" x14ac:dyDescent="0.2">
      <c r="A28" s="1" t="s">
        <v>9</v>
      </c>
      <c r="B28" s="9">
        <f>SUM(B19:B26)</f>
        <v>0</v>
      </c>
    </row>
    <row r="30" spans="1:2" ht="18" x14ac:dyDescent="0.2">
      <c r="A30" s="10" t="s">
        <v>32</v>
      </c>
      <c r="B30" s="11">
        <f>(B15-B28)</f>
        <v>0</v>
      </c>
    </row>
  </sheetData>
  <mergeCells count="1"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E0D71-426F-AD4E-9BDD-59B5AE8CE75C}">
  <dimension ref="A2:H31"/>
  <sheetViews>
    <sheetView zoomScaleNormal="100" workbookViewId="0">
      <selection activeCell="E16" sqref="E16"/>
    </sheetView>
  </sheetViews>
  <sheetFormatPr baseColWidth="10" defaultRowHeight="15" x14ac:dyDescent="0.2"/>
  <cols>
    <col min="1" max="1" width="29.33203125" customWidth="1"/>
    <col min="3" max="7" width="15.83203125" customWidth="1"/>
    <col min="8" max="8" width="10.6640625" customWidth="1"/>
  </cols>
  <sheetData>
    <row r="2" spans="1:8" s="5" customFormat="1" ht="26" x14ac:dyDescent="0.3">
      <c r="A2" s="19" t="s">
        <v>35</v>
      </c>
    </row>
    <row r="4" spans="1:8" ht="25" customHeight="1" x14ac:dyDescent="0.2">
      <c r="A4" s="22" t="s">
        <v>17</v>
      </c>
      <c r="B4" s="21"/>
      <c r="C4" s="21"/>
      <c r="D4" s="21"/>
      <c r="E4" s="21"/>
      <c r="F4" s="21"/>
      <c r="G4" s="21"/>
      <c r="H4" s="21"/>
    </row>
    <row r="5" spans="1:8" s="34" customFormat="1" ht="37" customHeight="1" x14ac:dyDescent="0.2">
      <c r="A5" s="18"/>
      <c r="B5" s="32"/>
      <c r="C5" s="33" t="s">
        <v>69</v>
      </c>
      <c r="D5" s="33" t="s">
        <v>70</v>
      </c>
      <c r="E5" s="33" t="s">
        <v>71</v>
      </c>
      <c r="F5" s="33" t="s">
        <v>72</v>
      </c>
      <c r="G5" s="33" t="s">
        <v>73</v>
      </c>
      <c r="H5" s="33" t="s">
        <v>94</v>
      </c>
    </row>
    <row r="6" spans="1:8" ht="16" x14ac:dyDescent="0.2">
      <c r="A6" s="2" t="s">
        <v>74</v>
      </c>
      <c r="B6" s="21"/>
      <c r="C6" s="27">
        <v>1200</v>
      </c>
      <c r="D6" s="27">
        <v>4000</v>
      </c>
      <c r="E6" s="27">
        <v>16000</v>
      </c>
      <c r="F6" s="27">
        <v>56000</v>
      </c>
      <c r="G6" s="27">
        <v>80000</v>
      </c>
      <c r="H6" s="2"/>
    </row>
    <row r="7" spans="1:8" ht="16" x14ac:dyDescent="0.2">
      <c r="A7" s="16" t="s">
        <v>75</v>
      </c>
      <c r="B7" s="25"/>
      <c r="C7" s="29">
        <v>1800</v>
      </c>
      <c r="D7" s="29">
        <v>1800</v>
      </c>
      <c r="E7" s="29">
        <v>2250</v>
      </c>
      <c r="F7" s="29">
        <v>2250</v>
      </c>
      <c r="G7" s="29">
        <v>2250</v>
      </c>
      <c r="H7" s="2"/>
    </row>
    <row r="8" spans="1:8" ht="16" x14ac:dyDescent="0.2">
      <c r="A8" s="2" t="s">
        <v>76</v>
      </c>
      <c r="B8" s="21"/>
      <c r="C8" s="28">
        <f t="shared" ref="C8:G8" si="0">C7*C6</f>
        <v>2160000</v>
      </c>
      <c r="D8" s="28">
        <f t="shared" si="0"/>
        <v>7200000</v>
      </c>
      <c r="E8" s="28">
        <f t="shared" si="0"/>
        <v>36000000</v>
      </c>
      <c r="F8" s="28">
        <f t="shared" si="0"/>
        <v>126000000</v>
      </c>
      <c r="G8" s="28">
        <f t="shared" si="0"/>
        <v>180000000</v>
      </c>
      <c r="H8" s="2"/>
    </row>
    <row r="9" spans="1:8" ht="16" x14ac:dyDescent="0.2">
      <c r="A9" s="2"/>
      <c r="B9" s="21"/>
      <c r="C9" s="23"/>
      <c r="D9" s="23"/>
      <c r="E9" s="23"/>
      <c r="F9" s="23"/>
      <c r="G9" s="23"/>
      <c r="H9" s="2"/>
    </row>
    <row r="10" spans="1:8" ht="16" x14ac:dyDescent="0.2">
      <c r="A10" s="16" t="s">
        <v>77</v>
      </c>
      <c r="B10" s="26"/>
      <c r="C10" s="29">
        <v>500</v>
      </c>
      <c r="D10" s="29">
        <v>500</v>
      </c>
      <c r="E10" s="29">
        <v>625</v>
      </c>
      <c r="F10" s="29">
        <v>625</v>
      </c>
      <c r="G10" s="29">
        <v>625</v>
      </c>
      <c r="H10" s="2"/>
    </row>
    <row r="11" spans="1:8" ht="16" x14ac:dyDescent="0.2">
      <c r="A11" s="2" t="s">
        <v>78</v>
      </c>
      <c r="B11" s="21"/>
      <c r="C11" s="28">
        <f t="shared" ref="C11:G11" si="1">(C7-C10)*C6</f>
        <v>1560000</v>
      </c>
      <c r="D11" s="28">
        <f t="shared" si="1"/>
        <v>5200000</v>
      </c>
      <c r="E11" s="28">
        <f t="shared" si="1"/>
        <v>26000000</v>
      </c>
      <c r="F11" s="28">
        <f t="shared" si="1"/>
        <v>91000000</v>
      </c>
      <c r="G11" s="28">
        <f t="shared" si="1"/>
        <v>130000000</v>
      </c>
      <c r="H11" s="30">
        <f>(G11/$G$8)</f>
        <v>0.72222222222222221</v>
      </c>
    </row>
    <row r="12" spans="1:8" ht="16" x14ac:dyDescent="0.2">
      <c r="A12" s="2"/>
      <c r="B12" s="21"/>
      <c r="C12" s="23"/>
      <c r="D12" s="23"/>
      <c r="E12" s="23"/>
      <c r="F12" s="23"/>
      <c r="G12" s="23"/>
      <c r="H12" s="2"/>
    </row>
    <row r="13" spans="1:8" ht="16" x14ac:dyDescent="0.2">
      <c r="A13" s="2" t="s">
        <v>79</v>
      </c>
      <c r="B13" s="21"/>
      <c r="C13" s="23"/>
      <c r="D13" s="23"/>
      <c r="E13" s="23"/>
      <c r="F13" s="23"/>
      <c r="G13" s="23"/>
      <c r="H13" s="2"/>
    </row>
    <row r="14" spans="1:8" ht="16" x14ac:dyDescent="0.2">
      <c r="A14" s="2" t="s">
        <v>80</v>
      </c>
      <c r="B14" s="21"/>
      <c r="C14" s="27">
        <v>1026000</v>
      </c>
      <c r="D14" s="27">
        <v>2416000</v>
      </c>
      <c r="E14" s="27">
        <v>6315000</v>
      </c>
      <c r="F14" s="27">
        <v>9915000</v>
      </c>
      <c r="G14" s="27">
        <v>15285000</v>
      </c>
      <c r="H14" s="30">
        <f t="shared" ref="H14:H16" si="2">(G14/$G$8)</f>
        <v>8.4916666666666668E-2</v>
      </c>
    </row>
    <row r="15" spans="1:8" ht="16" x14ac:dyDescent="0.2">
      <c r="A15" s="2" t="s">
        <v>81</v>
      </c>
      <c r="B15" s="21"/>
      <c r="C15" s="27">
        <v>700000</v>
      </c>
      <c r="D15" s="27">
        <v>2582000</v>
      </c>
      <c r="E15" s="27">
        <f>(2012000+720000+120000)+600000+1000000</f>
        <v>4452000</v>
      </c>
      <c r="F15" s="27">
        <v>27930000</v>
      </c>
      <c r="G15" s="27">
        <v>54900000</v>
      </c>
      <c r="H15" s="30">
        <f t="shared" si="2"/>
        <v>0.30499999999999999</v>
      </c>
    </row>
    <row r="16" spans="1:8" ht="16" x14ac:dyDescent="0.2">
      <c r="A16" s="2" t="s">
        <v>82</v>
      </c>
      <c r="B16" s="21"/>
      <c r="C16" s="27">
        <v>104700</v>
      </c>
      <c r="D16" s="27">
        <v>130550</v>
      </c>
      <c r="E16" s="27">
        <v>225550</v>
      </c>
      <c r="F16" s="27">
        <v>425050</v>
      </c>
      <c r="G16" s="27">
        <v>706050</v>
      </c>
      <c r="H16" s="30">
        <f t="shared" si="2"/>
        <v>3.9224999999999998E-3</v>
      </c>
    </row>
    <row r="17" spans="1:8" ht="16" x14ac:dyDescent="0.2">
      <c r="A17" s="2"/>
      <c r="B17" s="21"/>
      <c r="C17" s="23"/>
      <c r="D17" s="23"/>
      <c r="E17" s="23"/>
      <c r="F17" s="23"/>
      <c r="G17" s="23"/>
      <c r="H17" s="2"/>
    </row>
    <row r="18" spans="1:8" ht="16" x14ac:dyDescent="0.2">
      <c r="A18" s="2" t="s">
        <v>83</v>
      </c>
      <c r="B18" s="21"/>
      <c r="C18" s="28">
        <f>C11-SUM(C14:C16)</f>
        <v>-270700</v>
      </c>
      <c r="D18" s="28">
        <f>D11-SUM(D14:D16)</f>
        <v>71450</v>
      </c>
      <c r="E18" s="28">
        <f>E11-SUM(E14:E16)</f>
        <v>15007450</v>
      </c>
      <c r="F18" s="28">
        <f>F11-SUM(F14:F16)</f>
        <v>52729950</v>
      </c>
      <c r="G18" s="28">
        <f>G11-SUM(G14:G16)</f>
        <v>59108950</v>
      </c>
      <c r="H18" s="30">
        <f>(G18/$G$8)</f>
        <v>0.32838305555555558</v>
      </c>
    </row>
    <row r="19" spans="1:8" ht="16" x14ac:dyDescent="0.2">
      <c r="A19" s="2"/>
      <c r="B19" s="21"/>
      <c r="C19" s="23"/>
      <c r="D19" s="23"/>
      <c r="E19" s="23"/>
      <c r="F19" s="23"/>
      <c r="G19" s="23"/>
      <c r="H19" s="2"/>
    </row>
    <row r="20" spans="1:8" ht="16" x14ac:dyDescent="0.2">
      <c r="A20" s="2" t="s">
        <v>84</v>
      </c>
      <c r="B20" s="21"/>
      <c r="C20" s="28">
        <f>('Funds Required'!B6)*0.2</f>
        <v>634000</v>
      </c>
      <c r="D20" s="28">
        <f>(C20)</f>
        <v>634000</v>
      </c>
      <c r="E20" s="28">
        <f t="shared" ref="E20:G20" si="3">(D20)</f>
        <v>634000</v>
      </c>
      <c r="F20" s="28">
        <f t="shared" si="3"/>
        <v>634000</v>
      </c>
      <c r="G20" s="28">
        <f t="shared" si="3"/>
        <v>634000</v>
      </c>
      <c r="H20" s="30">
        <f>(G20/$G$8)</f>
        <v>3.5222222222222222E-3</v>
      </c>
    </row>
    <row r="21" spans="1:8" ht="16" x14ac:dyDescent="0.2">
      <c r="A21" s="2"/>
      <c r="B21" s="21"/>
      <c r="C21" s="28"/>
      <c r="D21" s="28"/>
      <c r="E21" s="28"/>
      <c r="F21" s="28"/>
      <c r="G21" s="28"/>
      <c r="H21" s="2"/>
    </row>
    <row r="22" spans="1:8" ht="16" x14ac:dyDescent="0.2">
      <c r="A22" s="2" t="s">
        <v>85</v>
      </c>
      <c r="B22" s="21"/>
      <c r="C22" s="28">
        <f t="shared" ref="C22:G22" si="4">C18-C20</f>
        <v>-904700</v>
      </c>
      <c r="D22" s="28">
        <f t="shared" si="4"/>
        <v>-562550</v>
      </c>
      <c r="E22" s="28">
        <f t="shared" si="4"/>
        <v>14373450</v>
      </c>
      <c r="F22" s="28">
        <f t="shared" si="4"/>
        <v>52095950</v>
      </c>
      <c r="G22" s="28">
        <f t="shared" si="4"/>
        <v>58474950</v>
      </c>
      <c r="H22" s="2"/>
    </row>
    <row r="23" spans="1:8" ht="16" x14ac:dyDescent="0.2">
      <c r="A23" s="2"/>
      <c r="B23" s="21"/>
      <c r="C23" s="23"/>
      <c r="D23" s="23"/>
      <c r="E23" s="23"/>
      <c r="F23" s="23"/>
      <c r="G23" s="23"/>
      <c r="H23" s="2"/>
    </row>
    <row r="24" spans="1:8" ht="16" x14ac:dyDescent="0.2">
      <c r="A24" s="2" t="s">
        <v>86</v>
      </c>
      <c r="B24" s="21"/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30">
        <f t="shared" ref="H24:H25" si="5">(G24/$G$8)</f>
        <v>0</v>
      </c>
    </row>
    <row r="25" spans="1:8" ht="16" x14ac:dyDescent="0.2">
      <c r="A25" s="2" t="s">
        <v>87</v>
      </c>
      <c r="B25" s="21"/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30">
        <f t="shared" si="5"/>
        <v>0</v>
      </c>
    </row>
    <row r="26" spans="1:8" ht="16" x14ac:dyDescent="0.2">
      <c r="A26" s="2"/>
      <c r="B26" s="21"/>
      <c r="C26" s="23"/>
      <c r="D26" s="23"/>
      <c r="E26" s="23"/>
      <c r="F26" s="23"/>
      <c r="G26" s="23"/>
      <c r="H26" s="2"/>
    </row>
    <row r="27" spans="1:8" ht="16" x14ac:dyDescent="0.2">
      <c r="A27" s="2" t="s">
        <v>88</v>
      </c>
      <c r="B27" s="21"/>
      <c r="C27" s="28">
        <f t="shared" ref="C27:G27" si="6">C22-C24+C25</f>
        <v>-904700</v>
      </c>
      <c r="D27" s="28">
        <f t="shared" si="6"/>
        <v>-562550</v>
      </c>
      <c r="E27" s="28">
        <f t="shared" si="6"/>
        <v>14373450</v>
      </c>
      <c r="F27" s="28">
        <f t="shared" si="6"/>
        <v>52095950</v>
      </c>
      <c r="G27" s="28">
        <f t="shared" si="6"/>
        <v>58474950</v>
      </c>
      <c r="H27" s="30">
        <f>(G27/$G$8)</f>
        <v>0.32486083333333332</v>
      </c>
    </row>
    <row r="28" spans="1:8" ht="16" x14ac:dyDescent="0.2">
      <c r="A28" s="2"/>
      <c r="B28" s="2" t="s">
        <v>89</v>
      </c>
      <c r="C28" s="28"/>
      <c r="D28" s="28"/>
      <c r="E28" s="28"/>
      <c r="F28" s="28"/>
      <c r="G28" s="28"/>
      <c r="H28" s="2"/>
    </row>
    <row r="29" spans="1:8" ht="16" x14ac:dyDescent="0.2">
      <c r="A29" s="2" t="s">
        <v>90</v>
      </c>
      <c r="B29" s="24">
        <v>0.25</v>
      </c>
      <c r="C29" s="28">
        <f>MAX(0,$B$29*C27)</f>
        <v>0</v>
      </c>
      <c r="D29" s="28">
        <f>MAX(0,$B$29*D27)</f>
        <v>0</v>
      </c>
      <c r="E29" s="31">
        <f>(E27+(C31+D31))*$B$29</f>
        <v>3226550</v>
      </c>
      <c r="F29" s="28">
        <f>MAX(0,$B$29*F27)</f>
        <v>13023987.5</v>
      </c>
      <c r="G29" s="28">
        <f>MAX(0,$B$29*G27)</f>
        <v>14618737.5</v>
      </c>
      <c r="H29" s="2"/>
    </row>
    <row r="30" spans="1:8" ht="16" x14ac:dyDescent="0.2">
      <c r="A30" s="2"/>
      <c r="B30" s="21"/>
      <c r="C30" s="28"/>
      <c r="D30" s="28"/>
      <c r="E30" s="28"/>
      <c r="F30" s="28"/>
      <c r="G30" s="28"/>
      <c r="H30" s="2"/>
    </row>
    <row r="31" spans="1:8" ht="16" x14ac:dyDescent="0.2">
      <c r="A31" s="2" t="s">
        <v>91</v>
      </c>
      <c r="B31" s="21"/>
      <c r="C31" s="28">
        <f t="shared" ref="C31:G31" si="7">C27-C29</f>
        <v>-904700</v>
      </c>
      <c r="D31" s="28">
        <f t="shared" si="7"/>
        <v>-562550</v>
      </c>
      <c r="E31" s="28">
        <f t="shared" si="7"/>
        <v>11146900</v>
      </c>
      <c r="F31" s="28">
        <f t="shared" si="7"/>
        <v>39071962.5</v>
      </c>
      <c r="G31" s="28">
        <f t="shared" si="7"/>
        <v>43856212.5</v>
      </c>
      <c r="H31" s="30">
        <f>(G31/$G$8)</f>
        <v>0.243645625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7BF8-C618-3642-9DC3-E6EEC940861B}">
  <dimension ref="A2:F24"/>
  <sheetViews>
    <sheetView zoomScaleNormal="100" workbookViewId="0">
      <selection activeCell="B9" sqref="B9"/>
    </sheetView>
  </sheetViews>
  <sheetFormatPr baseColWidth="10" defaultRowHeight="15" x14ac:dyDescent="0.2"/>
  <cols>
    <col min="1" max="1" width="40.6640625" customWidth="1"/>
    <col min="2" max="6" width="15.83203125" customWidth="1"/>
  </cols>
  <sheetData>
    <row r="2" spans="1:6" s="5" customFormat="1" ht="26" x14ac:dyDescent="0.3">
      <c r="A2" s="19" t="s">
        <v>35</v>
      </c>
      <c r="B2" s="17"/>
      <c r="C2" s="17"/>
    </row>
    <row r="4" spans="1:6" ht="25" customHeight="1" x14ac:dyDescent="0.2">
      <c r="A4" s="3" t="s">
        <v>31</v>
      </c>
    </row>
    <row r="5" spans="1:6" s="34" customFormat="1" ht="37" customHeight="1" x14ac:dyDescent="0.2">
      <c r="A5" s="18"/>
      <c r="B5" s="33" t="s">
        <v>69</v>
      </c>
      <c r="C5" s="33" t="s">
        <v>70</v>
      </c>
      <c r="D5" s="33" t="s">
        <v>71</v>
      </c>
      <c r="E5" s="33" t="s">
        <v>72</v>
      </c>
      <c r="F5" s="33" t="s">
        <v>73</v>
      </c>
    </row>
    <row r="7" spans="1:6" ht="18" customHeight="1" x14ac:dyDescent="0.2">
      <c r="A7" s="1" t="s">
        <v>18</v>
      </c>
    </row>
    <row r="8" spans="1:6" ht="18" customHeight="1" x14ac:dyDescent="0.2">
      <c r="A8" s="2" t="s">
        <v>91</v>
      </c>
      <c r="B8" s="28">
        <f>('Income Statement'!C31)</f>
        <v>-904700</v>
      </c>
      <c r="C8" s="28">
        <f>('Income Statement'!D31)</f>
        <v>-562550</v>
      </c>
      <c r="D8" s="28">
        <f>('Income Statement'!E31)</f>
        <v>11146900</v>
      </c>
      <c r="E8" s="28">
        <f>('Income Statement'!F31)</f>
        <v>39071962.5</v>
      </c>
      <c r="F8" s="28">
        <f>('Income Statement'!G31)</f>
        <v>43856212.5</v>
      </c>
    </row>
    <row r="9" spans="1:6" ht="18" customHeight="1" x14ac:dyDescent="0.2">
      <c r="A9" s="2" t="s">
        <v>30</v>
      </c>
      <c r="B9" s="28">
        <f>('Income Statement'!C20)</f>
        <v>634000</v>
      </c>
      <c r="C9" s="28">
        <f>('Income Statement'!D20)</f>
        <v>634000</v>
      </c>
      <c r="D9" s="28">
        <f>('Income Statement'!E20)</f>
        <v>634000</v>
      </c>
      <c r="E9" s="28">
        <f>('Income Statement'!F20)</f>
        <v>634000</v>
      </c>
      <c r="F9" s="28">
        <f>('Income Statement'!G20)</f>
        <v>634000</v>
      </c>
    </row>
    <row r="10" spans="1:6" ht="18" customHeight="1" x14ac:dyDescent="0.2">
      <c r="A10" s="16" t="s">
        <v>93</v>
      </c>
      <c r="B10" s="35"/>
      <c r="C10" s="35"/>
      <c r="D10" s="35"/>
      <c r="E10" s="35"/>
      <c r="F10" s="35"/>
    </row>
    <row r="11" spans="1:6" ht="18" customHeight="1" x14ac:dyDescent="0.2">
      <c r="A11" s="1" t="s">
        <v>19</v>
      </c>
      <c r="B11" s="28">
        <f>(B8+B9)</f>
        <v>-270700</v>
      </c>
      <c r="C11" s="28">
        <f t="shared" ref="C11:F11" si="0">(C8+C9)</f>
        <v>71450</v>
      </c>
      <c r="D11" s="28">
        <f t="shared" si="0"/>
        <v>11780900</v>
      </c>
      <c r="E11" s="28">
        <f t="shared" si="0"/>
        <v>39705962.5</v>
      </c>
      <c r="F11" s="28">
        <f t="shared" si="0"/>
        <v>44490212.5</v>
      </c>
    </row>
    <row r="12" spans="1:6" ht="18" customHeight="1" x14ac:dyDescent="0.2">
      <c r="A12" s="2"/>
    </row>
    <row r="13" spans="1:6" ht="18" customHeight="1" x14ac:dyDescent="0.2">
      <c r="A13" s="1" t="s">
        <v>20</v>
      </c>
    </row>
    <row r="14" spans="1:6" ht="18" customHeight="1" x14ac:dyDescent="0.2">
      <c r="A14" s="16" t="s">
        <v>21</v>
      </c>
      <c r="C14" s="9"/>
    </row>
    <row r="15" spans="1:6" ht="18" customHeight="1" x14ac:dyDescent="0.2">
      <c r="A15" s="1" t="s">
        <v>22</v>
      </c>
    </row>
    <row r="16" spans="1:6" ht="18" customHeight="1" x14ac:dyDescent="0.2">
      <c r="A16" s="2"/>
    </row>
    <row r="17" spans="1:6" ht="18" customHeight="1" x14ac:dyDescent="0.2">
      <c r="A17" s="1" t="s">
        <v>23</v>
      </c>
    </row>
    <row r="18" spans="1:6" ht="18" customHeight="1" x14ac:dyDescent="0.2">
      <c r="A18" s="2" t="s">
        <v>24</v>
      </c>
    </row>
    <row r="19" spans="1:6" ht="18" customHeight="1" x14ac:dyDescent="0.2">
      <c r="A19" s="16" t="s">
        <v>25</v>
      </c>
    </row>
    <row r="20" spans="1:6" ht="18" customHeight="1" x14ac:dyDescent="0.2">
      <c r="A20" s="1" t="s">
        <v>26</v>
      </c>
    </row>
    <row r="21" spans="1:6" ht="18" customHeight="1" x14ac:dyDescent="0.2">
      <c r="A21" s="2"/>
    </row>
    <row r="22" spans="1:6" ht="18" customHeight="1" x14ac:dyDescent="0.2">
      <c r="A22" s="1" t="s">
        <v>29</v>
      </c>
    </row>
    <row r="23" spans="1:6" ht="18" customHeight="1" x14ac:dyDescent="0.2">
      <c r="A23" s="2" t="s">
        <v>27</v>
      </c>
      <c r="B23" s="27">
        <f>(400000)</f>
        <v>400000</v>
      </c>
      <c r="C23" s="28">
        <f>(B24)</f>
        <v>129300</v>
      </c>
      <c r="D23" s="28">
        <f t="shared" ref="D23:F23" si="1">(C24)</f>
        <v>200750</v>
      </c>
      <c r="E23" s="28">
        <f t="shared" si="1"/>
        <v>11981650</v>
      </c>
      <c r="F23" s="28">
        <f t="shared" si="1"/>
        <v>51687612.5</v>
      </c>
    </row>
    <row r="24" spans="1:6" ht="18" customHeight="1" x14ac:dyDescent="0.2">
      <c r="A24" s="1" t="s">
        <v>28</v>
      </c>
      <c r="B24" s="28">
        <f>(B23+B11)</f>
        <v>129300</v>
      </c>
      <c r="C24" s="28">
        <f t="shared" ref="C24:F24" si="2">(C23+C11)</f>
        <v>200750</v>
      </c>
      <c r="D24" s="28">
        <f t="shared" si="2"/>
        <v>11981650</v>
      </c>
      <c r="E24" s="28">
        <f t="shared" si="2"/>
        <v>51687612.5</v>
      </c>
      <c r="F24" s="28">
        <f t="shared" si="2"/>
        <v>96177825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A963-AA7B-604A-B5D7-C55873FFEE95}">
  <dimension ref="A2:L29"/>
  <sheetViews>
    <sheetView zoomScaleNormal="100" workbookViewId="0">
      <selection activeCell="D23" sqref="D23"/>
    </sheetView>
  </sheetViews>
  <sheetFormatPr baseColWidth="10" defaultRowHeight="15" x14ac:dyDescent="0.2"/>
  <cols>
    <col min="1" max="1" width="31.6640625" customWidth="1"/>
    <col min="2" max="6" width="15.83203125" customWidth="1"/>
    <col min="8" max="8" width="26" customWidth="1"/>
    <col min="9" max="9" width="6.5" customWidth="1"/>
    <col min="10" max="10" width="22.5" customWidth="1"/>
  </cols>
  <sheetData>
    <row r="2" spans="1:12" s="5" customFormat="1" ht="26" x14ac:dyDescent="0.3">
      <c r="A2" s="19" t="s">
        <v>35</v>
      </c>
      <c r="B2" s="17"/>
      <c r="C2" s="17"/>
    </row>
    <row r="3" spans="1:12" s="5" customFormat="1" ht="15" customHeight="1" x14ac:dyDescent="0.3">
      <c r="A3" s="19"/>
      <c r="B3" s="17"/>
      <c r="C3" s="17"/>
    </row>
    <row r="4" spans="1:12" ht="18" customHeight="1" x14ac:dyDescent="0.2">
      <c r="A4" s="74" t="s">
        <v>95</v>
      </c>
      <c r="B4" s="74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2" s="34" customFormat="1" ht="23" customHeight="1" x14ac:dyDescent="0.2">
      <c r="A5" s="1" t="s">
        <v>96</v>
      </c>
      <c r="B5" s="21"/>
      <c r="C5" s="21"/>
      <c r="D5" s="21"/>
      <c r="E5" s="21"/>
      <c r="F5" s="21"/>
      <c r="G5" s="21"/>
      <c r="K5" s="21"/>
      <c r="L5" s="21"/>
    </row>
    <row r="6" spans="1:12" ht="16" x14ac:dyDescent="0.2">
      <c r="A6" s="2" t="s">
        <v>98</v>
      </c>
      <c r="B6" s="2"/>
      <c r="C6" s="55">
        <v>0.4</v>
      </c>
      <c r="D6" s="2"/>
      <c r="E6" s="2"/>
      <c r="F6" s="2"/>
      <c r="G6" s="21"/>
      <c r="H6" s="41" t="s">
        <v>97</v>
      </c>
      <c r="I6" s="42"/>
      <c r="J6" s="43"/>
      <c r="K6" s="21"/>
      <c r="L6" s="21"/>
    </row>
    <row r="7" spans="1:12" ht="16" x14ac:dyDescent="0.2">
      <c r="A7" s="2"/>
      <c r="B7" s="2"/>
      <c r="C7" s="2"/>
      <c r="D7" s="2"/>
      <c r="E7" s="2"/>
      <c r="F7" s="2"/>
      <c r="G7" s="21"/>
      <c r="H7" s="44" t="s">
        <v>98</v>
      </c>
      <c r="I7" s="37">
        <f>(C6)</f>
        <v>0.4</v>
      </c>
      <c r="J7" s="45"/>
      <c r="K7" s="21"/>
      <c r="L7" s="21"/>
    </row>
    <row r="8" spans="1:12" ht="18" customHeight="1" x14ac:dyDescent="0.2">
      <c r="A8" s="2"/>
      <c r="B8" s="2">
        <v>1</v>
      </c>
      <c r="C8" s="2">
        <v>2</v>
      </c>
      <c r="D8" s="2">
        <v>3</v>
      </c>
      <c r="E8" s="2">
        <v>4</v>
      </c>
      <c r="F8" s="2">
        <v>5</v>
      </c>
      <c r="G8" s="21"/>
      <c r="H8" s="46" t="s">
        <v>99</v>
      </c>
      <c r="I8" s="56">
        <v>0.03</v>
      </c>
      <c r="J8" s="47"/>
      <c r="K8" s="21"/>
      <c r="L8" s="21"/>
    </row>
    <row r="9" spans="1:12" ht="18" customHeight="1" x14ac:dyDescent="0.2">
      <c r="A9" s="2"/>
      <c r="B9" s="2"/>
      <c r="C9" s="2"/>
      <c r="D9" s="2"/>
      <c r="E9" s="2"/>
      <c r="F9" s="2"/>
      <c r="G9" s="21"/>
      <c r="H9" s="38"/>
      <c r="I9" s="38"/>
      <c r="J9" s="38"/>
      <c r="K9" s="38"/>
      <c r="L9" s="21"/>
    </row>
    <row r="10" spans="1:12" ht="18" customHeight="1" x14ac:dyDescent="0.2">
      <c r="A10" s="2"/>
      <c r="B10" s="33" t="s">
        <v>69</v>
      </c>
      <c r="C10" s="33" t="s">
        <v>70</v>
      </c>
      <c r="D10" s="33" t="s">
        <v>71</v>
      </c>
      <c r="E10" s="33" t="s">
        <v>72</v>
      </c>
      <c r="F10" s="33" t="s">
        <v>73</v>
      </c>
      <c r="G10" s="21"/>
      <c r="H10" s="41" t="s">
        <v>100</v>
      </c>
      <c r="I10" s="76" t="s">
        <v>107</v>
      </c>
      <c r="J10" s="77"/>
      <c r="K10" s="2"/>
      <c r="L10" s="21"/>
    </row>
    <row r="11" spans="1:12" ht="18" customHeight="1" x14ac:dyDescent="0.2">
      <c r="A11" s="2" t="s">
        <v>19</v>
      </c>
      <c r="B11" s="39">
        <f>MAX(0,('Cash Flow Statement'!B11))</f>
        <v>0</v>
      </c>
      <c r="C11" s="39">
        <f>MAX(0,('Cash Flow Statement'!C11))</f>
        <v>71450</v>
      </c>
      <c r="D11" s="39">
        <f>MAX(0,('Cash Flow Statement'!D11))</f>
        <v>11780900</v>
      </c>
      <c r="E11" s="39">
        <f>MAX(0,('Cash Flow Statement'!E11))</f>
        <v>39705962.5</v>
      </c>
      <c r="F11" s="39">
        <f>MAX(0,('Cash Flow Statement'!F11))</f>
        <v>44490212.5</v>
      </c>
      <c r="G11" s="21"/>
      <c r="H11" s="49"/>
      <c r="I11" s="78" t="s">
        <v>101</v>
      </c>
      <c r="J11" s="79"/>
      <c r="K11" s="2"/>
      <c r="L11" s="21"/>
    </row>
    <row r="12" spans="1:12" ht="18" customHeight="1" x14ac:dyDescent="0.2">
      <c r="A12" s="2" t="s">
        <v>102</v>
      </c>
      <c r="B12" s="40">
        <f>1/((1+$C$6)^B8)</f>
        <v>0.7142857142857143</v>
      </c>
      <c r="C12" s="40">
        <f t="shared" ref="C12:F12" si="0">1/((1+$C$6)^C8)</f>
        <v>0.51020408163265318</v>
      </c>
      <c r="D12" s="40">
        <f t="shared" si="0"/>
        <v>0.36443148688046656</v>
      </c>
      <c r="E12" s="40">
        <f t="shared" si="0"/>
        <v>0.26030820491461898</v>
      </c>
      <c r="F12" s="40">
        <f t="shared" si="0"/>
        <v>0.18593443208187072</v>
      </c>
      <c r="G12" s="21"/>
      <c r="H12" s="38"/>
      <c r="I12" s="38"/>
      <c r="J12" s="38"/>
      <c r="K12" s="38"/>
      <c r="L12" s="21"/>
    </row>
    <row r="13" spans="1:12" ht="18" customHeight="1" x14ac:dyDescent="0.2">
      <c r="A13" s="2"/>
      <c r="B13" s="2"/>
      <c r="C13" s="2"/>
      <c r="D13" s="2"/>
      <c r="E13" s="2"/>
      <c r="F13" s="2"/>
      <c r="G13" s="21"/>
      <c r="H13" s="41" t="s">
        <v>103</v>
      </c>
      <c r="I13" s="48"/>
      <c r="J13" s="51">
        <f>SUM(B14:F14)</f>
        <v>22937835.202594165</v>
      </c>
      <c r="K13" s="2"/>
      <c r="L13" s="21"/>
    </row>
    <row r="14" spans="1:12" ht="18" customHeight="1" x14ac:dyDescent="0.2">
      <c r="A14" s="2" t="s">
        <v>104</v>
      </c>
      <c r="B14" s="39">
        <f t="shared" ref="B14:F14" si="1">B11*B12</f>
        <v>0</v>
      </c>
      <c r="C14" s="39">
        <f t="shared" si="1"/>
        <v>36454.081632653069</v>
      </c>
      <c r="D14" s="39">
        <f t="shared" si="1"/>
        <v>4293330.9037900884</v>
      </c>
      <c r="E14" s="39">
        <f t="shared" si="1"/>
        <v>10335787.822782177</v>
      </c>
      <c r="F14" s="39">
        <f t="shared" si="1"/>
        <v>8272262.3943892457</v>
      </c>
      <c r="G14" s="21"/>
      <c r="H14" s="46" t="s">
        <v>105</v>
      </c>
      <c r="I14" s="16"/>
      <c r="J14" s="52">
        <f>F14/(I7-I8)</f>
        <v>22357465.930781744</v>
      </c>
      <c r="K14" s="2"/>
      <c r="L14" s="21"/>
    </row>
    <row r="15" spans="1:12" ht="18" customHeight="1" x14ac:dyDescent="0.2">
      <c r="A15" s="2"/>
      <c r="B15" s="2"/>
      <c r="C15" s="2"/>
      <c r="D15" s="2"/>
      <c r="E15" s="2"/>
      <c r="F15" s="2"/>
      <c r="G15" s="21"/>
      <c r="H15" s="38"/>
      <c r="I15" s="38"/>
      <c r="J15" s="38"/>
      <c r="K15" s="38"/>
      <c r="L15" s="21"/>
    </row>
    <row r="16" spans="1:12" ht="30" customHeight="1" x14ac:dyDescent="0.2">
      <c r="A16" s="21"/>
      <c r="B16" s="21"/>
      <c r="C16" s="21"/>
      <c r="D16" s="21"/>
      <c r="E16" s="21"/>
      <c r="F16" s="21"/>
      <c r="G16" s="21"/>
      <c r="H16" s="54" t="s">
        <v>106</v>
      </c>
      <c r="I16" s="50"/>
      <c r="J16" s="53">
        <f>+(J13+J14)</f>
        <v>45295301.133375913</v>
      </c>
      <c r="K16" s="2"/>
      <c r="L16" s="21"/>
    </row>
    <row r="18" spans="1:5" ht="16" x14ac:dyDescent="0.2">
      <c r="A18" s="75" t="s">
        <v>109</v>
      </c>
      <c r="B18" s="75"/>
      <c r="C18" s="65"/>
      <c r="D18" s="65"/>
      <c r="E18" s="65"/>
    </row>
    <row r="19" spans="1:5" ht="16" x14ac:dyDescent="0.2">
      <c r="A19" s="64"/>
      <c r="B19" s="64"/>
      <c r="C19" s="65"/>
      <c r="D19" s="65"/>
      <c r="E19" s="65"/>
    </row>
    <row r="20" spans="1:5" ht="16" x14ac:dyDescent="0.2">
      <c r="A20" s="2" t="s">
        <v>115</v>
      </c>
      <c r="B20" s="57"/>
      <c r="C20" s="65"/>
      <c r="D20" s="58">
        <f>(1)</f>
        <v>1</v>
      </c>
      <c r="E20" s="65"/>
    </row>
    <row r="21" spans="1:5" ht="16" x14ac:dyDescent="0.2">
      <c r="A21" s="64"/>
      <c r="B21" s="64"/>
      <c r="C21" s="65"/>
      <c r="D21" s="65"/>
      <c r="E21" s="65"/>
    </row>
    <row r="22" spans="1:5" ht="16" x14ac:dyDescent="0.2">
      <c r="A22" s="2" t="s">
        <v>110</v>
      </c>
      <c r="B22" s="66">
        <f>(J16)</f>
        <v>45295301.133375913</v>
      </c>
      <c r="C22" s="67" t="s">
        <v>112</v>
      </c>
      <c r="D22" s="68">
        <v>50000000</v>
      </c>
      <c r="E22" s="69" t="s">
        <v>114</v>
      </c>
    </row>
    <row r="23" spans="1:5" ht="16" x14ac:dyDescent="0.2">
      <c r="A23" s="2" t="s">
        <v>66</v>
      </c>
      <c r="B23" s="66">
        <f>('Funds Required'!B13)</f>
        <v>4000000</v>
      </c>
      <c r="C23" s="67" t="s">
        <v>112</v>
      </c>
      <c r="D23" s="66">
        <f>(B23)</f>
        <v>4000000</v>
      </c>
      <c r="E23" s="65"/>
    </row>
    <row r="24" spans="1:5" ht="16" x14ac:dyDescent="0.2">
      <c r="A24" s="65"/>
      <c r="B24" s="65"/>
      <c r="C24" s="65"/>
      <c r="D24" s="65"/>
      <c r="E24" s="65"/>
    </row>
    <row r="25" spans="1:5" ht="16" x14ac:dyDescent="0.2">
      <c r="A25" s="75" t="s">
        <v>113</v>
      </c>
      <c r="B25" s="75"/>
      <c r="C25" s="65"/>
      <c r="D25" s="70">
        <f>(D22+D23)</f>
        <v>54000000</v>
      </c>
      <c r="E25" s="65"/>
    </row>
    <row r="26" spans="1:5" ht="16" x14ac:dyDescent="0.2">
      <c r="A26" s="65"/>
      <c r="B26" s="65"/>
      <c r="C26" s="65"/>
      <c r="D26" s="65"/>
      <c r="E26" s="65"/>
    </row>
    <row r="27" spans="1:5" ht="16" x14ac:dyDescent="0.2">
      <c r="A27" s="2" t="s">
        <v>111</v>
      </c>
      <c r="B27" s="57"/>
      <c r="C27" s="65"/>
      <c r="D27" s="57">
        <f>(D23/D22)</f>
        <v>0.08</v>
      </c>
      <c r="E27" s="65"/>
    </row>
    <row r="28" spans="1:5" ht="16" x14ac:dyDescent="0.2">
      <c r="A28" s="2" t="s">
        <v>116</v>
      </c>
      <c r="B28" s="57"/>
      <c r="C28" s="65"/>
      <c r="D28" s="57">
        <f>(1-D27)</f>
        <v>0.92</v>
      </c>
      <c r="E28" s="65"/>
    </row>
    <row r="29" spans="1:5" ht="16" x14ac:dyDescent="0.2">
      <c r="A29" s="2"/>
    </row>
  </sheetData>
  <mergeCells count="5">
    <mergeCell ref="A4:B4"/>
    <mergeCell ref="A18:B18"/>
    <mergeCell ref="A25:B25"/>
    <mergeCell ref="I10:J10"/>
    <mergeCell ref="I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Funds Required</vt:lpstr>
      <vt:lpstr>Balance Sheet</vt:lpstr>
      <vt:lpstr>Income Statement</vt:lpstr>
      <vt:lpstr>Cash Flow Statement</vt:lpstr>
      <vt:lpstr>DCF Valuation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J. Burns</dc:creator>
  <cp:lastModifiedBy>Microsoft Office User</cp:lastModifiedBy>
  <dcterms:created xsi:type="dcterms:W3CDTF">2014-06-26T22:06:34Z</dcterms:created>
  <dcterms:modified xsi:type="dcterms:W3CDTF">2024-04-04T07:35:11Z</dcterms:modified>
</cp:coreProperties>
</file>